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 name="Sheet1" sheetId="83" r:id="rId49"/>
    <sheet name="Sheet3" sheetId="84" r:id="rId50"/>
    <sheet name="Sheet4" sheetId="86" r:id="rId51"/>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房产明细!$A$5:$M$5</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6" i="84" l="1"/>
  <c r="F25" i="84"/>
  <c r="F24" i="84"/>
  <c r="F23" i="84"/>
  <c r="F21" i="84"/>
  <c r="F20" i="84"/>
  <c r="F19" i="84"/>
  <c r="C19" i="84"/>
  <c r="F18" i="84"/>
  <c r="F17" i="84"/>
  <c r="C17" i="84"/>
  <c r="F16" i="84"/>
  <c r="C16" i="84"/>
  <c r="F15" i="84"/>
  <c r="C15" i="84"/>
  <c r="F14" i="84"/>
  <c r="C14" i="84"/>
  <c r="C12" i="84"/>
  <c r="C11" i="84"/>
  <c r="C20" i="84" s="1"/>
  <c r="F7" i="84"/>
  <c r="F6" i="84"/>
  <c r="F5" i="84"/>
  <c r="F4" i="84"/>
  <c r="C4" i="84"/>
  <c r="C8" i="84" s="1"/>
  <c r="D1" i="84"/>
  <c r="C3" i="84" l="1"/>
  <c r="C22" i="84" l="1"/>
  <c r="C23" i="84" s="1"/>
  <c r="C21" i="84"/>
  <c r="C13" i="84" s="1"/>
  <c r="C26" i="84" l="1"/>
  <c r="C1" i="84"/>
  <c r="G28" i="78" l="1"/>
  <c r="C88" i="9" l="1"/>
  <c r="D477" i="79"/>
  <c r="K455" i="79"/>
  <c r="K454" i="79"/>
  <c r="K7" i="79"/>
  <c r="K6" i="79"/>
  <c r="D113" i="79"/>
  <c r="D82" i="79"/>
  <c r="D49" i="79"/>
  <c r="D46" i="79"/>
  <c r="D43" i="79"/>
  <c r="C57" i="78"/>
  <c r="E39" i="79"/>
  <c r="E38" i="79" s="1"/>
  <c r="E37" i="79" s="1"/>
  <c r="E36" i="79" s="1"/>
  <c r="E35" i="79" s="1"/>
  <c r="E34" i="79" s="1"/>
  <c r="E33" i="79" s="1"/>
  <c r="E32" i="79" s="1"/>
  <c r="E31" i="79" s="1"/>
  <c r="E30" i="79" s="1"/>
  <c r="E29" i="79" s="1"/>
  <c r="E28" i="79" s="1"/>
  <c r="E27" i="79" s="1"/>
  <c r="E26" i="79" s="1"/>
  <c r="E25" i="79" s="1"/>
  <c r="E24" i="79" s="1"/>
  <c r="E23" i="79" s="1"/>
  <c r="E22" i="79" s="1"/>
  <c r="E40" i="79"/>
  <c r="E41" i="79"/>
  <c r="E42" i="79"/>
  <c r="H50" i="78"/>
  <c r="L43" i="78"/>
  <c r="F52" i="80"/>
  <c r="F70" i="80" l="1"/>
  <c r="C50" i="78"/>
  <c r="F31" i="78"/>
  <c r="G30" i="78"/>
  <c r="G29" i="78"/>
  <c r="M12" i="78"/>
  <c r="M13" i="78"/>
  <c r="M14" i="78"/>
  <c r="N40" i="78"/>
  <c r="M2" i="78"/>
  <c r="N28" i="78"/>
  <c r="P28" i="78" s="1"/>
  <c r="H28" i="78"/>
  <c r="M3"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Y7" i="1"/>
  <c r="D178" i="79"/>
  <c r="C38" i="78" l="1"/>
  <c r="D454" i="79" l="1"/>
  <c r="D382" i="79"/>
  <c r="D280" i="79"/>
  <c r="G38" i="78"/>
  <c r="C37" i="78"/>
  <c r="G37" i="78" s="1"/>
  <c r="M36" i="78"/>
  <c r="L36" i="78"/>
  <c r="K36" i="78"/>
  <c r="J36" i="78"/>
  <c r="I36" i="78"/>
  <c r="H36" i="78"/>
  <c r="C36" i="78"/>
  <c r="M34" i="78"/>
  <c r="C33" i="78"/>
  <c r="H30" i="78"/>
  <c r="H29" i="78"/>
  <c r="C32" i="78"/>
  <c r="C31" i="78"/>
  <c r="C30" i="78"/>
  <c r="F33" i="78" l="1"/>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G59" i="78" s="1"/>
  <c r="C58" i="78"/>
  <c r="D59" i="78"/>
  <c r="D58" i="78"/>
  <c r="D48" i="78" s="1"/>
  <c r="G48" i="78" s="1"/>
  <c r="B479" i="79"/>
  <c r="F20" i="6"/>
  <c r="F19" i="6"/>
  <c r="G58" i="78" l="1"/>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M9" i="67"/>
  <c r="M27" i="67"/>
  <c r="AO12" i="1"/>
  <c r="E13" i="76"/>
  <c r="M9" i="15"/>
  <c r="B12" i="76"/>
  <c r="F7" i="67"/>
  <c r="B9" i="76"/>
  <c r="E9" i="76"/>
  <c r="F16" i="67"/>
  <c r="AO10" i="1"/>
  <c r="F40" i="15"/>
  <c r="D2" i="35"/>
  <c r="B11" i="76"/>
  <c r="AO11" i="1"/>
  <c r="D2" i="34"/>
  <c r="D2" i="21"/>
  <c r="M23" i="67"/>
  <c r="M29" i="15"/>
  <c r="D35" i="9"/>
  <c r="D34" i="9"/>
  <c r="D2" i="36"/>
  <c r="F43" i="15"/>
  <c r="F38" i="15"/>
  <c r="E12" i="76"/>
  <c r="F35" i="67"/>
  <c r="L47" i="15"/>
  <c r="F13" i="67"/>
  <c r="M22" i="15"/>
  <c r="M6" i="67"/>
  <c r="F16" i="15"/>
  <c r="E8" i="76"/>
  <c r="M22" i="67"/>
  <c r="B13" i="76"/>
  <c r="E10" i="76"/>
  <c r="AO8" i="1"/>
  <c r="F26" i="15"/>
  <c r="F20" i="31"/>
  <c r="E11" i="76"/>
  <c r="F9" i="15"/>
  <c r="M28" i="15"/>
  <c r="F6" i="67"/>
  <c r="L47" i="67"/>
  <c r="M8" i="15"/>
  <c r="B7" i="76"/>
  <c r="L48" i="67"/>
  <c r="M6" i="15"/>
  <c r="F38" i="67"/>
  <c r="B8" i="76"/>
  <c r="B10" i="76"/>
  <c r="AO9" i="1"/>
  <c r="M24" i="67"/>
  <c r="C76" i="15"/>
  <c r="E2" i="69"/>
  <c r="AO13" i="1"/>
  <c r="M26" i="15"/>
  <c r="D2" i="33"/>
  <c r="M26" i="67"/>
  <c r="E7" i="76"/>
  <c r="D2" i="37"/>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F41" i="67"/>
  <c r="L48" i="15"/>
  <c r="M8" i="67"/>
  <c r="F26" i="67"/>
  <c r="F43" i="67"/>
  <c r="F36" i="67"/>
  <c r="F37" i="15"/>
  <c r="F36" i="15"/>
  <c r="C76" i="67"/>
  <c r="F13" i="15"/>
  <c r="J15" i="15"/>
  <c r="F8" i="67"/>
  <c r="F37" i="67"/>
  <c r="F9" i="67"/>
  <c r="M24" i="15"/>
  <c r="M23" i="15"/>
  <c r="C16" i="15"/>
  <c r="M29" i="67"/>
  <c r="M27" i="15"/>
  <c r="F42" i="15"/>
  <c r="M28" i="67"/>
  <c r="F40" i="67"/>
  <c r="F42" i="67"/>
  <c r="F6" i="15"/>
  <c r="F7" i="15"/>
  <c r="M21" i="67"/>
  <c r="F8" i="15"/>
  <c r="J15" i="67"/>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F42" i="80"/>
  <c r="F37" i="80"/>
  <c r="D7" i="73"/>
  <c r="C76" i="80"/>
  <c r="F8" i="80"/>
  <c r="L47" i="80"/>
  <c r="F26" i="80"/>
  <c r="D6" i="73"/>
  <c r="M8" i="80"/>
  <c r="C14" i="67"/>
  <c r="F9" i="80"/>
  <c r="M6" i="80"/>
  <c r="M28" i="80"/>
  <c r="D4" i="73"/>
  <c r="F13" i="80"/>
  <c r="F7" i="73"/>
  <c r="F40" i="80"/>
  <c r="D3" i="73"/>
  <c r="D5" i="73"/>
  <c r="F4" i="73"/>
  <c r="C17" i="67"/>
  <c r="M29" i="80"/>
  <c r="F6" i="80"/>
  <c r="M22" i="80"/>
  <c r="F5" i="73"/>
  <c r="L48" i="80"/>
  <c r="F3" i="73"/>
  <c r="F38" i="80"/>
  <c r="F6" i="73"/>
  <c r="J15" i="80"/>
  <c r="F43" i="80"/>
  <c r="F16" i="80"/>
  <c r="C16" i="67"/>
  <c r="F36" i="80"/>
  <c r="F7" i="80"/>
  <c r="M26" i="80"/>
  <c r="M9" i="80"/>
  <c r="M24" i="80"/>
  <c r="M23" i="80"/>
  <c r="I1" i="73" l="1"/>
  <c r="B39" i="1" s="1"/>
  <c r="C6" i="80"/>
  <c r="F68" i="80"/>
  <c r="F64" i="80"/>
  <c r="F71" i="80"/>
  <c r="F66" i="80"/>
  <c r="L56" i="80"/>
  <c r="L60" i="80"/>
  <c r="L57" i="80"/>
  <c r="J57" i="80"/>
  <c r="J55" i="80" s="1"/>
  <c r="J58" i="80" s="1"/>
  <c r="Q50" i="80" s="1"/>
  <c r="J53" i="80"/>
  <c r="I54" i="80"/>
  <c r="F50" i="80"/>
  <c r="M7" i="80"/>
  <c r="Q71" i="80"/>
  <c r="J6" i="80"/>
  <c r="C27" i="80"/>
  <c r="F65" i="80"/>
  <c r="F51" i="80"/>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AE6" i="1"/>
  <c r="C16" i="80"/>
  <c r="G1" i="73"/>
  <c r="C49" i="80" l="1"/>
  <c r="B40" i="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F41" i="80"/>
  <c r="C17" i="15"/>
  <c r="AE7" i="1"/>
  <c r="C17" i="80"/>
  <c r="F41" i="15"/>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M27" i="80"/>
  <c r="C14" i="80"/>
  <c r="C14" i="15"/>
  <c r="C23" i="67" l="1"/>
  <c r="C29" i="67" s="1"/>
  <c r="C33" i="67" s="1"/>
  <c r="C26" i="69"/>
  <c r="D22" i="69" s="1"/>
  <c r="C26" i="68"/>
  <c r="D22" i="68" s="1"/>
  <c r="C44" i="68"/>
  <c r="D41" i="68" s="1"/>
  <c r="C10" i="68"/>
  <c r="B29" i="1" s="1"/>
  <c r="C8" i="68"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J14" i="67" l="1"/>
  <c r="J22" i="67" s="1"/>
  <c r="J19" i="67"/>
  <c r="J17" i="67" s="1"/>
  <c r="C13" i="67"/>
  <c r="C37" i="67" s="1"/>
  <c r="C57" i="67"/>
  <c r="C61" i="67" s="1"/>
  <c r="C59" i="67" s="1"/>
  <c r="C36" i="67"/>
  <c r="Q49" i="67"/>
  <c r="J59" i="67"/>
  <c r="J60" i="67" s="1"/>
  <c r="L46" i="67" s="1"/>
  <c r="C19" i="80"/>
  <c r="C20" i="80" s="1"/>
  <c r="H27" i="6"/>
  <c r="C33" i="11"/>
  <c r="C39" i="11" s="1"/>
  <c r="C43" i="11" s="1"/>
  <c r="R26" i="6"/>
  <c r="R21" i="6"/>
  <c r="C18" i="12"/>
  <c r="C21" i="12" s="1"/>
  <c r="C19" i="15"/>
  <c r="C20" i="15" s="1"/>
  <c r="C26" i="15" s="1"/>
  <c r="C33" i="68"/>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C75" i="67" l="1"/>
  <c r="C30" i="67"/>
  <c r="C39" i="67" s="1"/>
  <c r="C42" i="11"/>
  <c r="C41" i="11" s="1"/>
  <c r="Q70" i="67"/>
  <c r="J13" i="67"/>
  <c r="J23" i="67" s="1"/>
  <c r="J16" i="67" s="1"/>
  <c r="J25" i="67" s="1"/>
  <c r="C56" i="67"/>
  <c r="C65" i="67" s="1"/>
  <c r="Q48" i="67"/>
  <c r="C64" i="67"/>
  <c r="C26" i="80"/>
  <c r="C23" i="80"/>
  <c r="C46" i="11"/>
  <c r="C45" i="11" s="1"/>
  <c r="C31" i="11"/>
  <c r="C39" i="68"/>
  <c r="C43" i="68" s="1"/>
  <c r="C91" i="9"/>
  <c r="C94" i="9" s="1"/>
  <c r="C42" i="68"/>
  <c r="C40" i="67"/>
  <c r="Q47"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E47" i="37"/>
  <c r="F47" i="37" s="1"/>
  <c r="E46" i="37"/>
  <c r="F46" i="37" s="1"/>
  <c r="I47" i="37"/>
  <c r="J47" i="37" s="1"/>
  <c r="M48" i="35"/>
  <c r="K68" i="39"/>
  <c r="J70" i="39"/>
  <c r="C42" i="37"/>
  <c r="C43" i="37"/>
  <c r="B2" i="37" s="1"/>
  <c r="B3" i="37" s="1"/>
  <c r="L57" i="15"/>
  <c r="L60" i="15" s="1"/>
  <c r="L51" i="67"/>
  <c r="F35" i="80"/>
  <c r="M21" i="80"/>
  <c r="F35" i="15"/>
  <c r="M21" i="15"/>
  <c r="C80" i="67" l="1"/>
  <c r="C79" i="67" s="1"/>
  <c r="C49" i="11"/>
  <c r="C51" i="11" s="1"/>
  <c r="Q53" i="67"/>
  <c r="Q67" i="67"/>
  <c r="L57" i="67"/>
  <c r="L60" i="67" s="1"/>
  <c r="Q57" i="67" s="1"/>
  <c r="Q69" i="67"/>
  <c r="Q68" i="67" s="1"/>
  <c r="C58" i="67"/>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l="1"/>
  <c r="Q75" i="67" s="1"/>
  <c r="Q62" i="67"/>
  <c r="C45" i="67"/>
  <c r="C46" i="67" s="1"/>
  <c r="J14" i="80"/>
  <c r="C13" i="80"/>
  <c r="J59" i="80"/>
  <c r="J60" i="80" s="1"/>
  <c r="C57" i="80"/>
  <c r="C64" i="80" s="1"/>
  <c r="C36" i="80"/>
  <c r="Q49" i="80"/>
  <c r="C27" i="43"/>
  <c r="C56" i="15"/>
  <c r="C65" i="15" s="1"/>
  <c r="B2" i="67"/>
  <c r="C49" i="68"/>
  <c r="C51" i="68" s="1"/>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L51" i="80"/>
  <c r="B6" i="76"/>
  <c r="L51" i="15"/>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Q56" i="15" l="1"/>
  <c r="Q62" i="15" s="1"/>
  <c r="C46" i="80"/>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AO7" i="1"/>
  <c r="AO6" i="1"/>
  <c r="E2" i="68"/>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19" i="9"/>
  <c r="D20"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K114" i="79" s="1"/>
  <c r="G20" i="9"/>
  <c r="C103" i="9"/>
  <c r="G21" i="9"/>
  <c r="I57" i="78" l="1"/>
  <c r="K47" i="78"/>
  <c r="L46" i="78"/>
  <c r="H118" i="9"/>
  <c r="D14" i="74" s="1"/>
  <c r="C34" i="9"/>
  <c r="D118" i="9" s="1"/>
  <c r="D119" i="9" s="1"/>
  <c r="D5" i="52" s="1"/>
  <c r="B49" i="72" s="1"/>
  <c r="F4" i="52"/>
  <c r="B51" i="72" s="1"/>
  <c r="F119" i="9"/>
  <c r="F5" i="52" s="1"/>
  <c r="B53" i="72" s="1"/>
  <c r="G118" i="9"/>
  <c r="G4" i="52" s="1"/>
  <c r="B52" i="72" s="1"/>
  <c r="I58" i="78" l="1"/>
  <c r="I47" i="78"/>
  <c r="I48" i="78" s="1"/>
  <c r="L47" i="78"/>
  <c r="I118" i="9"/>
  <c r="H102" i="9" s="1"/>
  <c r="D7" i="53" s="1"/>
  <c r="B21" i="72" s="1"/>
  <c r="H101" i="9"/>
  <c r="B1" i="82" s="1"/>
  <c r="C104" i="9"/>
  <c r="H119" i="9"/>
  <c r="H5" i="52" s="1"/>
  <c r="H4" i="52"/>
  <c r="D4" i="52"/>
  <c r="B47" i="72" s="1"/>
  <c r="E14" i="74"/>
  <c r="B5" i="74"/>
  <c r="F14" i="74"/>
  <c r="I46" i="78" l="1"/>
  <c r="I45" i="78"/>
  <c r="D45" i="9"/>
  <c r="C64" i="9" s="1"/>
  <c r="C63" i="9" s="1"/>
  <c r="C67" i="9" s="1"/>
  <c r="C68" i="9" s="1"/>
  <c r="D54" i="9" s="1"/>
  <c r="D5" i="53"/>
  <c r="D6" i="53" s="1"/>
  <c r="B22" i="72" s="1"/>
  <c r="I4" i="52"/>
  <c r="M48" i="9"/>
  <c r="H107" i="9"/>
  <c r="M49" i="9" s="1"/>
  <c r="E118" i="9"/>
  <c r="E4" i="52" s="1"/>
  <c r="B48" i="72" s="1"/>
  <c r="C105" i="9"/>
  <c r="D5" i="74"/>
  <c r="C5" i="74"/>
  <c r="B20" i="72"/>
  <c r="J6" i="79" l="1"/>
  <c r="J7" i="79" s="1"/>
  <c r="C85" i="9"/>
  <c r="D52" i="9"/>
  <c r="C93" i="9"/>
  <c r="C86" i="9" s="1"/>
  <c r="C95" i="9" s="1"/>
  <c r="C96" i="9" s="1"/>
  <c r="E96" i="9" s="1"/>
  <c r="E97"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J454" i="79" l="1"/>
  <c r="J455" i="79" s="1"/>
  <c r="D123" i="9"/>
  <c r="D9" i="52" s="1"/>
  <c r="C79" i="9"/>
  <c r="C80" i="9" s="1"/>
  <c r="E80" i="9" s="1"/>
  <c r="E81" i="9" s="1"/>
  <c r="D14" i="53"/>
  <c r="B32" i="72" s="1"/>
  <c r="G14" i="74"/>
  <c r="B6" i="74" s="1"/>
  <c r="C6" i="74" s="1"/>
  <c r="M69" i="9"/>
  <c r="N69" i="9" s="1"/>
  <c r="C81" i="9"/>
  <c r="C97" i="9"/>
  <c r="D58" i="9" s="1"/>
  <c r="D56" i="9" s="1"/>
  <c r="M54" i="9" s="1"/>
  <c r="N57" i="9" s="1"/>
  <c r="D6" i="74" l="1"/>
  <c r="N59" i="9"/>
  <c r="H111" i="9" s="1"/>
  <c r="N58" i="9"/>
  <c r="P57" i="9"/>
  <c r="J114" i="79" l="1"/>
  <c r="D126" i="9"/>
  <c r="D19" i="53"/>
  <c r="N61" i="9"/>
  <c r="H112" i="9" s="1"/>
  <c r="D21" i="53" s="1"/>
  <c r="B39" i="72" s="1"/>
  <c r="N60" i="9"/>
  <c r="H478" i="79" l="1"/>
  <c r="B38" i="72"/>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<sst xmlns="http://schemas.openxmlformats.org/spreadsheetml/2006/main" count="10777" uniqueCount="4267">
  <si>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</si>
  <si>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</si>
  <si>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</si>
  <si>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</si>
  <si>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</si>
  <si>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</si>
  <si>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</si>
  <si>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</si>
  <si>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</si>
  <si>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</si>
  <si>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</si>
  <si>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</si>
  <si>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</si>
  <si>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</si>
  <si>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</si>
  <si>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</si>
  <si>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</si>
  <si>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</si>
  <si>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</si>
  <si>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</si>
  <si>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</si>
  <si>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</si>
  <si>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</si>
  <si>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</si>
  <si>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</si>
  <si>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</si>
  <si>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</si>
  <si>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</si>
  <si>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</si>
  <si>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</si>
  <si>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</si>
  <si>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</si>
  <si>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</si>
  <si>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</si>
  <si>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</si>
  <si>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</si>
  <si>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</si>
  <si>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</si>
  <si>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</si>
  <si>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</si>
  <si>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</si>
  <si>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</si>
  <si>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</si>
  <si>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</si>
  <si>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</si>
  <si>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</si>
  <si>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</si>
  <si>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</si>
  <si>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</si>
  <si>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</si>
  <si>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</si>
  <si>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</si>
  <si>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</si>
  <si>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</si>
  <si>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</si>
  <si>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</si>
  <si>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</si>
  <si>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</si>
  <si>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</si>
  <si>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</si>
  <si>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</si>
  <si>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</si>
  <si>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</si>
  <si>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</si>
  <si>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</si>
  <si>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</si>
  <si>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</si>
  <si>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</si>
  <si>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</si>
  <si>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</si>
  <si>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</si>
  <si>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</si>
  <si>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</si>
  <si>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</si>
  <si>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</si>
  <si>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</si>
  <si>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</si>
  <si>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</si>
  <si>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</si>
  <si>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</si>
  <si>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</si>
  <si>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</si>
  <si>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</si>
  <si>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</si>
  <si>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</si>
  <si>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</si>
  <si>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</si>
  <si>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</si>
  <si>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</si>
  <si>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</si>
  <si>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</si>
  <si>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</si>
  <si>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</si>
  <si>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</si>
  <si>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</si>
  <si>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</si>
  <si>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</si>
  <si>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</si>
  <si>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</si>
  <si>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</si>
  <si>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</si>
  <si>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</si>
  <si>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</si>
  <si>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</si>
  <si>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</si>
  <si>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</si>
  <si>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</si>
  <si>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</si>
  <si>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</si>
  <si>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</si>
  <si>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</si>
  <si>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</si>
  <si>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</si>
  <si>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</si>
  <si>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</si>
  <si>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</si>
  <si>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</si>
  <si>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</si>
  <si>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</si>
  <si>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</si>
  <si>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</si>
  <si>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</si>
  <si>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</si>
  <si>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</si>
  <si>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</si>
  <si>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</si>
  <si>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</si>
  <si>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</si>
  <si>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</si>
  <si>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</si>
  <si>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</si>
  <si>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</si>
  <si>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</si>
  <si>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</si>
  <si>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</si>
  <si>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</si>
  <si>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</si>
  <si>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</si>
  <si>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</si>
  <si>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</si>
  <si>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</si>
  <si>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</si>
  <si>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</si>
  <si>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</si>
  <si>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</si>
  <si>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</si>
  <si>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</si>
  <si>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</si>
  <si>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</si>
  <si>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</si>
  <si>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</si>
  <si>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</si>
  <si>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</si>
  <si>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</si>
  <si>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</si>
  <si>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</si>
  <si>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</si>
  <si>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</si>
  <si>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</si>
  <si>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</si>
  <si>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</si>
  <si>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</si>
  <si>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</si>
  <si>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</si>
  <si>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</si>
  <si>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</si>
  <si>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</si>
  <si>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</si>
  <si>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</si>
  <si>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</si>
  <si>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</si>
  <si>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</si>
  <si>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</si>
  <si>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</si>
  <si>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</si>
  <si>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</si>
  <si>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</si>
  <si>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</si>
  <si>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</si>
  <si>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</si>
  <si>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</si>
  <si>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</si>
  <si>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</si>
  <si>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</si>
  <si>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</si>
  <si>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</si>
  <si>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</si>
  <si>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</si>
  <si>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</si>
  <si>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</si>
  <si>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</si>
  <si>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</si>
  <si>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</si>
  <si>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</si>
  <si>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</si>
  <si>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</si>
  <si>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</si>
  <si>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</si>
  <si>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</si>
  <si>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</si>
  <si>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</si>
  <si>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</si>
  <si>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</si>
  <si>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</si>
  <si>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</si>
  <si>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</si>
  <si>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</si>
  <si>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</si>
  <si>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</si>
  <si>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</si>
  <si>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</si>
  <si>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</si>
  <si>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</si>
  <si>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</si>
  <si>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</si>
  <si>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</si>
  <si>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</si>
  <si>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</si>
  <si>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</si>
  <si>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</si>
  <si>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</si>
  <si>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</si>
  <si>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</si>
  <si>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</si>
  <si>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</si>
  <si>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</si>
  <si>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</si>
  <si>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</si>
  <si>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</si>
  <si>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</si>
  <si>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</si>
  <si>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</si>
  <si>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</si>
  <si>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</si>
  <si>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</si>
  <si>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</si>
  <si>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</si>
  <si>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</si>
  <si>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</si>
  <si>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</si>
  <si>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</si>
  <si>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</si>
  <si>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</si>
  <si>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</si>
  <si>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</si>
  <si>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</si>
  <si>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</si>
  <si>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</si>
  <si>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</si>
  <si>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</si>
  <si>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</si>
  <si>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</si>
  <si>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</si>
  <si>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</si>
  <si>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</si>
  <si>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</si>
  <si>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</si>
  <si>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</si>
  <si>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</si>
  <si>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</si>
  <si>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</si>
  <si>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</si>
  <si>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</si>
  <si>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</si>
  <si>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</si>
  <si>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</si>
  <si>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</si>
  <si>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</si>
  <si>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</si>
  <si>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</si>
  <si>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</si>
  <si>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</si>
  <si>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</si>
  <si>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</si>
  <si>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</si>
  <si>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</si>
  <si>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</si>
  <si>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</si>
  <si>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</si>
  <si>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</si>
  <si>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</si>
  <si>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</si>
  <si>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</si>
  <si>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</si>
  <si>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</si>
  <si>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</si>
  <si>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</si>
  <si>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</si>
  <si>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</si>
  <si>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</si>
  <si>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</si>
  <si>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</si>
  <si>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</si>
  <si>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</si>
  <si>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</si>
  <si>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</si>
  <si>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</si>
  <si>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</si>
  <si>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</si>
  <si>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</si>
  <si>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</si>
  <si>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</si>
  <si>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</si>
  <si>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</si>
  <si>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</si>
  <si>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</si>
  <si>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</si>
  <si>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</si>
  <si>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</si>
  <si>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</si>
  <si>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</si>
  <si>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</si>
  <si>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</si>
  <si>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</si>
  <si>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</si>
  <si>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</si>
  <si>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</si>
  <si>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</si>
  <si>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</si>
  <si>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</si>
  <si>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</si>
  <si>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</si>
  <si>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</si>
  <si>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</si>
  <si>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</si>
  <si>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</si>
  <si>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</si>
  <si>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</si>
  <si>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</si>
  <si>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</si>
  <si>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</si>
  <si>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</si>
  <si>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</si>
  <si>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</si>
  <si>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</si>
  <si>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</si>
  <si>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</si>
  <si>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</si>
  <si>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</si>
  <si>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</si>
  <si>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</si>
  <si>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</si>
  <si>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</si>
  <si>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</si>
  <si>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</si>
  <si>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</si>
  <si>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</si>
  <si>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</si>
  <si>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</si>
  <si>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</si>
  <si>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</si>
  <si>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</si>
  <si>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</si>
  <si>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</si>
  <si>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</si>
  <si>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</si>
  <si>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</si>
  <si>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</si>
  <si>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</si>
  <si>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</si>
  <si>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</si>
  <si>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</si>
  <si>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</si>
  <si>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</si>
  <si>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</si>
  <si>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</si>
  <si>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</si>
  <si>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</si>
  <si>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</si>
  <si>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</si>
  <si>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</si>
  <si>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</si>
  <si>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</si>
  <si>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</si>
  <si>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</si>
  <si>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</si>
  <si>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</si>
  <si>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</si>
  <si>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</si>
  <si>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</si>
  <si>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</si>
  <si>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</si>
  <si>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</si>
  <si>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</si>
  <si>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</si>
  <si>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</si>
  <si>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</si>
  <si>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</si>
  <si>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</si>
  <si>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</si>
  <si>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</si>
  <si>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</si>
  <si>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</si>
  <si>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</si>
  <si>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</si>
  <si>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</si>
  <si>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</si>
  <si>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</si>
  <si>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</si>
  <si>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</si>
  <si>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</si>
  <si>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</si>
  <si>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</si>
  <si>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</si>
  <si>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</si>
  <si>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</si>
  <si>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</si>
  <si>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</si>
  <si>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</si>
  <si>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</si>
  <si>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</si>
  <si>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</si>
  <si>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</si>
  <si>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</si>
  <si>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</si>
  <si>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</si>
  <si>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</si>
  <si>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</si>
  <si>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</si>
  <si>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</si>
  <si>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</si>
  <si>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</si>
  <si>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</si>
  <si>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</si>
  <si>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</si>
  <si>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</si>
  <si>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</si>
  <si>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</si>
  <si>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</si>
  <si>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</si>
  <si>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</si>
  <si>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</si>
  <si>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</si>
  <si>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</si>
  <si>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</si>
  <si>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</si>
  <si>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</si>
  <si>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</si>
  <si>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</si>
  <si>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</si>
  <si>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</si>
  <si>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</si>
  <si>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</si>
  <si>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</si>
  <si>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</si>
  <si>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</si>
  <si>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</si>
  <si>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</si>
  <si>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</si>
  <si>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</si>
  <si>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</si>
  <si>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</si>
  <si>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</si>
  <si>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</si>
  <si>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</si>
  <si>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</si>
  <si>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</si>
  <si>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</si>
  <si>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</si>
  <si>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</si>
  <si>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</si>
  <si>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</si>
  <si>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</si>
  <si>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</si>
  <si>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</si>
  <si>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</si>
  <si>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</si>
  <si>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</si>
  <si>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</si>
  <si>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</si>
  <si>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</si>
  <si>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</si>
  <si>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</si>
  <si>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</si>
  <si>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</si>
  <si>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</si>
  <si>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</si>
  <si>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</si>
  <si>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</si>
  <si>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</si>
  <si>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</si>
  <si>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</si>
  <si>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</si>
  <si>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</si>
  <si>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</si>
  <si>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</si>
  <si>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</si>
  <si>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</si>
  <si>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</si>
  <si>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</si>
  <si>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</si>
  <si>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</si>
  <si>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</si>
  <si>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</si>
  <si>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</si>
  <si>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</si>
  <si>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</si>
  <si>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</si>
  <si>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</si>
  <si>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</si>
  <si>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</si>
  <si>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</si>
  <si>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</si>
  <si>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</si>
  <si>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</si>
  <si>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</si>
  <si>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</si>
  <si>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</si>
  <si>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</si>
  <si>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</si>
  <si>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</si>
  <si>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</si>
  <si>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</si>
  <si>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</si>
  <si>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</si>
  <si>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</si>
  <si>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</si>
  <si>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</si>
  <si>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</si>
  <si>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</si>
  <si>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</si>
  <si>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</si>
  <si>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</si>
  <si>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</si>
  <si>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</si>
  <si>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</si>
  <si>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</si>
  <si>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</si>
  <si>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</si>
  <si>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</si>
  <si>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</si>
  <si>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</si>
  <si>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</si>
  <si>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</si>
  <si>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</si>
  <si>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</si>
  <si>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</si>
  <si>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</si>
  <si>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</si>
  <si>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</si>
  <si>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</si>
  <si>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</si>
  <si>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</si>
  <si>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</si>
  <si>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</si>
  <si>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</si>
  <si>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</si>
  <si>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</si>
  <si>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</si>
  <si>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</si>
  <si>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</si>
  <si>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</si>
  <si>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</si>
  <si>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</si>
  <si>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</si>
  <si>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</si>
  <si>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</si>
  <si>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</si>
  <si>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</si>
  <si>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</si>
  <si>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</si>
  <si>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</si>
  <si>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</si>
  <si>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</si>
  <si>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</si>
  <si>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</si>
  <si>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</si>
  <si>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</si>
  <si>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</si>
  <si>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</si>
  <si>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</si>
  <si>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</si>
  <si>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</si>
  <si>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</si>
  <si>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</si>
  <si>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</si>
  <si>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</si>
  <si>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</si>
  <si>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</si>
  <si>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</si>
  <si>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</si>
  <si>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</si>
  <si>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</si>
  <si>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</si>
  <si>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</si>
  <si>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</si>
  <si>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</si>
  <si>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</si>
  <si>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</si>
  <si>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</si>
  <si>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</si>
  <si>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</si>
  <si>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</si>
  <si>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</si>
  <si>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</si>
  <si>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</si>
  <si>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</si>
  <si>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</si>
  <si>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</si>
  <si>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</si>
  <si>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</si>
  <si>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</si>
  <si>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</si>
  <si>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</si>
  <si>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</si>
  <si>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</si>
  <si>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</si>
  <si>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</si>
  <si>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</si>
  <si>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</si>
  <si>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</si>
  <si>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</si>
  <si>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</si>
  <si>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</si>
  <si>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</si>
  <si>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</si>
  <si>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</si>
  <si>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</si>
  <si>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</si>
  <si>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</si>
  <si>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</si>
  <si>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</si>
  <si>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</si>
  <si>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</si>
  <si>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</si>
  <si>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</si>
  <si>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</si>
  <si>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</si>
  <si>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</si>
  <si>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</si>
  <si>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</si>
  <si>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</si>
  <si>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</si>
  <si>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</si>
  <si>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</si>
  <si>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</si>
  <si>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</si>
  <si>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</si>
  <si>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</si>
  <si>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</si>
  <si>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</si>
  <si>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</si>
  <si>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</si>
  <si>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</si>
  <si>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</si>
  <si>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</si>
  <si>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</si>
  <si>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</si>
  <si>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</si>
  <si>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</si>
  <si>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</si>
  <si>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</si>
  <si>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</si>
  <si>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</si>
  <si>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</si>
  <si>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</si>
  <si>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</si>
  <si>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</si>
  <si>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</si>
  <si>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</si>
  <si>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</si>
  <si>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</si>
  <si>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</si>
  <si>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</si>
  <si>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</si>
  <si>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</si>
  <si>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</si>
  <si>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</si>
  <si>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</si>
  <si>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</si>
  <si>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</si>
  <si>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</si>
  <si>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</si>
  <si>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</si>
  <si>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</si>
  <si>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</si>
  <si>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</si>
  <si>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</si>
  <si>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</si>
  <si>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</si>
  <si>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</si>
  <si>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</si>
  <si>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</si>
  <si>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</si>
  <si>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</si>
  <si>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</si>
  <si>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</si>
  <si>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</si>
  <si>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</si>
  <si>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</si>
  <si>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</si>
  <si>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</si>
  <si>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</si>
  <si>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</si>
  <si>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</si>
  <si>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</si>
  <si>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</si>
  <si>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</si>
  <si>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</si>
  <si>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</si>
  <si>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</si>
  <si>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</si>
  <si>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</si>
  <si>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</si>
  <si>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</si>
  <si>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</si>
  <si>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</si>
  <si>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</si>
  <si>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</si>
  <si>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</si>
  <si>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</si>
  <si>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</si>
  <si>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</si>
  <si>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</si>
  <si>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</si>
  <si>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</si>
  <si>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</si>
  <si>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</si>
  <si>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</si>
  <si>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</si>
  <si>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</si>
  <si>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</si>
  <si>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</si>
  <si>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</si>
  <si>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</si>
  <si>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</si>
  <si>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</si>
  <si>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</si>
  <si>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</si>
  <si>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</si>
  <si>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</si>
  <si>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</si>
  <si>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</si>
  <si>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</si>
  <si>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</si>
  <si>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</si>
  <si>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</si>
  <si>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</si>
  <si>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</si>
  <si>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</si>
  <si>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</si>
  <si>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</si>
  <si>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</si>
  <si>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</si>
  <si>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</si>
  <si>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</si>
  <si>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</si>
  <si>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</si>
  <si>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</si>
  <si>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</si>
  <si>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</si>
  <si>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</si>
  <si>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</si>
  <si>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</si>
  <si>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</si>
  <si>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</si>
  <si>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</si>
  <si>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</si>
  <si>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</si>
  <si>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</si>
  <si>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</si>
  <si>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</si>
  <si>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</si>
  <si>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</si>
  <si>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</si>
  <si>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</si>
  <si>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</si>
  <si>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</si>
  <si>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</si>
  <si>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</si>
  <si>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</si>
  <si>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</si>
  <si>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</si>
  <si>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</si>
  <si>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</si>
  <si>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</si>
  <si>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</si>
  <si>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</si>
  <si>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</si>
  <si>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</si>
  <si>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</si>
  <si>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</si>
  <si>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</si>
  <si>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</si>
  <si>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</si>
  <si>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</si>
  <si>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</si>
  <si>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</si>
  <si>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</si>
  <si>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</si>
  <si>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</si>
  <si>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</si>
  <si>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</si>
  <si>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</si>
  <si>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</si>
  <si>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</si>
  <si>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</si>
  <si>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</si>
  <si>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</si>
  <si>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</si>
  <si>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</si>
  <si>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</si>
  <si>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</si>
  <si>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</si>
  <si>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</si>
  <si>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</si>
  <si>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</si>
  <si>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</si>
  <si>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</si>
  <si>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</si>
  <si>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</si>
  <si>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</si>
  <si>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</si>
  <si>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</si>
  <si>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</si>
  <si>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</si>
  <si>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</si>
  <si>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</si>
  <si>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</si>
  <si>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</si>
  <si>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</si>
  <si>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</si>
  <si>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</si>
  <si>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</si>
  <si>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</si>
  <si>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</si>
  <si>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</si>
  <si>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</si>
  <si>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</si>
  <si>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</si>
  <si>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</si>
  <si>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</si>
  <si>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</si>
  <si>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</si>
  <si>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</si>
  <si>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</si>
  <si>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</si>
  <si>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</si>
  <si>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</si>
  <si>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</si>
  <si>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</si>
  <si>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</si>
  <si>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</si>
  <si>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</si>
  <si>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</si>
  <si>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</si>
  <si>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</si>
  <si>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</si>
  <si>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</si>
  <si>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</si>
  <si>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</si>
  <si>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</si>
  <si>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</si>
  <si>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</si>
  <si>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</si>
  <si>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</si>
  <si>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</si>
  <si>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</si>
  <si>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</si>
  <si>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</si>
  <si>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</si>
  <si>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</si>
  <si>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</si>
  <si>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</si>
  <si>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</si>
  <si>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</si>
  <si>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</si>
  <si>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</si>
  <si>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</si>
  <si>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</si>
  <si>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</si>
  <si>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</si>
  <si>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</si>
  <si>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</si>
  <si>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</si>
  <si>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</si>
  <si>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</si>
  <si>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</si>
  <si>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</si>
  <si>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</si>
  <si>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</si>
  <si>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</si>
  <si>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</si>
  <si>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</si>
  <si>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</si>
  <si>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</si>
  <si>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</si>
  <si>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</si>
  <si>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</si>
  <si>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</si>
  <si>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</si>
  <si>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</si>
  <si>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</si>
  <si>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</si>
  <si>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</si>
  <si>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</si>
  <si>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</si>
  <si>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</si>
  <si>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</si>
  <si>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</si>
  <si>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</si>
  <si>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</si>
  <si>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</si>
  <si>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</si>
  <si>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</si>
  <si>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</si>
  <si>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</si>
  <si>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</si>
  <si>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</si>
  <si>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</si>
  <si>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</si>
  <si>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</si>
  <si>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</si>
  <si>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</si>
  <si>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</si>
  <si>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</si>
  <si>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</si>
  <si>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</si>
  <si>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</si>
  <si>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</si>
  <si>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</si>
  <si>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</si>
  <si>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</si>
  <si>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</si>
  <si>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</si>
  <si>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</si>
  <si>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</si>
  <si>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</si>
  <si>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</si>
  <si>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</si>
  <si>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</si>
  <si>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</si>
  <si>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</si>
  <si>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</si>
  <si>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</si>
  <si>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</si>
  <si>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</si>
  <si>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</si>
  <si>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</si>
  <si>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</si>
  <si>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</si>
  <si>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</si>
  <si>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</si>
  <si>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</si>
  <si>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</si>
  <si>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</si>
  <si>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</si>
  <si>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</si>
  <si>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</si>
  <si>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</si>
  <si>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</si>
  <si>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</si>
  <si>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</si>
  <si>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</si>
  <si>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</si>
  <si>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</si>
  <si>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</si>
  <si>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</si>
  <si>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</si>
  <si>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</si>
  <si>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</si>
  <si>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</si>
  <si>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</si>
  <si>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</si>
  <si>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</si>
  <si>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</si>
  <si>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</si>
  <si>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</si>
  <si>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</si>
  <si>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</si>
  <si>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</si>
  <si>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</si>
  <si>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</si>
  <si>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</si>
  <si>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</si>
  <si>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</si>
  <si>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</si>
  <si>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</si>
  <si>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</si>
  <si>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</si>
  <si>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</si>
  <si>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</si>
  <si>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</si>
  <si>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</si>
  <si>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</si>
  <si>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</si>
  <si>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</si>
  <si>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</si>
  <si>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</si>
  <si>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</si>
  <si>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</si>
  <si>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</si>
  <si>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</si>
  <si>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</si>
  <si>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</si>
  <si>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</si>
  <si>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</si>
  <si>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</si>
  <si>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</si>
  <si>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</si>
  <si>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</si>
  <si>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</si>
  <si>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</si>
  <si>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</si>
  <si>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</si>
  <si>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</si>
  <si>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</si>
  <si>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</si>
  <si>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</si>
  <si>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</si>
  <si>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</si>
  <si>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</si>
  <si>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</si>
  <si>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</si>
  <si>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</si>
  <si>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</si>
  <si>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</si>
  <si>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</si>
  <si>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</si>
  <si>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</si>
  <si>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</si>
  <si>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</si>
  <si>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</si>
  <si>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</si>
  <si>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</si>
  <si>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</si>
  <si>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</si>
  <si>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</si>
  <si>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</si>
  <si>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</si>
  <si>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</si>
  <si>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</si>
  <si>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</si>
  <si>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</si>
  <si>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</si>
  <si>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</si>
  <si>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</si>
  <si>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</si>
  <si>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</si>
  <si>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</si>
  <si>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</si>
  <si>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</si>
  <si>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</si>
  <si>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</si>
  <si>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</si>
  <si>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</si>
  <si>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</si>
  <si>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</si>
  <si>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</si>
  <si>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</si>
  <si>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</si>
  <si>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</si>
  <si>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</si>
  <si>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</si>
  <si>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</si>
  <si>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</si>
  <si>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</si>
  <si>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</si>
  <si>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</si>
  <si>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</si>
  <si>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</si>
  <si>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</si>
  <si>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</si>
  <si>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</si>
  <si>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</si>
  <si>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</si>
  <si>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</si>
  <si>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</si>
  <si>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</si>
  <si>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</si>
  <si>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</si>
  <si>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</si>
  <si>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</si>
  <si>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</si>
  <si>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</si>
  <si>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</si>
  <si>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</si>
  <si>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</si>
  <si>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</si>
  <si>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</si>
  <si>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</si>
  <si>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</si>
  <si>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</si>
  <si>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</si>
  <si>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</si>
  <si>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</si>
  <si>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</si>
  <si>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</si>
  <si>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</si>
  <si>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</si>
  <si>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</si>
  <si>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</si>
  <si>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</si>
  <si>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</si>
  <si>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</si>
  <si>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</si>
  <si>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</si>
  <si>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</si>
  <si>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</si>
  <si>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</si>
  <si>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</si>
  <si>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</si>
  <si>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</si>
  <si>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</si>
  <si>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</si>
  <si>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</si>
  <si>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</si>
  <si>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</si>
  <si>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</si>
  <si>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</si>
  <si>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</si>
  <si>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</si>
  <si>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</si>
  <si>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</si>
  <si>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</si>
  <si>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</si>
  <si>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</si>
  <si>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</si>
  <si>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</si>
  <si>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</si>
  <si>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</si>
  <si>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</si>
  <si>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</si>
  <si>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</si>
  <si>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</si>
  <si>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</si>
  <si>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</si>
  <si>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</si>
  <si>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</si>
  <si>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</si>
  <si>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</si>
  <si>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</si>
  <si>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</si>
  <si>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</si>
  <si>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</si>
  <si>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</si>
  <si>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</si>
  <si>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</si>
  <si>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</si>
  <si>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</si>
  <si>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</si>
  <si>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</si>
  <si>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</si>
  <si>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</si>
  <si>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</si>
  <si>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</si>
  <si>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</si>
  <si>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</si>
  <si>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</si>
  <si>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</si>
  <si>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</si>
  <si>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</si>
  <si>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</si>
  <si>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</si>
  <si>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</si>
  <si>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</si>
  <si>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</si>
  <si>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</si>
  <si>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</si>
  <si>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</si>
  <si>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</si>
  <si>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</si>
  <si>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</si>
  <si>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</si>
  <si>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</si>
  <si>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</si>
  <si>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</si>
  <si>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</si>
  <si>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</si>
  <si>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</si>
  <si>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</si>
  <si>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</si>
  <si>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</si>
  <si>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</si>
  <si>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</si>
  <si>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</si>
  <si>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</si>
  <si>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</si>
  <si>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</si>
  <si>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</si>
  <si>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</si>
  <si>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</si>
  <si>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</si>
  <si>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</si>
  <si>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</si>
  <si>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</si>
  <si>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</si>
  <si>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</si>
  <si>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</si>
  <si>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</si>
  <si>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</si>
  <si>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</si>
  <si>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</si>
  <si>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</si>
  <si>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</si>
  <si>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</si>
  <si>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</si>
  <si>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</si>
  <si>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</si>
  <si>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</si>
  <si>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</si>
  <si>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</si>
  <si>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</si>
  <si>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</si>
  <si>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</si>
  <si>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</si>
  <si>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</si>
  <si>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</si>
  <si>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</si>
  <si>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</si>
  <si>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</si>
  <si>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</si>
  <si>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</si>
  <si>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</si>
  <si>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</si>
  <si>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</si>
  <si>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</si>
  <si>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</si>
  <si>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</si>
  <si>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</si>
  <si>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</si>
  <si>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</si>
  <si>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</si>
  <si>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</si>
  <si>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</si>
  <si>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</si>
  <si>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</si>
  <si>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</si>
  <si>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</si>
  <si>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</si>
  <si>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</si>
  <si>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</si>
  <si>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</si>
  <si>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</si>
  <si>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</si>
  <si>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</si>
  <si>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</si>
  <si>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</si>
  <si>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</si>
  <si>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</si>
  <si>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</si>
  <si>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</si>
  <si>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</si>
  <si>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</si>
  <si>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</si>
  <si>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</si>
  <si>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</si>
  <si>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</si>
  <si>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</si>
  <si>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</si>
  <si>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</si>
  <si>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</si>
  <si>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</si>
  <si>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</si>
  <si>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</si>
  <si>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</si>
  <si>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</si>
  <si>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</si>
  <si>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</si>
  <si>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</si>
  <si>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</si>
  <si>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</si>
  <si>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</si>
  <si>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</si>
  <si>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</si>
  <si>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</si>
  <si>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</si>
  <si>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</si>
  <si>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</si>
  <si>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</si>
  <si>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</si>
  <si>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</si>
  <si>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</si>
  <si>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</si>
  <si>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</si>
  <si>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</si>
  <si>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</si>
  <si>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</si>
  <si>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</si>
  <si>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</si>
  <si>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</si>
  <si>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</si>
  <si>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</si>
  <si>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</si>
  <si>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</si>
  <si>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</si>
  <si>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</si>
  <si>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</si>
  <si>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</si>
  <si>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</si>
  <si>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</si>
  <si>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</si>
  <si>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</si>
  <si>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</si>
  <si>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</si>
  <si>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</si>
  <si>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</si>
  <si>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</si>
  <si>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</si>
  <si>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</si>
  <si>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</si>
  <si>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</si>
  <si>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</si>
  <si>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</si>
  <si>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</si>
  <si>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</si>
  <si>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</si>
  <si>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</si>
  <si>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</si>
  <si>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</si>
  <si>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</si>
  <si>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</si>
  <si>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</si>
  <si>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</si>
  <si>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</si>
  <si>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</si>
  <si>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</si>
  <si>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</si>
  <si>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</si>
  <si>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</si>
  <si>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</si>
  <si>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</si>
  <si>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</si>
  <si>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</si>
  <si>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</si>
  <si>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</si>
  <si>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</si>
  <si>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</si>
  <si>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</si>
  <si>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</si>
  <si>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</si>
  <si>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</si>
  <si>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</si>
  <si>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</si>
  <si>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</si>
  <si>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</si>
  <si>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</si>
  <si>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</si>
  <si>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</si>
  <si>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</si>
  <si>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</si>
  <si>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</si>
  <si>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</si>
  <si>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</si>
  <si>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</si>
  <si>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</si>
  <si>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</si>
  <si>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</si>
  <si>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</si>
  <si>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</si>
  <si>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</si>
  <si>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</si>
  <si>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</si>
  <si>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</si>
  <si>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</si>
  <si>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</si>
  <si>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</si>
  <si>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</si>
  <si>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</si>
  <si>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</si>
  <si>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</si>
  <si>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</si>
  <si>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</si>
  <si>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</si>
  <si>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</si>
  <si>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</si>
  <si>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</si>
  <si>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</si>
  <si>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</si>
  <si>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</si>
  <si>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</si>
  <si>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</si>
  <si>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</si>
  <si>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</si>
  <si>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</si>
  <si>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</si>
  <si>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</si>
  <si>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</si>
  <si>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</si>
  <si>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</si>
  <si>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</si>
  <si>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</si>
  <si>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</si>
  <si>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</si>
  <si>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</si>
  <si>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</si>
  <si>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</si>
  <si>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</si>
  <si>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</si>
  <si>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</si>
  <si>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</si>
  <si>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</si>
  <si>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</si>
  <si>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</si>
  <si>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</si>
  <si>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</si>
  <si>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</si>
  <si>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</si>
  <si>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</si>
  <si>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</si>
  <si>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</si>
  <si>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</si>
  <si>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</si>
  <si>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</si>
  <si>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</si>
  <si>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</si>
  <si>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</si>
  <si>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</si>
  <si>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</si>
  <si>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</si>
  <si>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</si>
  <si>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</si>
  <si>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</si>
  <si>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</si>
  <si>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</si>
  <si>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</si>
  <si>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</si>
  <si>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</si>
  <si>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</si>
  <si>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</si>
  <si>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</si>
  <si>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</si>
  <si>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</si>
  <si>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</si>
  <si>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</si>
  <si>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</si>
  <si>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</si>
  <si>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</si>
  <si>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</si>
  <si>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</si>
  <si>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</si>
  <si>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</si>
  <si>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</si>
  <si>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</si>
  <si>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</si>
  <si>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</si>
  <si>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</si>
  <si>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</si>
  <si>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</si>
  <si>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</si>
  <si>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</si>
  <si>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</si>
  <si>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</si>
  <si>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</si>
  <si>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</si>
  <si>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</si>
  <si>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</si>
  <si>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</si>
  <si>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</si>
  <si>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</si>
  <si>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</si>
  <si>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</si>
  <si>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</si>
  <si>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</si>
  <si>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</si>
  <si>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</si>
  <si>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</si>
  <si>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</si>
  <si>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</si>
  <si>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</si>
  <si>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</si>
  <si>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</si>
  <si>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</si>
  <si>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</si>
  <si>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</si>
  <si>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</si>
  <si>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</si>
  <si>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</si>
  <si>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</si>
  <si>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</si>
  <si>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</si>
  <si>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</si>
  <si>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</si>
  <si>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</si>
  <si>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</si>
  <si>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</si>
  <si>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</si>
  <si>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</si>
  <si>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</si>
  <si>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</si>
  <si>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</si>
  <si>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</si>
  <si>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</si>
  <si>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</si>
  <si>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</si>
  <si>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</si>
  <si>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</si>
  <si>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</si>
  <si>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</si>
  <si>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</si>
  <si>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</si>
  <si>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</si>
  <si>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</si>
  <si>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</si>
  <si>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</si>
  <si>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</si>
  <si>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</si>
  <si>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</si>
  <si>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</si>
  <si>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</si>
  <si>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</si>
  <si>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</si>
  <si>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</si>
  <si>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</si>
  <si>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</si>
  <si>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</si>
  <si>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</si>
  <si>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</si>
  <si>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</si>
  <si>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</si>
  <si>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</si>
  <si>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</si>
  <si>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</si>
  <si>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</si>
  <si>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</si>
  <si>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</si>
  <si>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</si>
  <si>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</si>
  <si>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</si>
  <si>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</si>
  <si>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</si>
  <si>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</si>
  <si>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</si>
  <si>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</si>
  <si>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</si>
  <si>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</si>
  <si>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</si>
  <si>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</si>
  <si>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</si>
  <si>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</si>
  <si>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</si>
  <si>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</si>
  <si>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</si>
  <si>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</si>
  <si>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</si>
  <si>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</si>
  <si>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</si>
  <si>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</si>
  <si>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</si>
  <si>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</si>
  <si>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</si>
  <si>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</si>
  <si>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</si>
  <si>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</si>
  <si>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</si>
  <si>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</si>
  <si>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</si>
  <si>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</si>
  <si>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</si>
  <si>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</si>
  <si>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</si>
  <si>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</si>
  <si>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</si>
  <si>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</si>
  <si>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</si>
  <si>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</si>
  <si>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</si>
  <si>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</si>
  <si>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</si>
  <si>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</si>
  <si>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</si>
  <si>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</si>
  <si>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</si>
  <si>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</si>
  <si>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</si>
  <si>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</si>
  <si>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</si>
  <si>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</si>
  <si>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</si>
  <si>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</si>
  <si>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</si>
  <si>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</si>
  <si>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</si>
  <si>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</si>
  <si>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</si>
  <si>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</si>
  <si>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</si>
  <si>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</si>
  <si>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</si>
  <si>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</si>
  <si>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</si>
  <si>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</si>
  <si>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</si>
  <si>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</si>
  <si>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</si>
  <si>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</si>
  <si>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</si>
  <si>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</si>
  <si>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</si>
  <si>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</si>
  <si>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</si>
  <si>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</si>
  <si>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</si>
  <si>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</si>
  <si>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</si>
  <si>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</si>
  <si>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</si>
  <si>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</si>
  <si>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</si>
  <si>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</si>
  <si>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</si>
  <si>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</si>
  <si>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</si>
  <si>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</si>
  <si>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</si>
  <si>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</si>
  <si>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</si>
  <si>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</si>
  <si>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</si>
  <si>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</si>
  <si>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</si>
  <si>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</si>
  <si>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</si>
  <si>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</si>
  <si>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</si>
  <si>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</si>
  <si>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</si>
  <si>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</si>
  <si>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</si>
  <si>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</si>
  <si>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</si>
  <si>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</si>
  <si>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</si>
  <si>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</si>
  <si>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</si>
  <si>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</si>
  <si>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</si>
  <si>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</si>
  <si>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</si>
  <si>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</si>
  <si>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</si>
  <si>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</si>
  <si>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</si>
  <si>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</si>
  <si>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</si>
  <si>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</si>
  <si>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</si>
  <si>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</si>
  <si>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</si>
  <si>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</si>
  <si>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</si>
  <si>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</si>
  <si>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</si>
  <si>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</si>
  <si>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</si>
  <si>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</si>
  <si>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</si>
  <si>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</si>
  <si>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</si>
  <si>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</si>
  <si>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</si>
  <si>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</si>
  <si>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</si>
  <si>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</si>
  <si>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</si>
  <si>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</si>
  <si>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</si>
  <si>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</si>
  <si>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</si>
  <si>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</si>
  <si>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</si>
  <si>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</si>
  <si>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</si>
  <si>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</si>
  <si>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</si>
  <si>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</si>
  <si>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</si>
  <si>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</si>
  <si>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</si>
  <si>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</si>
  <si>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</si>
  <si>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</si>
  <si>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</si>
  <si>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</si>
  <si>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</si>
  <si>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</si>
  <si>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</si>
  <si>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</si>
  <si>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</si>
  <si>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</si>
  <si>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</si>
  <si>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</si>
  <si>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</si>
  <si>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</si>
  <si>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</si>
  <si>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</si>
  <si>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</si>
  <si>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</si>
  <si>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</si>
  <si>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</si>
  <si>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</si>
  <si>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</si>
  <si>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</si>
  <si>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</si>
  <si>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</si>
  <si>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</si>
  <si>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</si>
  <si>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</si>
  <si>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</si>
  <si>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</si>
  <si>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</si>
  <si>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</si>
  <si>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</si>
  <si>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</si>
  <si>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</si>
  <si>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</si>
  <si>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</si>
  <si>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</si>
  <si>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</si>
  <si>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</si>
  <si>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</si>
  <si>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</si>
  <si>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</si>
  <si>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</si>
  <si>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</si>
  <si>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</si>
  <si>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</si>
  <si>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</si>
  <si>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</si>
  <si>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</si>
  <si>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</si>
  <si>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</si>
  <si>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</si>
  <si>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</si>
  <si>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</si>
  <si>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</si>
  <si>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</si>
  <si>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</si>
  <si>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</si>
  <si>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</si>
  <si>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</si>
  <si>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</si>
  <si>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</si>
  <si>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</si>
  <si>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</si>
  <si>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</si>
  <si>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</si>
  <si>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</si>
  <si>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</si>
  <si>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</si>
  <si>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</si>
  <si>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</si>
  <si>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</si>
  <si>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</si>
  <si>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</si>
  <si>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</si>
  <si>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</si>
  <si>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</si>
  <si>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</si>
  <si>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</si>
  <si>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</si>
  <si>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</si>
  <si>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</si>
  <si>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</si>
  <si>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</si>
  <si>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</si>
  <si>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</si>
  <si>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</si>
  <si>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</si>
  <si>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</si>
  <si>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</si>
  <si>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</si>
  <si>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</si>
  <si>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</si>
  <si>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</si>
  <si>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</si>
  <si>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</si>
  <si>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</si>
  <si>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</si>
  <si>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</si>
  <si>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</si>
  <si>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</si>
  <si>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</si>
  <si>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</si>
  <si>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</si>
  <si>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</si>
  <si>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</si>
  <si>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</si>
  <si>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</si>
  <si>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</si>
  <si>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</si>
  <si>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</si>
  <si>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</si>
  <si>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</si>
  <si>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</si>
  <si>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</si>
  <si>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</si>
  <si>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</si>
  <si>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</si>
  <si>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</si>
  <si>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</si>
  <si>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</si>
  <si>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</si>
  <si>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</si>
  <si>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</si>
  <si>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</si>
  <si>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</si>
  <si>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</si>
  <si>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</si>
  <si>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</si>
  <si>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</si>
  <si>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</si>
  <si>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</si>
  <si>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</si>
  <si>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</si>
  <si>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</si>
  <si>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</si>
  <si>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</si>
  <si>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</si>
  <si>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</si>
  <si>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</si>
  <si>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</si>
  <si>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</si>
  <si>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</si>
  <si>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</si>
  <si>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</si>
  <si>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</si>
  <si>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</si>
  <si>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</si>
  <si>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</si>
  <si>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</si>
  <si>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</si>
  <si>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</si>
  <si>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</si>
  <si>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</si>
  <si>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</si>
  <si>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</si>
  <si>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</si>
  <si>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</si>
  <si>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</si>
  <si>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</si>
  <si>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</si>
  <si>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</si>
  <si>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</si>
  <si>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</si>
  <si>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</si>
  <si>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</si>
  <si>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</si>
  <si>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</si>
  <si>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</si>
  <si>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</si>
  <si>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</si>
  <si>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</si>
  <si>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</si>
  <si>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</si>
  <si>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</si>
  <si>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</si>
  <si>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</si>
  <si>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</si>
  <si>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</si>
  <si>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</si>
  <si>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</si>
  <si>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</si>
  <si>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</si>
  <si>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</si>
  <si>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</si>
  <si>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</si>
  <si>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</si>
  <si>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</si>
  <si>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</si>
  <si>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</si>
  <si>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</si>
  <si>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</si>
  <si>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</si>
  <si>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</si>
  <si>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</si>
  <si>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</si>
  <si>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</si>
  <si>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</si>
  <si>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</si>
  <si>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</si>
  <si>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</si>
  <si>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</si>
  <si>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</si>
  <si>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</si>
  <si>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</si>
  <si>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</si>
  <si>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</si>
  <si>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</si>
  <si>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</si>
  <si>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</si>
  <si>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</si>
  <si>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</si>
  <si>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</si>
  <si>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</si>
  <si>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</si>
  <si>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</si>
  <si>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</si>
  <si>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</si>
  <si>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</si>
  <si>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</si>
  <si>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</si>
  <si>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</si>
  <si>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</si>
  <si>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</si>
  <si>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</si>
  <si>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</si>
  <si>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</si>
  <si>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</si>
  <si>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</si>
  <si>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</si>
  <si>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</si>
  <si>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</si>
  <si>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</si>
  <si>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</si>
  <si>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</si>
  <si>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</si>
  <si>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</si>
  <si>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</si>
  <si>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</si>
  <si>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</si>
  <si>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</si>
  <si>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</si>
  <si>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</si>
  <si>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</si>
  <si>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</si>
  <si>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</si>
  <si>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</si>
  <si>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</si>
  <si>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</si>
  <si>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</si>
  <si>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</si>
  <si>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</si>
  <si>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</si>
  <si>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</si>
  <si>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</si>
  <si>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</si>
  <si>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</si>
  <si>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</si>
  <si>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</si>
  <si>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</si>
  <si>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</si>
  <si>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</si>
  <si>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</si>
  <si>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</si>
  <si>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</si>
  <si>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</si>
  <si>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</si>
  <si>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</si>
  <si>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</si>
  <si>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</si>
  <si>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</si>
  <si>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</si>
  <si>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</si>
  <si>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</si>
  <si>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</si>
  <si>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</si>
  <si>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</si>
  <si>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</si>
  <si>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</si>
  <si>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</si>
  <si>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</si>
  <si>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</si>
  <si>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</si>
  <si>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</si>
  <si>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</si>
  <si>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</si>
  <si>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</si>
  <si>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</si>
  <si>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</si>
  <si>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</si>
  <si>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</si>
  <si>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</si>
  <si>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</si>
  <si>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</si>
  <si>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</si>
  <si>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</si>
  <si>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</si>
  <si>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</si>
  <si>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</si>
  <si>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</si>
  <si>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</si>
  <si>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</si>
  <si>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</si>
  <si>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</si>
  <si>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</si>
  <si>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</si>
  <si>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</si>
  <si>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</si>
  <si>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</si>
  <si>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</si>
  <si>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</si>
  <si>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</si>
  <si>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</si>
  <si>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</si>
  <si>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</si>
  <si>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</si>
  <si>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</si>
  <si>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</si>
  <si>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</si>
  <si>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</si>
  <si>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</si>
  <si>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</si>
  <si>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</si>
  <si>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</si>
  <si>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</si>
  <si>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</si>
  <si>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</si>
  <si>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</si>
  <si>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</si>
  <si>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</si>
  <si>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</si>
  <si>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</si>
  <si>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</si>
  <si>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</si>
  <si>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</si>
  <si>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</si>
  <si>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</si>
  <si>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</si>
  <si>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</si>
  <si>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</si>
  <si>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</si>
  <si>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</si>
  <si>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</si>
  <si>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</si>
  <si>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</si>
  <si>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</si>
  <si>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</si>
  <si>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</si>
  <si>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</si>
  <si>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</si>
  <si>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</si>
  <si>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</si>
  <si>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</si>
  <si>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</si>
  <si>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</si>
  <si>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</si>
  <si>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</si>
  <si>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</si>
  <si>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</si>
  <si>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</si>
  <si>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</si>
  <si>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</si>
  <si>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</si>
  <si>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</si>
  <si>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</si>
  <si>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</si>
  <si>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</si>
  <si>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</si>
  <si>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</si>
  <si>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</si>
  <si>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</si>
  <si>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</si>
  <si>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</si>
  <si>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</si>
  <si>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</si>
  <si>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</si>
  <si>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</si>
  <si>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</si>
  <si>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</si>
  <si>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</si>
  <si>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</si>
  <si>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</si>
  <si>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</si>
  <si>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</si>
  <si>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</si>
  <si>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</si>
  <si>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</si>
  <si>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</si>
  <si>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</si>
  <si>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</si>
  <si>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</si>
  <si>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</si>
  <si>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</si>
  <si>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</si>
  <si>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</si>
  <si>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</si>
  <si>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</si>
  <si>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</si>
  <si>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</si>
  <si>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</si>
  <si>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</si>
  <si>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</si>
  <si>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</si>
  <si>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</si>
  <si>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</si>
  <si>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</si>
  <si>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</si>
  <si>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</si>
  <si>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</si>
  <si>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</si>
  <si>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</si>
  <si>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</si>
  <si>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</si>
  <si>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</si>
  <si>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</si>
  <si>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</si>
  <si>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</si>
  <si>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</si>
  <si>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</si>
  <si>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</si>
  <si>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</si>
  <si>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</si>
  <si>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</si>
  <si>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</si>
  <si>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</si>
  <si>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</si>
  <si>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</si>
  <si>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</si>
  <si>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</si>
  <si>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</si>
  <si>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</si>
  <si>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</si>
  <si>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</si>
  <si>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</si>
  <si>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</si>
  <si>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</si>
  <si>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</si>
  <si>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</si>
  <si>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</si>
  <si>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</si>
  <si>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</si>
  <si>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</si>
  <si>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</si>
  <si>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</si>
  <si>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</si>
  <si>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</si>
  <si>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</si>
  <si>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</si>
  <si>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</si>
  <si>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</si>
  <si>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</si>
  <si>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</si>
  <si>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</si>
  <si>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</si>
  <si>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</si>
  <si>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</si>
  <si>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</si>
  <si>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</si>
  <si>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</si>
  <si>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</si>
  <si>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</si>
  <si>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</si>
  <si>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</si>
  <si>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</si>
  <si>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</si>
  <si>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</si>
  <si>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</si>
  <si>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</si>
  <si>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</si>
  <si>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</si>
  <si>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</si>
  <si>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</si>
  <si>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</si>
  <si>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</si>
  <si>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</si>
  <si>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</si>
  <si>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</si>
  <si>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</si>
  <si>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</si>
  <si>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</si>
  <si>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</si>
  <si>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</si>
  <si>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</si>
  <si>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</si>
  <si>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</si>
  <si>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</si>
  <si>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</si>
  <si>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</si>
  <si>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</si>
  <si>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</si>
  <si>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</si>
  <si>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</si>
  <si>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</si>
  <si>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</si>
  <si>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</si>
  <si>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</si>
  <si>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</si>
  <si>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</si>
  <si>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</si>
  <si>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</si>
  <si>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</si>
  <si>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</si>
  <si>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</si>
  <si>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</si>
  <si>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</si>
  <si>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</si>
  <si>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</si>
  <si>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</si>
  <si>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</si>
  <si>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</si>
  <si>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</si>
  <si>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</si>
  <si>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</si>
  <si>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</si>
  <si>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</si>
  <si>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</si>
  <si>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</si>
  <si>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</si>
  <si>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</si>
  <si>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</si>
  <si>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</si>
  <si>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</si>
  <si>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</si>
  <si>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</si>
  <si>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</si>
  <si>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</si>
  <si>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</si>
  <si>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</si>
  <si>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</si>
  <si>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</si>
  <si>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</si>
  <si>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</si>
  <si>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</si>
  <si>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</si>
  <si>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</si>
  <si>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</si>
  <si>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</si>
  <si>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</si>
  <si>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</si>
  <si>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</si>
  <si>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</si>
  <si>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</si>
  <si>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</si>
  <si>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</si>
  <si>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</si>
  <si>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</si>
  <si>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</si>
  <si>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</si>
  <si>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</si>
  <si>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</si>
  <si>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</si>
  <si>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</si>
  <si>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</si>
  <si>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</si>
  <si>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</si>
  <si>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</si>
  <si>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</si>
  <si>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</si>
  <si>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</si>
  <si>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</si>
  <si>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</si>
  <si>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</si>
  <si>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</si>
  <si>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</si>
  <si>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</si>
  <si>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</si>
  <si>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</si>
  <si>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</si>
  <si>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</si>
  <si>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</si>
  <si>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</si>
  <si>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</si>
  <si>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</si>
  <si>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</si>
  <si>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</si>
  <si>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</si>
  <si>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</si>
  <si>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</si>
  <si>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</si>
  <si>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</si>
  <si>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</si>
  <si>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</si>
  <si>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</si>
  <si>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</si>
  <si>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</si>
  <si>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</si>
  <si>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</si>
  <si>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</si>
  <si>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</si>
  <si>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</si>
  <si>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</si>
  <si>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</si>
  <si>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</si>
  <si>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</si>
  <si>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</si>
  <si>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</si>
  <si>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</si>
  <si>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</si>
  <si>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</si>
  <si>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</si>
  <si>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</si>
  <si>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</si>
  <si>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</si>
  <si>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</si>
  <si>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</si>
  <si>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</si>
  <si>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</si>
  <si>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</si>
  <si>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</si>
  <si>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</si>
  <si>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</si>
  <si>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</si>
  <si>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</si>
  <si>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</si>
  <si>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</si>
  <si>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</si>
  <si>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</si>
  <si>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</si>
  <si>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</si>
  <si>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</si>
  <si>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</si>
  <si>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</si>
  <si>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</si>
  <si>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</si>
  <si>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</si>
  <si>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</si>
  <si>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</si>
  <si>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</si>
  <si>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</si>
  <si>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</si>
  <si>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</si>
  <si>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</si>
  <si>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</si>
  <si>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</si>
  <si>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</si>
  <si>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</si>
  <si>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</si>
  <si>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</si>
  <si>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</si>
  <si>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</si>
  <si>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</si>
  <si>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</si>
  <si>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</si>
  <si>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</si>
  <si>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</si>
  <si>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</si>
  <si>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</si>
  <si>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</si>
  <si>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</si>
  <si>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</si>
  <si>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</si>
  <si>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</si>
  <si>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</si>
  <si>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</si>
  <si>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</si>
  <si>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</si>
  <si>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</si>
  <si>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</si>
  <si>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</si>
  <si>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</si>
  <si>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</si>
  <si>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</si>
  <si>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</si>
  <si>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</si>
  <si>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</si>
  <si>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</si>
  <si>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</si>
  <si>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</si>
  <si>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</si>
  <si>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</si>
  <si>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</si>
  <si>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</si>
  <si>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</si>
  <si>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</si>
  <si>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</si>
  <si>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</si>
  <si>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</si>
  <si>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</si>
  <si>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</si>
  <si>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</si>
  <si>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</si>
  <si>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</si>
  <si>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</si>
  <si>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</si>
  <si>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</si>
  <si>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</si>
  <si>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</si>
  <si>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</si>
  <si>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</si>
  <si>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</si>
  <si>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</si>
  <si>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</si>
  <si>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</si>
  <si>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</si>
  <si>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</si>
  <si>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</si>
  <si>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</si>
  <si>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</si>
  <si>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</si>
  <si>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</si>
  <si>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</si>
  <si>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</si>
  <si>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</si>
  <si>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</si>
  <si>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</si>
  <si>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</si>
  <si>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</si>
  <si>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</si>
  <si>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</si>
  <si>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</si>
  <si>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</si>
  <si>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</si>
  <si>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</si>
  <si>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</si>
  <si>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</si>
  <si>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</si>
  <si>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</si>
  <si>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</si>
  <si>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</si>
  <si>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</si>
  <si>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</si>
  <si>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</si>
  <si>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</si>
  <si>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</si>
  <si>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</si>
  <si>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</si>
  <si>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</si>
  <si>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</si>
  <si>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</si>
  <si>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</si>
  <si>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</si>
  <si>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</si>
  <si>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</si>
  <si>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</si>
  <si>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</si>
  <si>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</si>
  <si>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</si>
  <si>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</si>
  <si>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</si>
  <si>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</si>
  <si>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</si>
  <si>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</si>
  <si>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</si>
  <si>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</si>
  <si>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</si>
  <si>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</si>
  <si>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</si>
  <si>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</si>
  <si>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</si>
  <si>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</si>
  <si>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</si>
  <si>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</si>
  <si>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</si>
  <si>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</si>
  <si>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</si>
  <si>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</si>
  <si>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</si>
  <si>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</si>
  <si>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</si>
  <si>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</si>
  <si>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</si>
  <si>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</si>
  <si>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</si>
  <si>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</si>
  <si>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</si>
  <si>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</si>
  <si>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</si>
  <si>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</si>
  <si>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</si>
  <si>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</si>
  <si>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</si>
  <si>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</si>
  <si>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</si>
  <si>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</si>
  <si>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</si>
  <si>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</si>
  <si>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</si>
  <si>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</si>
  <si>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</si>
  <si>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</si>
  <si>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</si>
  <si>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</si>
  <si>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</si>
  <si>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</si>
  <si>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</si>
  <si>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</si>
  <si>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</si>
  <si>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</si>
  <si>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</si>
  <si>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</si>
  <si>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</si>
  <si>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</si>
  <si>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</si>
  <si>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</si>
  <si>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</si>
  <si>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</si>
  <si>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</si>
  <si>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</si>
  <si>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</si>
  <si>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</si>
  <si>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</si>
  <si>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</si>
  <si>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</si>
  <si>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</si>
  <si>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</si>
  <si>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</si>
  <si>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</si>
  <si>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</si>
  <si>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</si>
  <si>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</si>
  <si>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</si>
  <si>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</si>
  <si>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</si>
  <si>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</si>
  <si>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</si>
  <si>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</si>
  <si>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</si>
  <si>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</si>
  <si>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</si>
  <si>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</si>
  <si>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</si>
  <si>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</si>
  <si>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</si>
  <si>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</si>
  <si>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</si>
  <si>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</si>
  <si>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</si>
  <si>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</si>
  <si>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</si>
  <si>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</si>
  <si>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</si>
  <si>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</si>
  <si>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</si>
  <si>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</si>
  <si>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</si>
  <si>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</si>
  <si>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</si>
  <si>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</si>
  <si>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</si>
  <si>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</si>
  <si>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</si>
  <si>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</si>
  <si>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</si>
  <si>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</si>
  <si>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</si>
  <si>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</si>
  <si>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</si>
  <si>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</si>
  <si>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</si>
  <si>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</si>
  <si>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</si>
  <si>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</si>
  <si>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</si>
  <si>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</si>
  <si>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</si>
  <si>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</si>
  <si>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</si>
  <si>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</si>
  <si>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</si>
  <si>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</si>
  <si>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</si>
  <si>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</si>
  <si>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</si>
  <si>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</si>
  <si>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</si>
  <si>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</si>
  <si>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</si>
  <si>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</si>
  <si>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</si>
  <si>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</si>
  <si>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</si>
  <si>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</si>
  <si>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</si>
  <si>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</si>
  <si>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</si>
  <si>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</si>
  <si>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</si>
  <si>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</si>
  <si>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</si>
  <si>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</si>
  <si>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</si>
  <si>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</si>
  <si>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</si>
  <si>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</si>
  <si>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</si>
  <si>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</si>
  <si>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</si>
  <si>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</si>
  <si>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</si>
  <si>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</si>
  <si>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</si>
  <si>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</si>
  <si>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</si>
  <si>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</si>
  <si>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</si>
  <si>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</si>
  <si>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</si>
  <si>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</si>
  <si>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</si>
  <si>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</si>
  <si>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</si>
  <si>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</si>
  <si>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</si>
  <si>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</si>
  <si>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</si>
  <si>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</si>
  <si>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</si>
  <si>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</si>
  <si>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</si>
  <si>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</si>
  <si>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</si>
  <si>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</si>
  <si>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</si>
  <si>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</si>
  <si>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</si>
  <si>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</si>
  <si>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</si>
  <si>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</si>
  <si>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</si>
  <si>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</si>
  <si>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</si>
  <si>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</si>
  <si>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</si>
  <si>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</si>
  <si>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</si>
  <si>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</si>
  <si>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</si>
  <si>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</si>
  <si>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</si>
  <si>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</si>
  <si>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</si>
  <si>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</si>
  <si>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</si>
  <si>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</si>
  <si>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</si>
  <si>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</si>
  <si>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</si>
  <si>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</si>
  <si>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</si>
  <si>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</si>
  <si>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</si>
  <si>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</si>
  <si>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</si>
  <si>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</si>
  <si>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</si>
  <si>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</si>
  <si>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</si>
  <si>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</si>
  <si>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</si>
  <si>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</si>
  <si>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</si>
  <si>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</si>
  <si>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</si>
  <si>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</si>
  <si>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</si>
  <si>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</si>
  <si>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</si>
  <si>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</si>
  <si>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</si>
  <si>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</si>
  <si>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</si>
  <si>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</si>
  <si>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</si>
  <si>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</si>
  <si>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</si>
  <si>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</si>
  <si>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</si>
  <si>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</si>
  <si>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</si>
  <si>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</si>
  <si>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</si>
  <si>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</si>
  <si>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</si>
  <si>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</si>
  <si>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</si>
  <si>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</si>
  <si>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</si>
  <si>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</si>
  <si>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</si>
  <si>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</si>
  <si>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</si>
  <si>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</si>
  <si>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</si>
  <si>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</si>
  <si>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</si>
  <si>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</si>
  <si>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</si>
  <si>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</si>
  <si>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</si>
  <si>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</si>
  <si>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</si>
  <si>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</si>
  <si>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</si>
  <si>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</si>
  <si>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</si>
  <si>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</si>
  <si>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</si>
  <si>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</si>
  <si>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</si>
  <si>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</si>
  <si>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</si>
  <si>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</si>
  <si>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</si>
  <si>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</si>
  <si>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</si>
  <si>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</si>
  <si>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</si>
  <si>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</si>
  <si>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</si>
  <si>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</si>
  <si>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</si>
  <si>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</si>
  <si>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</si>
  <si>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</si>
  <si>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</si>
  <si>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</si>
  <si>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</si>
  <si>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</si>
  <si>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</si>
  <si>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</si>
  <si>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</si>
  <si>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</si>
  <si>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</si>
  <si>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</si>
  <si>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</si>
  <si>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</si>
  <si>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</si>
  <si>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</si>
  <si>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</si>
  <si>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</si>
  <si>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</si>
  <si>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</si>
  <si>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</si>
  <si>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</si>
  <si>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</si>
  <si>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</si>
  <si>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</si>
  <si>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</si>
  <si>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</si>
  <si>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</si>
  <si>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</si>
  <si>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</si>
  <si>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</si>
  <si>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</si>
  <si>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</si>
  <si>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</si>
  <si>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</si>
  <si>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</si>
  <si>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</si>
  <si>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</si>
  <si>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</si>
  <si>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</si>
  <si>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</si>
  <si>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</si>
  <si>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</si>
  <si>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</si>
  <si>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</si>
  <si>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</si>
  <si>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</si>
  <si>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</si>
  <si>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</si>
  <si>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</si>
  <si>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</si>
  <si>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</si>
  <si>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</si>
  <si>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</si>
  <si>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</si>
  <si>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</si>
  <si>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</si>
  <si>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</si>
  <si>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</si>
  <si>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</si>
  <si>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</si>
  <si>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</si>
  <si>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</si>
  <si>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</si>
  <si>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</si>
  <si>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</si>
  <si>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</si>
  <si>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</si>
  <si>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</si>
  <si>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</si>
  <si>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</si>
  <si>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</si>
  <si>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</si>
  <si>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</si>
  <si>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</si>
  <si>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</si>
  <si>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</si>
  <si>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</si>
  <si>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</si>
  <si>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</si>
  <si>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</si>
  <si>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</si>
  <si>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</si>
  <si>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</si>
  <si>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</si>
  <si>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</si>
  <si>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</si>
  <si>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</si>
  <si>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</si>
  <si>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</si>
  <si>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</si>
  <si>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</si>
  <si>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</si>
  <si>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</si>
  <si>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</si>
  <si>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</si>
  <si>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</si>
  <si>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</si>
  <si>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</si>
  <si>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</si>
  <si>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</si>
  <si>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</si>
  <si>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</si>
  <si>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</si>
  <si>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</si>
  <si>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</si>
  <si>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</si>
  <si>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</si>
  <si>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</si>
  <si>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</si>
  <si>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</si>
  <si>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</si>
  <si>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</si>
  <si>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</si>
  <si>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</si>
  <si>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</si>
  <si>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</si>
  <si>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</si>
  <si>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</si>
  <si>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</si>
  <si>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</si>
  <si>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</si>
  <si>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</si>
  <si>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</si>
  <si>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</si>
  <si>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</si>
  <si>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</si>
  <si>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</si>
  <si>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</si>
  <si>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</si>
  <si>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</si>
  <si>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</si>
  <si>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</si>
  <si>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</si>
  <si>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</si>
  <si>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</si>
  <si>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</si>
  <si>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</si>
  <si>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</si>
  <si>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</si>
  <si>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</si>
  <si>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</si>
  <si>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</si>
  <si>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</si>
  <si>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</si>
  <si>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</si>
  <si>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</si>
  <si>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</si>
  <si>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</si>
  <si>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</si>
  <si>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</si>
  <si>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</si>
  <si>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</si>
  <si>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</si>
  <si>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</si>
  <si>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</si>
  <si>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</si>
  <si>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</si>
  <si>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</si>
  <si>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</si>
  <si>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</si>
  <si>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</si>
  <si>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</si>
  <si>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</si>
  <si>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</si>
  <si>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</si>
  <si>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</si>
  <si>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</si>
  <si>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</si>
  <si>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</si>
  <si>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</si>
  <si>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</si>
  <si>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</si>
  <si>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</si>
  <si>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</si>
  <si>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</si>
  <si>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</si>
  <si>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</si>
  <si>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</si>
  <si>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</si>
  <si>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</si>
  <si>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</si>
  <si>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</si>
  <si>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</si>
  <si>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</si>
  <si>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</si>
  <si>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</si>
  <si>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</si>
  <si>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</si>
  <si>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</si>
  <si>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</si>
  <si>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</si>
  <si>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</si>
  <si>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</si>
  <si>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</si>
  <si>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</si>
  <si>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</si>
  <si>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</si>
  <si>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</si>
  <si>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</si>
  <si>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</si>
  <si>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</si>
  <si>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</si>
  <si>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</si>
  <si>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</si>
  <si>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</si>
  <si>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</si>
  <si>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</si>
  <si>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</si>
  <si>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</si>
  <si>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</si>
  <si>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</si>
  <si>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</si>
  <si>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</si>
  <si>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</si>
  <si>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</si>
  <si>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</si>
  <si>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</si>
  <si>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</si>
  <si>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</si>
  <si>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</si>
  <si>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</si>
  <si>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</si>
  <si>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</si>
  <si>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</si>
  <si>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</si>
  <si>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</si>
  <si>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</si>
  <si>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</si>
  <si>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</si>
  <si>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</si>
  <si>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</si>
  <si>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</si>
  <si>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</si>
  <si>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</si>
  <si>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</si>
  <si>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</si>
  <si>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</si>
  <si>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</si>
  <si>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</si>
  <si>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</si>
  <si>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</si>
  <si>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</si>
  <si>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</si>
  <si>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</si>
  <si>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</si>
  <si>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</si>
  <si>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</si>
  <si>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</si>
  <si>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</si>
  <si>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</si>
  <si>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</si>
  <si>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</si>
  <si>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</si>
  <si>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</si>
  <si>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</si>
  <si>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</si>
  <si>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</si>
  <si>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</si>
  <si>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</si>
  <si>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</si>
  <si>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</si>
  <si>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</si>
  <si>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</si>
  <si>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</si>
  <si>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</si>
  <si>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</si>
  <si>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</si>
  <si>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</si>
  <si>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</si>
  <si>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</si>
  <si>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</si>
  <si>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</si>
  <si>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</si>
  <si>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</si>
  <si>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</si>
  <si>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</si>
  <si>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</si>
  <si>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</si>
  <si>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</si>
  <si>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</si>
  <si>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</si>
  <si>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</si>
  <si>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</si>
  <si>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</si>
  <si>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</si>
  <si>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</si>
  <si>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</si>
  <si>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</si>
  <si>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</si>
  <si>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</si>
  <si>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</si>
  <si>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</si>
  <si>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</si>
  <si>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</si>
  <si>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</si>
  <si>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</si>
  <si>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</si>
  <si>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</si>
  <si>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</si>
  <si>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</si>
  <si>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</si>
  <si>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</si>
  <si>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</si>
  <si>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</si>
  <si>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</si>
  <si>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</si>
  <si>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</si>
  <si>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</si>
  <si>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</si>
  <si>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</si>
  <si>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</si>
  <si>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</si>
  <si>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</si>
  <si>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</si>
  <si>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</si>
  <si>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</si>
  <si>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</si>
  <si>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</si>
  <si>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</si>
  <si>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</si>
  <si>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</si>
  <si>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</si>
  <si>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</si>
  <si>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</si>
  <si>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</si>
  <si>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</si>
  <si>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</si>
  <si>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</si>
  <si>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</si>
  <si>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</si>
  <si>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</si>
  <si>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</si>
  <si>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</si>
  <si>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</si>
  <si>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</si>
  <si>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</si>
  <si>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</si>
  <si>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</si>
  <si>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</si>
  <si>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</si>
  <si>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</si>
  <si>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</si>
  <si>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</si>
  <si>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</si>
  <si>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</si>
  <si>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</si>
  <si>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</si>
  <si>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</si>
  <si>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</si>
  <si>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</si>
  <si>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</si>
  <si>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</si>
  <si>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</si>
  <si>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</si>
  <si>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</si>
  <si>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</si>
  <si>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</si>
  <si>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</si>
  <si>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</si>
  <si>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</si>
  <si>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</si>
  <si>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</si>
  <si>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</si>
  <si>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</si>
  <si>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</si>
  <si>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</si>
  <si>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</si>
  <si>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</si>
  <si>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</si>
  <si>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</si>
  <si>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</si>
  <si>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</si>
  <si>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</si>
  <si>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</si>
  <si>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</si>
  <si>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</si>
  <si>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</si>
  <si>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</si>
  <si>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</si>
  <si>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</si>
  <si>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</si>
  <si>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</si>
  <si>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</si>
  <si>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</si>
  <si>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</si>
  <si>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</si>
  <si>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</si>
  <si>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</si>
  <si>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</si>
  <si>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</si>
  <si>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</si>
  <si>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</si>
  <si>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</si>
  <si>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</si>
  <si>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</si>
  <si>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</si>
  <si>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</si>
  <si>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</si>
  <si>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</si>
  <si>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</si>
  <si>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</si>
  <si>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</si>
  <si>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</si>
  <si>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</si>
  <si>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</si>
  <si>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</si>
  <si>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</si>
  <si>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</si>
  <si>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</si>
  <si>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</si>
  <si>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</si>
  <si>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</si>
  <si>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</si>
  <si>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</si>
  <si>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</si>
  <si>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</si>
  <si>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</si>
  <si>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</si>
  <si>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</si>
  <si>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</si>
  <si>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</si>
  <si>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</si>
  <si>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</si>
  <si>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</si>
  <si>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</si>
  <si>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</si>
  <si>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</si>
  <si>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</si>
  <si>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</si>
  <si>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</si>
  <si>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</si>
  <si>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</si>
  <si>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</si>
  <si>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</si>
  <si>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</si>
  <si>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</si>
  <si>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</si>
  <si>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</si>
  <si>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</si>
  <si>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</si>
  <si>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</si>
  <si>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</si>
  <si>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</si>
  <si>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</si>
  <si>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</si>
  <si>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</si>
  <si>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</si>
  <si>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</si>
  <si>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</si>
  <si>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</si>
  <si>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</si>
  <si>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</si>
  <si>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</si>
  <si>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</si>
  <si>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</si>
  <si>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r>
      <t>泰兴佳源新天地-商业南区（1—S2）-10号楼-401</t>
    </r>
    <r>
      <rPr>
        <sz val="11"/>
        <color theme="1"/>
        <rFont val="宋体"/>
        <family val="3"/>
        <charset val="134"/>
        <scheme val="minor"/>
      </rPr>
      <t>-430</t>
    </r>
    <phoneticPr fontId="143" type="noConversion"/>
  </si>
  <si>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</si>
  <si>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</si>
  <si>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</si>
  <si>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r>
      <t>免租1</t>
    </r>
    <r>
      <rPr>
        <sz val="11"/>
        <color theme="1"/>
        <rFont val="宋体"/>
        <family val="3"/>
        <charset val="134"/>
        <scheme val="minor"/>
      </rPr>
      <t>8月</t>
    </r>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</si>
  <si>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</si>
  <si>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</si>
  <si>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</si>
  <si>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</si>
  <si>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</si>
  <si>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</si>
  <si>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</si>
  <si>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</si>
  <si>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</si>
  <si>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</si>
  <si>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</si>
  <si>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</si>
  <si>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</si>
  <si>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</si>
  <si>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</si>
  <si>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</si>
  <si>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</si>
  <si>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</si>
  <si>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</si>
  <si>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</si>
  <si>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</si>
  <si>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</si>
  <si>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</si>
  <si>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</si>
  <si>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</si>
  <si>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</si>
  <si>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</si>
  <si>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</si>
  <si>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</si>
  <si>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</si>
  <si>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</si>
  <si>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</si>
  <si>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</si>
  <si>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</si>
  <si>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</si>
  <si>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</si>
  <si>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</si>
  <si>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</si>
  <si>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</si>
  <si>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</si>
  <si>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</si>
  <si>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</si>
  <si>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</si>
  <si>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</si>
  <si>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</si>
  <si>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</si>
  <si>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</si>
  <si>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</si>
  <si>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</si>
  <si>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</si>
  <si>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</si>
  <si>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</si>
  <si>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</si>
  <si>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</si>
  <si>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</si>
  <si>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</si>
  <si>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</si>
  <si>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</si>
  <si>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</si>
  <si>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</si>
  <si>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</si>
  <si>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</si>
  <si>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</si>
  <si>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</si>
  <si>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</si>
  <si>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</si>
  <si>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</si>
  <si>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</si>
  <si>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</si>
  <si>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</si>
  <si>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</si>
  <si>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</si>
  <si>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</si>
  <si>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</si>
  <si>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</si>
  <si>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</si>
  <si>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</si>
  <si>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</si>
  <si>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</si>
  <si>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</si>
  <si>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</si>
  <si>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</si>
  <si>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</si>
  <si>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</si>
  <si>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</si>
  <si>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</si>
  <si>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</si>
  <si>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</si>
  <si>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</si>
  <si>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</si>
  <si>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</si>
  <si>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</si>
  <si>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</si>
  <si>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</si>
  <si>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</si>
  <si>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</si>
  <si>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</si>
  <si>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</si>
  <si>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</si>
  <si>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</si>
  <si>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</si>
  <si>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</si>
  <si>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</si>
  <si>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</si>
  <si>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</si>
  <si>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</si>
  <si>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</si>
  <si>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</si>
  <si>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</si>
  <si>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</si>
  <si>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</si>
  <si>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</si>
  <si>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</si>
  <si>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</si>
  <si>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</si>
  <si>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</si>
  <si>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</si>
  <si>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</si>
  <si>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</si>
  <si>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</si>
  <si>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</si>
  <si>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</si>
  <si>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</si>
  <si>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</si>
  <si>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</si>
  <si>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</si>
  <si>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</si>
  <si>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</si>
  <si>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</si>
  <si>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</si>
  <si>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</si>
  <si>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</si>
  <si>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</si>
  <si>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</si>
  <si>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</si>
  <si>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</si>
  <si>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</si>
  <si>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</si>
  <si>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</si>
  <si>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</si>
  <si>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</si>
  <si>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</si>
  <si>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</si>
  <si>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</si>
  <si>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</si>
  <si>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</si>
  <si>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</si>
  <si>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</si>
  <si>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</si>
  <si>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</si>
  <si>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</si>
  <si>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</si>
  <si>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</si>
  <si>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</si>
  <si>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</si>
  <si>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</si>
  <si>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</si>
  <si>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</si>
  <si>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</si>
  <si>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</si>
  <si>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</si>
  <si>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</si>
  <si>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</si>
  <si>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</si>
  <si>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</si>
  <si>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</si>
  <si>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</si>
  <si>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</si>
  <si>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</si>
  <si>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</si>
  <si>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</si>
  <si>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</si>
  <si>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</si>
  <si>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</si>
  <si>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</si>
  <si>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</si>
  <si>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</si>
  <si>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</si>
  <si>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</si>
  <si>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</si>
  <si>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</si>
  <si>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</si>
  <si>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</si>
  <si>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</si>
  <si>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</si>
  <si>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</si>
  <si>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</si>
  <si>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</si>
  <si>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</si>
  <si>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</si>
  <si>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</si>
  <si>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</si>
  <si>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</si>
  <si>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</si>
  <si>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</si>
  <si>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</si>
  <si>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</si>
  <si>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</si>
  <si>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</si>
  <si>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</si>
  <si>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</si>
  <si>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</si>
  <si>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</si>
  <si>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</si>
  <si>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</si>
  <si>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</si>
  <si>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</si>
  <si>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</si>
  <si>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</si>
  <si>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</si>
  <si>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</si>
  <si>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</si>
  <si>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</si>
  <si>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</si>
  <si>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</si>
  <si>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</si>
  <si>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</si>
  <si>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</si>
  <si>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</si>
  <si>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</si>
  <si>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</si>
  <si>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</si>
  <si>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</si>
  <si>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</si>
  <si>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</si>
  <si>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</si>
  <si>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</si>
  <si>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</si>
  <si>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</si>
  <si>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</si>
  <si>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</si>
  <si>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</si>
  <si>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</si>
  <si>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</si>
  <si>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</si>
  <si>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</si>
  <si>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</si>
  <si>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</si>
  <si>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</si>
  <si>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</si>
  <si>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</si>
  <si>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</si>
  <si>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</si>
  <si>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</si>
  <si>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</si>
  <si>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</si>
  <si>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</si>
  <si>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</si>
  <si>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</si>
  <si>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</si>
  <si>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</si>
  <si>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</si>
  <si>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</si>
  <si>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</si>
  <si>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</si>
  <si>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</si>
  <si>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</si>
  <si>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</si>
  <si>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</si>
  <si>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</si>
  <si>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</si>
  <si>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</si>
  <si>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</si>
  <si>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</si>
  <si>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</si>
  <si>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</si>
  <si>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</si>
  <si>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</si>
  <si>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</si>
  <si>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</si>
  <si>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</si>
  <si>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</si>
  <si>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</si>
  <si>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</si>
  <si>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</si>
  <si>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</si>
  <si>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</si>
  <si>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</si>
  <si>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</si>
  <si>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</si>
  <si>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</si>
  <si>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</si>
  <si>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</si>
  <si>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</si>
  <si>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</si>
  <si>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</si>
  <si>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</si>
  <si>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</si>
  <si>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</si>
  <si>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</si>
  <si>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</si>
  <si>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</si>
  <si>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</si>
  <si>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</si>
  <si>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</si>
  <si>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</si>
  <si>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</si>
  <si>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</si>
  <si>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</si>
  <si>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</si>
  <si>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</si>
  <si>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</si>
  <si>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</si>
  <si>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</si>
  <si>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</si>
  <si>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</si>
  <si>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</si>
  <si>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</si>
  <si>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</si>
  <si>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</si>
  <si>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</si>
  <si>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</si>
  <si>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</si>
  <si>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</si>
  <si>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</si>
  <si>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</si>
  <si>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</si>
  <si>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</si>
  <si>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</si>
  <si>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</si>
  <si>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</si>
  <si>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</si>
  <si>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</si>
  <si>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</si>
  <si>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</si>
  <si>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</si>
  <si>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</si>
  <si>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</si>
  <si>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</si>
  <si>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</si>
  <si>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</si>
  <si>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</si>
  <si>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</si>
  <si>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</si>
  <si>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</si>
  <si>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</si>
  <si>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</si>
  <si>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</si>
  <si>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</si>
  <si>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</si>
  <si>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</si>
  <si>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</si>
  <si>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</si>
  <si>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</si>
  <si>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</si>
  <si>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</si>
  <si>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</si>
  <si>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</si>
  <si>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</si>
  <si>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</si>
  <si>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</si>
  <si>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</si>
  <si>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</si>
  <si>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</si>
  <si>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</si>
  <si>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</si>
  <si>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</si>
  <si>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</si>
  <si>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</si>
  <si>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</si>
  <si>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</si>
  <si>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</si>
  <si>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</si>
  <si>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</si>
  <si>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</si>
  <si>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</si>
  <si>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</si>
  <si>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</si>
  <si>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</si>
  <si>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</si>
  <si>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</si>
  <si>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</si>
  <si>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</si>
  <si>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</si>
  <si>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</si>
  <si>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</si>
  <si>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</si>
  <si>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</si>
  <si>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</si>
  <si>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</si>
  <si>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</si>
  <si>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</si>
  <si>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</si>
  <si>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</si>
  <si>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</si>
  <si>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</si>
  <si>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</si>
  <si>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</si>
  <si>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</si>
  <si>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</si>
  <si>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</si>
  <si>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</si>
  <si>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</si>
  <si>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</si>
  <si>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</si>
  <si>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</si>
  <si>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</si>
  <si>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</si>
  <si>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</si>
  <si>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</si>
  <si>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</si>
  <si>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</si>
  <si>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</si>
  <si>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</si>
  <si>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</si>
  <si>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</si>
  <si>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</si>
  <si>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</si>
  <si>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</si>
  <si>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</si>
  <si>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</si>
  <si>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</si>
  <si>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</si>
  <si>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</si>
  <si>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</si>
  <si>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</si>
  <si>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</si>
  <si>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</si>
  <si>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</si>
  <si>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</si>
  <si>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</si>
  <si>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</si>
  <si>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</si>
  <si>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</si>
  <si>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</si>
  <si>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</si>
  <si>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</si>
  <si>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</si>
  <si>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</si>
  <si>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</si>
  <si>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</si>
  <si>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</si>
  <si>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</si>
  <si>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</si>
  <si>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</si>
  <si>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</si>
  <si>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</si>
  <si>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</si>
  <si>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</si>
  <si>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</si>
  <si>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</si>
  <si>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</si>
  <si>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</si>
  <si>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</si>
  <si>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</si>
  <si>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</si>
  <si>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</si>
  <si>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</si>
  <si>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</si>
  <si>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</si>
  <si>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</si>
  <si>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</si>
  <si>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</si>
  <si>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</si>
  <si>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</si>
  <si>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</si>
  <si>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</si>
  <si>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</si>
  <si>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</si>
  <si>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</si>
  <si>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</si>
  <si>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</si>
  <si>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</si>
  <si>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</si>
  <si>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</si>
  <si>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</si>
  <si>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</si>
  <si>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</si>
  <si>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</si>
  <si>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</si>
  <si>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</si>
  <si>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</si>
  <si>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</si>
  <si>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</si>
  <si>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</si>
  <si>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</si>
  <si>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</si>
  <si>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</si>
  <si>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</si>
  <si>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</si>
  <si>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</si>
  <si>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</si>
  <si>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</si>
  <si>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</si>
  <si>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</si>
  <si>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</si>
  <si>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</si>
  <si>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</si>
  <si>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</si>
  <si>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</si>
  <si>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</si>
  <si>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</si>
  <si>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</si>
  <si>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</si>
  <si>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</si>
  <si>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</si>
  <si>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</si>
  <si>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</si>
  <si>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</si>
  <si>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</si>
  <si>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</si>
  <si>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</si>
  <si>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</si>
  <si>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</si>
  <si>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</si>
  <si>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</si>
  <si>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</si>
  <si>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</si>
  <si>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</si>
  <si>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</si>
  <si>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</si>
  <si>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</si>
  <si>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</si>
  <si>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</si>
  <si>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</si>
  <si>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</si>
  <si>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</si>
  <si>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</si>
  <si>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</si>
  <si>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</si>
  <si>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</si>
  <si>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</si>
  <si>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</si>
  <si>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</si>
  <si>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</si>
  <si>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</si>
  <si>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</si>
  <si>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</si>
  <si>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</si>
  <si>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</si>
  <si>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</si>
  <si>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</si>
  <si>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</si>
  <si>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</si>
  <si>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</si>
  <si>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</si>
  <si>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</si>
  <si>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</si>
  <si>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</si>
  <si>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</si>
  <si>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</si>
  <si>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</si>
  <si>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</si>
  <si>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</si>
  <si>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</si>
  <si>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</si>
  <si>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</si>
  <si>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</si>
  <si>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</si>
  <si>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</si>
  <si>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</si>
  <si>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</si>
  <si>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</si>
  <si>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</si>
  <si>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</si>
  <si>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</si>
  <si>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</si>
  <si>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</si>
  <si>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</si>
  <si>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</si>
  <si>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</si>
  <si>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</si>
  <si>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</si>
  <si>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</si>
  <si>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</si>
  <si>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</si>
  <si>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</si>
  <si>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</si>
  <si>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</si>
  <si>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</si>
  <si>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</si>
  <si>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</si>
  <si>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</si>
  <si>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</si>
  <si>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</si>
  <si>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</si>
  <si>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</si>
  <si>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</si>
  <si>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</si>
  <si>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</si>
  <si>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</si>
  <si>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</si>
  <si>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</si>
  <si>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</si>
  <si>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</si>
  <si>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</si>
  <si>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</si>
  <si>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</si>
  <si>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</si>
  <si>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</si>
  <si>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</si>
  <si>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</si>
  <si>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</si>
  <si>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</si>
  <si>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</si>
  <si>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</si>
  <si>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</si>
  <si>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</si>
  <si>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</si>
  <si>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</si>
  <si>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</si>
  <si>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</si>
  <si>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</si>
  <si>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</si>
  <si>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</si>
  <si>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</si>
  <si>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</si>
  <si>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</si>
  <si>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</si>
  <si>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</si>
  <si>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</si>
  <si>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</si>
  <si>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</si>
  <si>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</si>
  <si>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</si>
  <si>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</si>
  <si>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</si>
  <si>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</si>
  <si>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</si>
  <si>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</si>
  <si>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</si>
  <si>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</si>
  <si>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</si>
  <si>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</si>
  <si>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</si>
  <si>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</si>
  <si>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</si>
  <si>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</si>
  <si>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</si>
  <si>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</si>
  <si>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</si>
  <si>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</si>
  <si>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</si>
  <si>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</si>
  <si>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</si>
  <si>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</si>
  <si>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</si>
  <si>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</si>
  <si>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</si>
  <si>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</si>
  <si>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</si>
  <si>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</si>
  <si>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</si>
  <si>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</si>
  <si>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</si>
  <si>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</si>
  <si>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</si>
  <si>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</si>
  <si>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</si>
  <si>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</si>
  <si>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</si>
  <si>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</si>
  <si>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</si>
  <si>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</si>
  <si>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</si>
  <si>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</si>
  <si>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</si>
  <si>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</si>
  <si>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</si>
  <si>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</si>
  <si>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</si>
  <si>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</si>
  <si>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</si>
  <si>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</si>
  <si>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</si>
  <si>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</si>
  <si>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</si>
  <si>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</si>
  <si>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</si>
  <si>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</si>
  <si>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</si>
  <si>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</si>
  <si>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</si>
  <si>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</si>
  <si>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</si>
  <si>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</si>
  <si>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</si>
  <si>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</si>
  <si>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</si>
  <si>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</si>
  <si>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</si>
  <si>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</si>
  <si>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</si>
  <si>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</si>
  <si>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</si>
  <si>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</si>
  <si>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</si>
  <si>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</si>
  <si>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</si>
  <si>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</si>
  <si>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</si>
  <si>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</si>
  <si>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</si>
  <si>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</si>
  <si>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</si>
  <si>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</si>
  <si>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</si>
  <si>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</si>
  <si>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</si>
  <si>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</si>
  <si>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</si>
  <si>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</si>
  <si>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</si>
  <si>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</si>
  <si>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</si>
  <si>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</si>
  <si>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</si>
  <si>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</si>
  <si>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</si>
  <si>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</si>
  <si>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</si>
  <si>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</si>
  <si>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</si>
  <si>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</si>
  <si>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</si>
  <si>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</si>
  <si>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</si>
  <si>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</si>
  <si>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</si>
  <si>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</si>
  <si>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</si>
  <si>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</si>
  <si>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</si>
  <si>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</si>
  <si>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</si>
  <si>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</si>
  <si>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</si>
  <si>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</si>
  <si>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</si>
  <si>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</si>
  <si>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</si>
  <si>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</si>
  <si>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</si>
  <si>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</si>
  <si>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</si>
  <si>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</si>
  <si>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</si>
  <si>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</si>
  <si>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</si>
  <si>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</si>
  <si>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</si>
  <si>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</si>
  <si>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</si>
  <si>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</si>
  <si>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</si>
  <si>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</si>
  <si>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</si>
  <si>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</si>
  <si>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</si>
  <si>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</si>
  <si>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</si>
  <si>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</si>
  <si>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</si>
  <si>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</si>
  <si>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</si>
  <si>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</si>
  <si>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</si>
  <si>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</si>
  <si>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</si>
  <si>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</si>
  <si>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</si>
  <si>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</si>
  <si>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</si>
  <si>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</si>
  <si>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</si>
  <si>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</si>
  <si>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</si>
  <si>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</si>
  <si>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</si>
  <si>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</si>
  <si>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</si>
  <si>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</si>
  <si>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</si>
  <si>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</si>
  <si>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</si>
  <si>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</si>
  <si>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</si>
  <si>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</si>
  <si>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</si>
  <si>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</si>
  <si>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</si>
  <si>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</si>
  <si>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</si>
  <si>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</si>
  <si>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</si>
  <si>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</si>
  <si>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</si>
  <si>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</si>
  <si>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</si>
  <si>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</si>
  <si>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</si>
  <si>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</si>
  <si>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</si>
  <si>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</si>
  <si>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</si>
  <si>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</si>
  <si>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</si>
  <si>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</si>
  <si>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</si>
  <si>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</si>
  <si>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</si>
  <si>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</si>
  <si>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</si>
  <si>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</si>
  <si>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</si>
  <si>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</si>
  <si>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</si>
  <si>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</si>
  <si>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</si>
  <si>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</si>
  <si>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</si>
  <si>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</si>
  <si>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</si>
  <si>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</si>
  <si>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</si>
  <si>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</si>
  <si>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</si>
  <si>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</si>
  <si>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</si>
  <si>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</si>
  <si>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</si>
  <si>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</si>
  <si>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</si>
  <si>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</si>
  <si>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</si>
  <si>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</si>
  <si>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</si>
  <si>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</si>
  <si>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</si>
  <si>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</si>
  <si>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</si>
  <si>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</si>
  <si>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</si>
  <si>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</si>
  <si>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</si>
  <si>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</si>
  <si>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</si>
  <si>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</si>
  <si>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</si>
  <si>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</si>
  <si>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</si>
  <si>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</si>
  <si>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</si>
  <si>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</si>
  <si>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</si>
  <si>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</si>
  <si>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</si>
  <si>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</si>
  <si>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</si>
  <si>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</si>
  <si>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</si>
  <si>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</si>
  <si>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</si>
  <si>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</si>
  <si>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</si>
  <si>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</si>
  <si>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</si>
  <si>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</si>
  <si>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</si>
  <si>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</si>
  <si>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</si>
  <si>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</si>
  <si>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</si>
  <si>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</si>
  <si>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</si>
  <si>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</si>
  <si>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</si>
  <si>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</si>
  <si>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</si>
  <si>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</si>
  <si>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</si>
  <si>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</si>
  <si>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</si>
  <si>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</si>
  <si>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</si>
  <si>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</si>
  <si>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</si>
  <si>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</si>
  <si>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</si>
  <si>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</si>
  <si>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</si>
  <si>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</si>
  <si>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</si>
  <si>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</si>
  <si>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</si>
  <si>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</si>
  <si>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</si>
  <si>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</si>
  <si>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</si>
  <si>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</si>
  <si>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</si>
  <si>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</si>
  <si>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</si>
  <si>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</si>
  <si>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</si>
  <si>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</si>
  <si>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</si>
  <si>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</si>
  <si>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</si>
  <si>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</si>
  <si>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</si>
  <si>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</si>
  <si>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</si>
  <si>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</si>
  <si>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</si>
  <si>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</si>
  <si>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</si>
  <si>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</si>
  <si>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</si>
  <si>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</si>
  <si>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</si>
  <si>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</si>
  <si>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</si>
  <si>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</si>
  <si>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</si>
  <si>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</si>
  <si>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</si>
  <si>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</si>
  <si>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</si>
  <si>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</si>
  <si>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</si>
  <si>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</si>
  <si>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</si>
  <si>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</si>
  <si>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</si>
  <si>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</si>
  <si>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</si>
  <si>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</si>
  <si>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</si>
  <si>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</si>
  <si>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</si>
  <si>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</si>
  <si>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</si>
  <si>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</si>
  <si>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</si>
  <si>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</si>
  <si>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</si>
  <si>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</si>
  <si>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</si>
  <si>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</si>
  <si>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</si>
  <si>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</si>
  <si>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</si>
  <si>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</si>
  <si>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</si>
  <si>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</si>
  <si>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</si>
  <si>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</si>
  <si>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</si>
  <si>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</si>
  <si>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</si>
  <si>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</si>
  <si>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</si>
  <si>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</si>
  <si>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</si>
  <si>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</si>
  <si>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</si>
  <si>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</si>
  <si>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</si>
  <si>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</si>
  <si>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</si>
  <si>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</si>
  <si>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</si>
  <si>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</si>
  <si>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</si>
  <si>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</si>
  <si>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</si>
  <si>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</si>
  <si>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</si>
  <si>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</si>
  <si>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</si>
  <si>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</si>
  <si>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</si>
  <si>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</si>
  <si>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</si>
  <si>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</si>
  <si>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</si>
  <si>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</si>
  <si>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</si>
  <si>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</si>
  <si>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</si>
  <si>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</si>
  <si>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</si>
  <si>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</si>
  <si>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</si>
  <si>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</si>
  <si>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</si>
  <si>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</si>
  <si>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</si>
  <si>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</si>
  <si>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</si>
  <si>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</si>
  <si>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</si>
  <si>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</si>
  <si>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</si>
  <si>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</si>
  <si>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</si>
  <si>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</si>
  <si>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</si>
  <si>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</si>
  <si>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</si>
  <si>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</si>
  <si>
    <t>序号</t>
    <phoneticPr fontId="143" type="noConversion"/>
  </si>
  <si>
    <t>《不动产权证书》证号</t>
  </si>
  <si>
    <t>建筑面积</t>
  </si>
  <si>
    <t>用途</t>
    <phoneticPr fontId="143" type="noConversion"/>
  </si>
  <si>
    <t>坐落</t>
    <phoneticPr fontId="143" type="noConversion"/>
  </si>
  <si>
    <t>商业</t>
    <phoneticPr fontId="143" type="noConversion"/>
  </si>
  <si>
    <t>合计</t>
    <phoneticPr fontId="143" type="noConversion"/>
  </si>
  <si>
    <t>泰兴市佳源新天地2号9幢301室</t>
  </si>
  <si>
    <t>泰兴市佳源新天地2号9幢401室</t>
  </si>
  <si>
    <t>泰兴市佳源新天地2号7幢315室</t>
  </si>
  <si>
    <t>泰兴市佳源新天地2号7幢316室</t>
  </si>
  <si>
    <t>泰兴市佳源新天地2号7幢317室</t>
  </si>
  <si>
    <t>泰兴市佳源新天地2号7幢318室</t>
  </si>
  <si>
    <t>泰兴市佳源新天地2号7幢319室</t>
  </si>
  <si>
    <t>泰兴市佳源新天地2号7幢320室</t>
  </si>
  <si>
    <t>泰兴市佳源新天地2号7幢321室</t>
  </si>
  <si>
    <t>泰兴市佳源新天地2号7幢323室</t>
  </si>
  <si>
    <t>泰兴市佳源新天地2号7幢324室</t>
  </si>
  <si>
    <t>泰兴市佳源新天地2号7幢325室</t>
  </si>
  <si>
    <t>泰兴市佳源新天地2号7幢327室</t>
  </si>
  <si>
    <t>泰兴市佳源新天地2号7幢328室</t>
  </si>
  <si>
    <t>泰兴市佳源新天地2号7幢329室</t>
  </si>
  <si>
    <t>泰兴市佳源新天地2号7幢330室</t>
  </si>
  <si>
    <t>泰兴市佳源新天地2号7幢331室</t>
  </si>
  <si>
    <t>泰兴市佳源新天地2号7幢332室</t>
  </si>
  <si>
    <t>泰兴市佳源新天地2号7幢333室</t>
  </si>
  <si>
    <t>泰兴市佳源新天地2号7幢334室</t>
  </si>
  <si>
    <t>泰兴市佳源新天地2号7幢335室</t>
  </si>
  <si>
    <t>泰兴市佳源新天地2号7幢336室</t>
  </si>
  <si>
    <t>泰兴市佳源新天地2号7幢337室</t>
  </si>
  <si>
    <t>泰兴市佳源新天地2号7幢338室</t>
  </si>
  <si>
    <t>泰兴市佳源新天地2号7幢339室</t>
  </si>
  <si>
    <t>泰兴市佳源新天地2号7幢340室</t>
  </si>
  <si>
    <t>泰兴市佳源新天地2号7幢341室</t>
  </si>
  <si>
    <t>泰兴市佳源新天地2号7幢342室</t>
  </si>
  <si>
    <t>泰兴市佳源新天地2号7幢343室</t>
  </si>
  <si>
    <t>泰兴市佳源新天地2号7幢344室</t>
  </si>
  <si>
    <t>泰兴市佳源新天地2号7幢345室</t>
  </si>
  <si>
    <t>泰兴市佳源新天地2号7幢346室</t>
  </si>
  <si>
    <t>泰兴市佳源新天地2号7幢347室</t>
  </si>
  <si>
    <t>泰兴市佳源新天地2号7幢348室</t>
  </si>
  <si>
    <t>泰兴市佳源新天地2号7幢349室</t>
  </si>
  <si>
    <t>泰兴市佳源新天地2号7幢401室</t>
  </si>
  <si>
    <t>泰兴市佳源新天地2号8幢302室</t>
  </si>
  <si>
    <t>泰兴市佳源新天地2号8幢306室</t>
  </si>
  <si>
    <t>泰兴市佳源新天地2号8幢401室</t>
  </si>
  <si>
    <t>泰兴市佳源新天地2号8幢501室</t>
  </si>
  <si>
    <t>泰兴市佳源新天地2号10幢301室</t>
  </si>
  <si>
    <t>泰兴市佳源新天地2号10幢401室</t>
  </si>
  <si>
    <t>泰兴市佳源新天地2号10幢402室</t>
  </si>
  <si>
    <t>泰兴市佳源新天地2号10幢403室</t>
  </si>
  <si>
    <t>泰兴市佳源新天地2号10幢404室</t>
  </si>
  <si>
    <t>泰兴市佳源新天地2号10幢405室</t>
  </si>
  <si>
    <t>泰兴市佳源新天地2号10幢406室</t>
  </si>
  <si>
    <t>泰兴市佳源新天地2号10幢407室</t>
  </si>
  <si>
    <t>泰兴市佳源新天地2号10幢408室</t>
  </si>
  <si>
    <t>泰兴市佳源新天地2号10幢409室</t>
  </si>
  <si>
    <t>泰兴市佳源新天地2号10幢410室</t>
  </si>
  <si>
    <t>泰兴市佳源新天地2号10幢411室</t>
  </si>
  <si>
    <t>泰兴市佳源新天地2号10幢412室</t>
  </si>
  <si>
    <t>泰兴市佳源新天地2号10幢413室</t>
  </si>
  <si>
    <t>泰兴市佳源新天地2号10幢414室</t>
  </si>
  <si>
    <t>泰兴市佳源新天地2号10幢415室</t>
  </si>
  <si>
    <t>泰兴市佳源新天地2号10幢416室</t>
  </si>
  <si>
    <t>泰兴市佳源新天地2号10幢417室</t>
  </si>
  <si>
    <t>泰兴市佳源新天地2号10幢418室</t>
  </si>
  <si>
    <t>泰兴市佳源新天地2号10幢419室</t>
  </si>
  <si>
    <t>泰兴市佳源新天地2号10幢420室</t>
  </si>
  <si>
    <t>泰兴市佳源新天地2号10幢421室</t>
  </si>
  <si>
    <t>泰兴市佳源新天地2号10幢422室</t>
  </si>
  <si>
    <t>泰兴市佳源新天地2号10幢423室</t>
  </si>
  <si>
    <t>泰兴市佳源新天地2号10幢424室</t>
  </si>
  <si>
    <t>泰兴市佳源新天地2号10幢425室</t>
  </si>
  <si>
    <t>泰兴市佳源新天地2号10幢426室</t>
  </si>
  <si>
    <t>泰兴市佳源新天地2号10幢427室</t>
  </si>
  <si>
    <t>泰兴市佳源新天地2号10幢428室</t>
  </si>
  <si>
    <t>泰兴市佳源新天地2号10幢429室</t>
  </si>
  <si>
    <t>泰兴市佳源新天地2号10幢430室</t>
  </si>
  <si>
    <t>泰兴市佳源新天地2号10幢431室</t>
  </si>
  <si>
    <t>泰兴市佳源新天地2号10幢432室</t>
  </si>
  <si>
    <t>泰兴市佳源新天地2号10幢433室</t>
  </si>
  <si>
    <t>泰兴市佳源新天地2号10幢501室</t>
  </si>
  <si>
    <t>泰兴市佳源新天地2号10幢502室</t>
  </si>
  <si>
    <t>泰兴市佳源新天地2号10幢503室</t>
  </si>
  <si>
    <t>泰兴市佳源新天地2号10幢504室</t>
  </si>
  <si>
    <t>泰兴市佳源新天地2号10幢505室</t>
  </si>
  <si>
    <t>泰兴市佳源新天地2号10幢506室</t>
  </si>
  <si>
    <t>泰兴市佳源新天地2号10幢507室</t>
  </si>
  <si>
    <t>泰兴市佳源新天地2号10幢508室</t>
  </si>
  <si>
    <t>泰兴市佳源新天地2号10幢509室</t>
  </si>
  <si>
    <t>泰兴市佳源新天地2号10幢510室</t>
  </si>
  <si>
    <t>泰兴市佳源新天地2号10幢511室</t>
  </si>
  <si>
    <t>泰兴市佳源新天地2号10幢512室</t>
  </si>
  <si>
    <t>泰兴市佳源新天地2号10幢513室</t>
  </si>
  <si>
    <t>泰兴市佳源新天地2号10幢514室</t>
  </si>
  <si>
    <t>泰兴市佳源新天地2号10幢515室</t>
  </si>
  <si>
    <t>泰兴市佳源新天地2号10幢516室</t>
  </si>
  <si>
    <t>泰兴市佳源新天地2号10幢517室</t>
  </si>
  <si>
    <t>泰兴市佳源新天地2号10幢518室</t>
  </si>
  <si>
    <t>泰兴市佳源新天地2号10幢519室</t>
  </si>
  <si>
    <t>泰兴市佳源新天地2号10幢520室</t>
  </si>
  <si>
    <t>泰兴市佳源新天地2号10幢521室</t>
  </si>
  <si>
    <t>泰兴市佳源新天地2号10幢522室</t>
  </si>
  <si>
    <t>泰兴市佳源新天地2号10幢523室</t>
  </si>
  <si>
    <t>泰兴市佳源新天地2号10幢524室</t>
  </si>
  <si>
    <t>泰兴市佳源新天地2号10幢525室</t>
  </si>
  <si>
    <t>泰兴市佳源新天地2号10幢526室</t>
  </si>
  <si>
    <t>泰兴市佳源新天地2号10幢527室</t>
  </si>
  <si>
    <t>泰兴市佳源新天地2号10幢528室</t>
  </si>
  <si>
    <t>泰兴市佳源新天地2号10幢529室</t>
  </si>
  <si>
    <t>泰兴市佳源新天地2号10幢530室</t>
  </si>
  <si>
    <t>泰兴市佳源新天地2号10幢531室</t>
  </si>
  <si>
    <t>泰兴市佳源新天地2号11幢301室</t>
  </si>
  <si>
    <t>苏（2018）泰兴市不动产权第0036221号</t>
    <phoneticPr fontId="143" type="noConversion"/>
  </si>
  <si>
    <t>承租人权益价值</t>
    <phoneticPr fontId="3" type="noConversion"/>
  </si>
  <si>
    <t>房地产价值</t>
  </si>
  <si>
    <r>
      <t>总</t>
    </r>
    <r>
      <rPr>
        <sz val="9"/>
        <color theme="1"/>
        <rFont val="Arial"/>
        <family val="2"/>
      </rPr>
      <t xml:space="preserve"> </t>
    </r>
    <r>
      <rPr>
        <sz val="9"/>
        <color theme="1"/>
        <rFont val="华文细黑"/>
        <family val="3"/>
        <charset val="134"/>
      </rPr>
      <t>价</t>
    </r>
  </si>
  <si>
    <t>楼面单价</t>
  </si>
  <si>
    <t>序号</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</si>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</sst>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华文细黑"/>
      <family val="3"/>
      <charset val="134"/>
    </font>
    <font>
      <sz val="9"/>
      <color theme="1"/>
      <name val="Arial"/>
      <family val="2"/>
    </font>
    <font>
      <sz val="12"/>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10" fontId="50" fillId="23" borderId="1" xfId="1"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24"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181" fontId="47" fillId="23" borderId="5"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xf numFmtId="0" fontId="99" fillId="0" borderId="1" xfId="0" applyFont="1" applyBorder="1">
      <alignment vertical="center"/>
    </xf>
    <xf numFmtId="0" fontId="255" fillId="0" borderId="1" xfId="0" applyFont="1" applyBorder="1">
      <alignment vertical="center"/>
    </xf>
    <xf numFmtId="0" fontId="0" fillId="7" borderId="1" xfId="0" applyFill="1" applyBorder="1">
      <alignment vertical="center"/>
    </xf>
    <xf numFmtId="0" fontId="99" fillId="7" borderId="1" xfId="0" applyFont="1" applyFill="1" applyBorder="1">
      <alignment vertical="center"/>
    </xf>
    <xf numFmtId="0" fontId="0" fillId="7" borderId="5" xfId="0" applyNumberFormat="1" applyFill="1" applyBorder="1" applyAlignment="1">
      <alignment horizontal="center"/>
    </xf>
    <xf numFmtId="0" fontId="0" fillId="7" borderId="3" xfId="0" applyNumberFormat="1" applyFill="1" applyBorder="1" applyAlignment="1">
      <alignment horizontal="center"/>
    </xf>
    <xf numFmtId="0" fontId="56" fillId="7" borderId="16" xfId="0" applyFont="1" applyFill="1" applyBorder="1" applyAlignment="1" applyProtection="1">
      <alignment horizontal="center" vertical="center"/>
    </xf>
    <xf numFmtId="0" fontId="50" fillId="7" borderId="31" xfId="0"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0" fontId="55" fillId="7" borderId="13" xfId="0" applyFont="1" applyFill="1" applyBorder="1" applyAlignment="1" applyProtection="1">
      <alignment vertical="center" wrapText="1"/>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5" fillId="7" borderId="58" xfId="0" applyFont="1" applyFill="1" applyBorder="1" applyAlignment="1" applyProtection="1">
      <alignment horizontal="center" vertical="center"/>
      <protection locked="0"/>
    </xf>
    <xf numFmtId="0" fontId="50" fillId="7" borderId="3" xfId="0" applyFont="1" applyFill="1" applyBorder="1" applyAlignment="1" applyProtection="1">
      <alignment horizontal="left" vertical="center"/>
      <protection locked="0"/>
    </xf>
    <xf numFmtId="0" fontId="55" fillId="7" borderId="24"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protection locked="0"/>
    </xf>
    <xf numFmtId="0" fontId="50" fillId="7" borderId="3"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horizontal="left" vertical="center"/>
      <protection locked="0"/>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7" fillId="7" borderId="1" xfId="0" applyFont="1" applyFill="1" applyBorder="1" applyAlignment="1" applyProtection="1">
      <alignment horizontal="center" vertical="center"/>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1" xfId="0" applyFont="1" applyFill="1" applyBorder="1" applyAlignment="1" applyProtection="1">
      <alignment horizontal="center" vertical="center"/>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49" fontId="50" fillId="7" borderId="23" xfId="0" applyNumberFormat="1" applyFont="1" applyFill="1" applyBorder="1" applyAlignment="1" applyProtection="1">
      <alignment horizontal="lef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181" fontId="50" fillId="7" borderId="48" xfId="0" applyNumberFormat="1" applyFont="1" applyFill="1" applyBorder="1" applyAlignment="1" applyProtection="1">
      <alignment horizontal="center" vertical="center" wrapText="1"/>
    </xf>
    <xf numFmtId="10" fontId="50" fillId="7" borderId="24"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protection locked="0"/>
    </xf>
    <xf numFmtId="0" fontId="50" fillId="7" borderId="24" xfId="0" applyFont="1" applyFill="1" applyBorder="1" applyAlignment="1" applyProtection="1">
      <alignment horizontal="center"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protection locked="0"/>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0" fontId="55" fillId="7" borderId="13" xfId="0" applyFont="1" applyFill="1" applyBorder="1" applyAlignment="1" applyProtection="1">
      <alignment vertical="center" wrapText="1"/>
      <protection locked="0"/>
    </xf>
    <xf numFmtId="0" fontId="55" fillId="7" borderId="13" xfId="0" applyFont="1" applyFill="1" applyBorder="1" applyAlignment="1" applyProtection="1">
      <alignment horizontal="center" vertical="center"/>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5" fillId="7" borderId="15" xfId="0" applyFont="1" applyFill="1" applyBorder="1" applyAlignment="1" applyProtection="1">
      <alignment horizontal="center" vertical="center"/>
    </xf>
    <xf numFmtId="0" fontId="50" fillId="7" borderId="15" xfId="0" applyFont="1" applyFill="1" applyBorder="1" applyAlignment="1" applyProtection="1">
      <alignment horizontal="left" vertical="center" wrapText="1"/>
      <protection locked="0"/>
    </xf>
    <xf numFmtId="179" fontId="55" fillId="7" borderId="24"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0" fontId="55" fillId="7" borderId="2" xfId="0" applyFont="1" applyFill="1" applyBorder="1" applyAlignment="1" applyProtection="1">
      <alignment horizontal="center" vertical="center"/>
    </xf>
    <xf numFmtId="0" fontId="55" fillId="7" borderId="32" xfId="0" applyFont="1" applyFill="1" applyBorder="1" applyAlignment="1" applyProtection="1">
      <alignment horizontal="left" vertical="center"/>
      <protection locked="0"/>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179" fontId="55" fillId="7" borderId="49" xfId="0" applyNumberFormat="1" applyFont="1" applyFill="1" applyBorder="1" applyAlignment="1" applyProtection="1">
      <alignment horizontal="center" vertical="center"/>
    </xf>
    <xf numFmtId="0" fontId="50" fillId="7" borderId="18" xfId="0" applyNumberFormat="1" applyFont="1" applyFill="1" applyBorder="1" applyAlignment="1" applyProtection="1">
      <alignment horizontal="center" vertical="center"/>
      <protection locked="0"/>
    </xf>
    <xf numFmtId="0" fontId="55" fillId="7" borderId="55" xfId="0" applyNumberFormat="1" applyFont="1" applyFill="1" applyBorder="1" applyAlignment="1" applyProtection="1">
      <alignment horizontal="left" vertical="center"/>
      <protection locked="0"/>
    </xf>
    <xf numFmtId="0" fontId="55" fillId="7" borderId="22" xfId="0" applyNumberFormat="1" applyFont="1" applyFill="1" applyBorder="1" applyAlignment="1" applyProtection="1">
      <alignment horizontal="left" vertical="center"/>
      <protection locked="0"/>
    </xf>
    <xf numFmtId="0" fontId="50" fillId="7" borderId="91" xfId="0" applyNumberFormat="1" applyFont="1" applyFill="1" applyBorder="1" applyAlignment="1" applyProtection="1">
      <alignment vertical="center"/>
    </xf>
    <xf numFmtId="0" fontId="55" fillId="7" borderId="23" xfId="0" applyNumberFormat="1" applyFont="1" applyFill="1" applyBorder="1" applyAlignment="1" applyProtection="1">
      <alignment horizontal="left" vertical="center"/>
    </xf>
    <xf numFmtId="0" fontId="50" fillId="7" borderId="23" xfId="0" applyNumberFormat="1" applyFont="1" applyFill="1" applyBorder="1" applyAlignment="1" applyProtection="1">
      <alignment horizontal="left" vertical="center"/>
    </xf>
    <xf numFmtId="0" fontId="55" fillId="7" borderId="23" xfId="0" applyNumberFormat="1" applyFont="1" applyFill="1" applyBorder="1" applyAlignment="1" applyProtection="1">
      <alignment horizontal="left" vertical="center"/>
      <protection locked="0"/>
    </xf>
    <xf numFmtId="0" fontId="55" fillId="7" borderId="11" xfId="0" applyNumberFormat="1" applyFont="1" applyFill="1" applyBorder="1" applyAlignment="1" applyProtection="1">
      <alignment vertical="center"/>
      <protection locked="0"/>
    </xf>
    <xf numFmtId="0" fontId="55" fillId="7" borderId="25" xfId="0" applyNumberFormat="1" applyFont="1" applyFill="1" applyBorder="1" applyAlignment="1" applyProtection="1">
      <alignment horizontal="left" vertical="center"/>
      <protection locked="0"/>
    </xf>
    <xf numFmtId="0" fontId="147" fillId="7" borderId="0" xfId="0" applyFont="1" applyFill="1" applyAlignment="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7"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55" fillId="0" borderId="156" xfId="0" applyFont="1" applyBorder="1" applyAlignment="1">
      <alignment vertical="center" wrapText="1"/>
    </xf>
    <xf numFmtId="0" fontId="255" fillId="0" borderId="158" xfId="0" applyFont="1" applyBorder="1" applyAlignment="1">
      <alignment vertical="center" wrapText="1"/>
    </xf>
    <xf numFmtId="0" fontId="255" fillId="0" borderId="157" xfId="0" applyFont="1" applyBorder="1" applyAlignment="1">
      <alignment vertical="center" wrapText="1"/>
    </xf>
    <xf numFmtId="0" fontId="255" fillId="0" borderId="160" xfId="0" applyFont="1" applyBorder="1" applyAlignment="1">
      <alignment vertical="center" wrapText="1"/>
    </xf>
    <xf numFmtId="0" fontId="257" fillId="0" borderId="0" xfId="0" applyFont="1" applyAlignment="1">
      <alignment vertical="center" wrapText="1"/>
    </xf>
    <xf numFmtId="0" fontId="256" fillId="0" borderId="161"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61" xfId="0" applyFont="1" applyBorder="1" applyAlignment="1">
      <alignment vertical="center" wrapText="1"/>
    </xf>
    <xf numFmtId="0" fontId="255" fillId="0" borderId="0" xfId="0" applyFont="1" applyBorder="1" applyAlignment="1">
      <alignment horizontal="justify" vertical="center" wrapText="1"/>
    </xf>
    <xf numFmtId="0" fontId="255" fillId="0" borderId="0" xfId="0" applyFont="1" applyBorder="1" applyAlignment="1">
      <alignment horizontal="center" vertical="center" wrapText="1"/>
    </xf>
    <xf numFmtId="0" fontId="256" fillId="0" borderId="162" xfId="0" applyFont="1" applyFill="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80630</v>
      </c>
    </row>
    <row r="21" spans="1:2" s="1591" customFormat="1">
      <c r="A21" s="1589" t="s">
        <v>1231</v>
      </c>
      <c r="B21" s="1590">
        <f ca="1">'预评函-2'!D7</f>
        <v>11800</v>
      </c>
    </row>
    <row r="22" spans="1:2" s="1591" customFormat="1">
      <c r="A22" s="1589" t="s">
        <v>1232</v>
      </c>
      <c r="B22" s="1590" t="str">
        <f ca="1">'预评函-2'!D6</f>
        <v>捌亿零陆佰叁拾万元整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80630</v>
      </c>
    </row>
    <row r="31" spans="1:2" s="1591" customFormat="1">
      <c r="A31" s="1589" t="s">
        <v>1270</v>
      </c>
      <c r="B31" s="1590">
        <f ca="1">'预评函-2'!D15</f>
        <v>11800</v>
      </c>
    </row>
    <row r="32" spans="1:2" s="1591" customFormat="1">
      <c r="A32" s="1589" t="s">
        <v>1237</v>
      </c>
      <c r="B32" s="1590" t="str">
        <f ca="1">'预评函-2'!D14</f>
        <v>捌亿零陆佰叁拾万元整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69397</v>
      </c>
    </row>
    <row r="39" spans="1:2" s="1591" customFormat="1">
      <c r="A39" s="1589" t="s">
        <v>1239</v>
      </c>
      <c r="B39" s="1590">
        <f ca="1">'预评函-2'!D21</f>
        <v>10156</v>
      </c>
    </row>
    <row r="40" spans="1:2" s="1591" customFormat="1">
      <c r="A40" s="1589" t="s">
        <v>1240</v>
      </c>
      <c r="B40" s="1590" t="str">
        <f ca="1">'预评函-2'!D20</f>
        <v>陆亿玖仟叁佰玖拾柒万元整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4125</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8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80"/>
      <c r="B54" s="2020" t="s">
        <v>861</v>
      </c>
      <c r="C54" s="2017" t="s">
        <v>1277</v>
      </c>
    </row>
    <row r="55" spans="1:4">
      <c r="A55" s="3180"/>
      <c r="B55" s="2020" t="s">
        <v>862</v>
      </c>
      <c r="C55" s="2017" t="s">
        <v>1278</v>
      </c>
    </row>
    <row r="56" spans="1:4">
      <c r="A56" s="3180"/>
      <c r="B56" s="2020" t="s">
        <v>863</v>
      </c>
      <c r="C56" s="2017" t="s">
        <v>1282</v>
      </c>
    </row>
    <row r="57" spans="1:4">
      <c r="A57" s="318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4" zoomScaleNormal="100" zoomScaleSheetLayoutView="100" workbookViewId="0">
      <selection activeCell="E18" sqref="E18:I18"/>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189"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190"/>
      <c r="D1" s="3190"/>
      <c r="E1" s="3190"/>
      <c r="F1" s="3190"/>
      <c r="G1" s="3190"/>
      <c r="H1" s="3190"/>
      <c r="I1" s="319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192"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193"/>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199" t="s">
        <v>3058</v>
      </c>
      <c r="C16" s="3200"/>
      <c r="D16" s="3201"/>
      <c r="E16" s="2080" t="s">
        <v>1798</v>
      </c>
      <c r="F16" s="3202"/>
      <c r="G16" s="3203"/>
      <c r="H16" s="3203"/>
      <c r="I16" s="3204"/>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205" t="s">
        <v>3060</v>
      </c>
      <c r="F17" s="3206"/>
      <c r="G17" s="3206"/>
      <c r="H17" s="3206"/>
      <c r="I17" s="3207"/>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208" t="s">
        <v>1804</v>
      </c>
      <c r="F18" s="3209"/>
      <c r="G18" s="3209"/>
      <c r="H18" s="3209"/>
      <c r="I18" s="3210"/>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195" t="s">
        <v>1809</v>
      </c>
      <c r="C20" s="3196"/>
      <c r="D20" s="3197" t="s">
        <v>1810</v>
      </c>
      <c r="E20" s="3198"/>
      <c r="F20" s="2092" t="s">
        <v>1811</v>
      </c>
      <c r="G20" s="2040"/>
      <c r="H20" s="2040"/>
      <c r="I20" s="2040"/>
      <c r="J20" s="2040"/>
      <c r="K20" s="3194"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19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19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182"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82"/>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82"/>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83"/>
      <c r="B30" s="2033" t="s">
        <v>1828</v>
      </c>
      <c r="C30" s="3184"/>
      <c r="D30" s="3185"/>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86"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187"/>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187"/>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181" t="s">
        <v>1838</v>
      </c>
      <c r="T34" s="2129" t="str">
        <f>NUMBERSTRING(7-K34,1)&amp;"通"</f>
        <v>七通</v>
      </c>
      <c r="U34" s="2027"/>
      <c r="V34" s="2027"/>
    </row>
    <row r="35" spans="1:22" ht="18" customHeight="1">
      <c r="A35" s="2130"/>
      <c r="B35" s="3188" t="s">
        <v>1839</v>
      </c>
      <c r="C35" s="3188"/>
      <c r="D35" s="3188"/>
      <c r="E35" s="3188"/>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81"/>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1" t="s">
        <v>0</v>
      </c>
      <c r="B1" s="3211" t="s">
        <v>4</v>
      </c>
      <c r="C1" s="3211" t="s">
        <v>5</v>
      </c>
      <c r="D1" s="3212" t="s">
        <v>53</v>
      </c>
      <c r="E1" s="3212" t="s">
        <v>54</v>
      </c>
      <c r="F1" s="3212"/>
      <c r="G1" s="3212"/>
      <c r="H1" s="3212"/>
      <c r="I1" s="3212"/>
      <c r="J1" s="3212"/>
      <c r="K1" s="3212"/>
      <c r="L1" s="3212"/>
      <c r="M1" s="3212"/>
    </row>
    <row r="2" spans="1:13" ht="27" customHeight="1">
      <c r="A2" s="3211"/>
      <c r="B2" s="3211"/>
      <c r="C2" s="3211"/>
      <c r="D2" s="3212"/>
      <c r="E2" s="3212" t="s">
        <v>37</v>
      </c>
      <c r="F2" s="3212" t="s">
        <v>38</v>
      </c>
      <c r="G2" s="3212"/>
      <c r="H2" s="3212"/>
      <c r="I2" s="3212"/>
      <c r="J2" s="3212" t="s">
        <v>39</v>
      </c>
      <c r="K2" s="3212"/>
      <c r="L2" s="3212"/>
      <c r="M2" s="3212"/>
    </row>
    <row r="3" spans="1:13" ht="28.5">
      <c r="A3" s="3211"/>
      <c r="B3" s="3211"/>
      <c r="C3" s="3211"/>
      <c r="D3" s="3212"/>
      <c r="E3" s="32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2" t="s">
        <v>55</v>
      </c>
      <c r="B9" s="3212"/>
      <c r="C9" s="32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27" sqref="F27"/>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222" t="s">
        <v>1935</v>
      </c>
      <c r="B2" s="3222"/>
      <c r="C2" s="3222"/>
      <c r="D2" s="965" t="s">
        <v>1911</v>
      </c>
      <c r="E2" s="2222" t="s">
        <v>1912</v>
      </c>
      <c r="F2" s="1390"/>
      <c r="G2" s="2223"/>
      <c r="H2" s="2224"/>
      <c r="I2" s="2225" t="s">
        <v>1936</v>
      </c>
      <c r="J2" s="1390"/>
      <c r="K2" s="1390"/>
      <c r="L2" s="1390"/>
      <c r="M2" s="1390"/>
      <c r="N2" s="1425"/>
      <c r="O2" s="1390"/>
      <c r="P2" s="1390"/>
    </row>
    <row r="3" spans="1:16" ht="15.75" thickBot="1">
      <c r="A3" s="3223" t="s">
        <v>1909</v>
      </c>
      <c r="B3" s="3223"/>
      <c r="C3" s="3223"/>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224"/>
      <c r="B4" s="3225"/>
      <c r="C4" s="3226"/>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227" t="s">
        <v>1914</v>
      </c>
      <c r="C5" s="3227"/>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227" t="s">
        <v>1915</v>
      </c>
      <c r="C6" s="3227"/>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219"/>
      <c r="B7" s="3220"/>
      <c r="C7" s="3221"/>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216" t="s">
        <v>1939</v>
      </c>
      <c r="L16" s="3217"/>
      <c r="M16" s="3217"/>
      <c r="N16" s="3217"/>
      <c r="O16" s="3217"/>
      <c r="P16" s="3218"/>
    </row>
    <row r="17" spans="1:19" ht="15">
      <c r="A17" s="2237" t="s">
        <v>1940</v>
      </c>
      <c r="B17" s="2238" t="s">
        <v>1941</v>
      </c>
      <c r="C17" s="2239" t="s">
        <v>1942</v>
      </c>
      <c r="D17" s="2240" t="s">
        <v>1930</v>
      </c>
      <c r="E17" s="2241" t="s">
        <v>1931</v>
      </c>
      <c r="F17" s="2242"/>
      <c r="G17" s="2243"/>
      <c r="H17" s="2244" t="s">
        <v>1943</v>
      </c>
      <c r="I17" s="2245" t="s">
        <v>1928</v>
      </c>
      <c r="J17" s="1390"/>
      <c r="K17" s="3213" t="s">
        <v>1944</v>
      </c>
      <c r="L17" s="3214"/>
      <c r="M17" s="3215"/>
      <c r="N17" s="3213" t="s">
        <v>1945</v>
      </c>
      <c r="O17" s="3214"/>
      <c r="P17" s="3215"/>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L6" activePane="bottomRight" state="frozen"/>
      <selection activeCell="C50" sqref="C50"/>
      <selection pane="topRight" activeCell="C50" sqref="C50"/>
      <selection pane="bottomLeft" activeCell="C50" sqref="C50"/>
      <selection pane="bottomRight" activeCell="I18" sqref="I1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799">
        <v>0.98399999999999999</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005">
        <f>租约!H50</f>
        <v>4.3</v>
      </c>
      <c r="V6" s="79">
        <v>0.02</v>
      </c>
      <c r="W6" s="79">
        <v>0.2</v>
      </c>
      <c r="X6" s="1259"/>
      <c r="Y6" s="80">
        <f>N6</f>
        <v>0.98399999999999999</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004">
        <v>0.97899999999999998</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0.51</v>
      </c>
      <c r="V7" s="3006">
        <v>0</v>
      </c>
      <c r="W7" s="3006">
        <v>0</v>
      </c>
      <c r="X7" s="1259"/>
      <c r="Y7" s="3007">
        <f>N7</f>
        <v>0.97899999999999998</v>
      </c>
      <c r="Z7" s="3021">
        <f>ROUND(租约!H61*(1+AA7)^AF7,2)</f>
        <v>4.6399999999999997</v>
      </c>
      <c r="AA7" s="74">
        <f>V6</f>
        <v>0.02</v>
      </c>
      <c r="AB7" s="3008">
        <f>W6</f>
        <v>0.2</v>
      </c>
      <c r="AC7" s="1259"/>
      <c r="AD7" s="3009">
        <v>0.82</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4124</v>
      </c>
      <c r="AO7" s="55">
        <f t="shared" ref="AO7:AO13" ca="1" si="8">SUMIF(INDIRECT("'"&amp;AN7&amp;"'"&amp;"!A:A"),"总价",INDIRECT("'"&amp;AN7&amp;"'"&amp;"!B:B"))</f>
        <v>19248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0.98199999999999998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010">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011">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228" t="s">
        <v>2080</v>
      </c>
      <c r="B1" s="3229"/>
      <c r="C1" s="3229"/>
      <c r="D1" s="3229"/>
      <c r="E1" s="3229"/>
      <c r="F1" s="3229"/>
      <c r="G1" s="322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80630</v>
      </c>
      <c r="C5" s="1741">
        <f ca="1">ROUND(B5*10000/$B$1,0)</f>
        <v>11800</v>
      </c>
      <c r="D5" s="1741" t="e">
        <f ca="1">ROUND(B5*10000/$B$2,0)</f>
        <v>#DIV/0!</v>
      </c>
      <c r="E5" s="1740"/>
      <c r="F5" s="1738"/>
      <c r="G5" s="1738"/>
    </row>
    <row r="6" spans="1:10" ht="16.5">
      <c r="A6" s="1741" t="s">
        <v>1352</v>
      </c>
      <c r="B6" s="1741">
        <f ca="1">SUM(G14:G23)</f>
        <v>80630</v>
      </c>
      <c r="C6" s="1741">
        <f ca="1">ROUND(B6*10000/$B$1,0)</f>
        <v>11800</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69397</v>
      </c>
      <c r="C8" s="1741">
        <f ca="1">ROUND(B8*10000/$B$1,0)</f>
        <v>10156</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80630</v>
      </c>
      <c r="E14" s="1739">
        <f ca="1">ROUND(D14*10000/B14,0)</f>
        <v>11800</v>
      </c>
      <c r="F14" s="1739" t="e">
        <f ca="1">ROUND(D14*10000/C14,0)</f>
        <v>#DIV/0!</v>
      </c>
      <c r="G14" s="1739">
        <f ca="1">结果表!D122</f>
        <v>80630</v>
      </c>
      <c r="H14" s="1739" t="str">
        <f>结果表!D124</f>
        <v>——</v>
      </c>
      <c r="I14" s="1739">
        <f ca="1">结果表!D126</f>
        <v>69397</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J51" zoomScaleNormal="100" zoomScaleSheetLayoutView="100" zoomScalePageLayoutView="80" workbookViewId="0">
      <selection activeCell="N58" sqref="N5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263" t="str">
        <f>项目基本情况!S2</f>
        <v>江苏省泰州市泰兴市泰兴市佳源新天地2号16幢101室房地产</v>
      </c>
      <c r="B2" s="3264"/>
      <c r="C2" s="3264"/>
      <c r="D2" s="3264"/>
      <c r="E2" s="3264"/>
      <c r="F2" s="3264"/>
      <c r="G2" s="3264"/>
      <c r="H2" s="3264"/>
      <c r="I2" s="3265"/>
    </row>
    <row r="3" spans="1:12" ht="12.75">
      <c r="A3" s="3267" t="s">
        <v>2115</v>
      </c>
      <c r="B3" s="3268"/>
      <c r="C3" s="3268"/>
      <c r="D3" s="3268"/>
      <c r="E3" s="3268"/>
      <c r="F3" s="3268"/>
      <c r="G3" s="3268"/>
      <c r="H3" s="3268"/>
      <c r="I3" s="3268"/>
    </row>
    <row r="4" spans="1:12" ht="14.25">
      <c r="A4" s="2420" t="s">
        <v>2116</v>
      </c>
      <c r="B4" s="2421" t="s">
        <v>2117</v>
      </c>
      <c r="C4" s="2422" t="s">
        <v>3066</v>
      </c>
      <c r="D4" s="2422" t="s">
        <v>4128</v>
      </c>
      <c r="E4" s="3260" t="s">
        <v>2118</v>
      </c>
      <c r="F4" s="3261"/>
      <c r="G4" s="3261"/>
      <c r="H4" s="3261"/>
      <c r="I4" s="326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43" t="s">
        <v>2119</v>
      </c>
      <c r="B5" s="3181">
        <v>25</v>
      </c>
      <c r="C5" s="3246"/>
      <c r="D5" s="3266"/>
      <c r="E5" s="139" t="s">
        <v>2120</v>
      </c>
      <c r="F5" s="2424"/>
      <c r="G5" s="2424"/>
      <c r="H5" s="2424"/>
      <c r="I5" s="1829"/>
    </row>
    <row r="6" spans="1:12" ht="12.75">
      <c r="A6" s="3243"/>
      <c r="B6" s="3181"/>
      <c r="C6" s="3247"/>
      <c r="D6" s="3266"/>
      <c r="E6" s="139" t="s">
        <v>2121</v>
      </c>
      <c r="F6" s="2424"/>
      <c r="G6" s="2424"/>
      <c r="H6" s="2424"/>
      <c r="I6" s="1829"/>
    </row>
    <row r="7" spans="1:12" ht="12.75">
      <c r="A7" s="3243"/>
      <c r="B7" s="3181"/>
      <c r="C7" s="3248"/>
      <c r="D7" s="3266"/>
      <c r="E7" s="139" t="s">
        <v>2122</v>
      </c>
      <c r="F7" s="2424"/>
      <c r="G7" s="2424"/>
      <c r="H7" s="2424"/>
      <c r="I7" s="1829"/>
    </row>
    <row r="8" spans="1:12" ht="12.75">
      <c r="A8" s="3243" t="s">
        <v>2123</v>
      </c>
      <c r="B8" s="3181">
        <v>15</v>
      </c>
      <c r="C8" s="3246"/>
      <c r="D8" s="3266"/>
      <c r="E8" s="139" t="s">
        <v>2124</v>
      </c>
      <c r="F8" s="2424"/>
      <c r="G8" s="2424"/>
      <c r="H8" s="2424"/>
      <c r="I8" s="1829"/>
    </row>
    <row r="9" spans="1:12" ht="12.75">
      <c r="A9" s="3243"/>
      <c r="B9" s="3181"/>
      <c r="C9" s="3248"/>
      <c r="D9" s="3266"/>
      <c r="E9" s="139" t="s">
        <v>2125</v>
      </c>
      <c r="F9" s="2424"/>
      <c r="G9" s="2424"/>
      <c r="H9" s="2424"/>
      <c r="I9" s="1829"/>
    </row>
    <row r="10" spans="1:12" ht="12.75">
      <c r="A10" s="3243" t="s">
        <v>2126</v>
      </c>
      <c r="B10" s="3181">
        <v>15</v>
      </c>
      <c r="C10" s="3246"/>
      <c r="D10" s="3266"/>
      <c r="E10" s="139" t="s">
        <v>2127</v>
      </c>
      <c r="F10" s="2424"/>
      <c r="G10" s="2424"/>
      <c r="H10" s="2424"/>
      <c r="I10" s="1829"/>
    </row>
    <row r="11" spans="1:12" ht="12.75">
      <c r="A11" s="3243"/>
      <c r="B11" s="3181"/>
      <c r="C11" s="3248"/>
      <c r="D11" s="3266"/>
      <c r="E11" s="139" t="s">
        <v>2128</v>
      </c>
      <c r="F11" s="2424"/>
      <c r="G11" s="2424"/>
      <c r="H11" s="2424"/>
      <c r="I11" s="1829"/>
    </row>
    <row r="12" spans="1:12" ht="12.75">
      <c r="A12" s="3243" t="s">
        <v>2129</v>
      </c>
      <c r="B12" s="3181">
        <v>15</v>
      </c>
      <c r="C12" s="3246"/>
      <c r="D12" s="3266"/>
      <c r="E12" s="139" t="s">
        <v>2130</v>
      </c>
      <c r="F12" s="2424"/>
      <c r="G12" s="2424"/>
      <c r="H12" s="2424"/>
      <c r="I12" s="1829"/>
    </row>
    <row r="13" spans="1:12" ht="12.75">
      <c r="A13" s="3243"/>
      <c r="B13" s="3181"/>
      <c r="C13" s="3248"/>
      <c r="D13" s="3266"/>
      <c r="E13" s="139" t="s">
        <v>2131</v>
      </c>
      <c r="F13" s="2424"/>
      <c r="G13" s="2424"/>
      <c r="H13" s="2424"/>
      <c r="I13" s="1829"/>
    </row>
    <row r="14" spans="1:12" ht="12.75">
      <c r="A14" s="3243" t="s">
        <v>2132</v>
      </c>
      <c r="B14" s="3181">
        <v>30</v>
      </c>
      <c r="C14" s="3246">
        <v>40</v>
      </c>
      <c r="D14" s="3266">
        <v>60</v>
      </c>
      <c r="E14" s="139" t="s">
        <v>2133</v>
      </c>
      <c r="F14" s="2424"/>
      <c r="G14" s="2424"/>
      <c r="H14" s="2424"/>
      <c r="I14" s="1829"/>
    </row>
    <row r="15" spans="1:12" ht="12.75">
      <c r="A15" s="3243"/>
      <c r="B15" s="3181"/>
      <c r="C15" s="3247"/>
      <c r="D15" s="3266"/>
      <c r="E15" s="139" t="s">
        <v>2134</v>
      </c>
      <c r="F15" s="2424"/>
      <c r="G15" s="2424"/>
      <c r="H15" s="2424"/>
      <c r="I15" s="1829"/>
    </row>
    <row r="16" spans="1:12" ht="12.75">
      <c r="A16" s="3243"/>
      <c r="B16" s="3181"/>
      <c r="C16" s="3248"/>
      <c r="D16" s="3266"/>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49377</v>
      </c>
      <c r="D19" s="143">
        <f ca="1">SUMIF(INDIRECT("'"&amp;D4&amp;"'"&amp;"!A:A"),结果表!B19,INDIRECT("'"&amp;D4&amp;"'"&amp;"!B:B"))</f>
        <v>101465</v>
      </c>
      <c r="E19" s="2429" t="s">
        <v>2143</v>
      </c>
      <c r="F19" s="2430" t="s">
        <v>2142</v>
      </c>
      <c r="G19" s="144">
        <f ca="1">ROUND(C19*$C$18+D19*$D$18,0)</f>
        <v>80630</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7226</v>
      </c>
      <c r="D20" s="146">
        <f ca="1">SUMIF(INDIRECT("'"&amp;D4&amp;"'"&amp;"!A:A"),结果表!B20,INDIRECT("'"&amp;D4&amp;"'"&amp;"!B:B"))</f>
        <v>14850</v>
      </c>
      <c r="E20" s="2432"/>
      <c r="F20" s="1245" t="s">
        <v>2146</v>
      </c>
      <c r="G20" s="147">
        <f ca="1">ROUND(C20*$C$18+D20*$D$18,0)</f>
        <v>11800</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1.0549041051501713</v>
      </c>
      <c r="E22" s="137"/>
      <c r="F22" s="137"/>
      <c r="G22" s="137"/>
      <c r="H22" s="137"/>
      <c r="I22" s="137"/>
    </row>
    <row r="23" spans="1:35" ht="13.5" thickBot="1">
      <c r="A23" s="2413"/>
      <c r="B23" s="2413"/>
      <c r="C23" s="2413"/>
      <c r="D23" s="2413"/>
      <c r="E23" s="138"/>
      <c r="F23" s="137"/>
      <c r="G23" s="137"/>
      <c r="H23" s="137"/>
      <c r="I23" s="137"/>
    </row>
    <row r="24" spans="1:35" ht="14.25">
      <c r="A24" s="3237" t="s">
        <v>2150</v>
      </c>
      <c r="B24" s="2430" t="s">
        <v>2142</v>
      </c>
      <c r="C24" s="144">
        <f>IF(B30=0,0,D30)</f>
        <v>0</v>
      </c>
      <c r="D24" s="2437"/>
      <c r="E24" s="137"/>
      <c r="F24" s="137"/>
      <c r="G24" s="137"/>
      <c r="H24" s="137"/>
      <c r="I24" s="137"/>
    </row>
    <row r="25" spans="1:35" ht="14.25">
      <c r="A25" s="3238"/>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80630</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255" t="s">
        <v>2164</v>
      </c>
      <c r="B36" s="2456" t="s">
        <v>2165</v>
      </c>
      <c r="C36" s="153"/>
      <c r="D36" s="2457"/>
      <c r="E36" s="2458"/>
      <c r="F36" s="2459"/>
      <c r="G36" s="137"/>
      <c r="H36" s="137"/>
      <c r="I36" s="137"/>
    </row>
    <row r="37" spans="1:15" ht="15.75" thickBot="1">
      <c r="A37" s="3256"/>
      <c r="B37" s="2262" t="s">
        <v>2166</v>
      </c>
      <c r="C37" s="155"/>
      <c r="D37" s="1390"/>
      <c r="E37" s="1390"/>
      <c r="F37" s="2459"/>
      <c r="G37" s="137"/>
      <c r="H37" s="137"/>
      <c r="I37" s="137"/>
    </row>
    <row r="38" spans="1:15" ht="15.75" thickBot="1">
      <c r="A38" s="3257"/>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234" t="s">
        <v>2178</v>
      </c>
      <c r="B45" s="3235"/>
      <c r="C45" s="3236"/>
      <c r="D45" s="163">
        <f ca="1">ROUND(H101*F45,0)</f>
        <v>80630</v>
      </c>
      <c r="E45" s="164" t="s">
        <v>2179</v>
      </c>
      <c r="F45" s="165">
        <v>1</v>
      </c>
      <c r="G45" s="166" t="s">
        <v>2180</v>
      </c>
      <c r="H45" s="137"/>
      <c r="I45" s="137"/>
      <c r="J45" s="3294" t="s">
        <v>2181</v>
      </c>
      <c r="K45" s="3294"/>
      <c r="L45" s="3294"/>
      <c r="M45" s="3294"/>
      <c r="N45" s="3294"/>
      <c r="O45" s="3294"/>
    </row>
    <row r="46" spans="1:15" ht="14.25" customHeight="1">
      <c r="A46" s="3231" t="s">
        <v>2182</v>
      </c>
      <c r="B46" s="3232"/>
      <c r="C46" s="3232"/>
      <c r="D46" s="3232"/>
      <c r="E46" s="3232"/>
      <c r="F46" s="3232"/>
      <c r="G46" s="3233"/>
      <c r="H46" s="2475"/>
      <c r="I46" s="167"/>
      <c r="J46" s="1807">
        <v>1</v>
      </c>
      <c r="K46" s="3294" t="s">
        <v>2183</v>
      </c>
      <c r="L46" s="3294"/>
      <c r="M46" s="3314"/>
      <c r="N46" s="3314"/>
      <c r="O46" s="3314"/>
    </row>
    <row r="47" spans="1:15" ht="12" customHeight="1">
      <c r="A47" s="168" t="s">
        <v>2184</v>
      </c>
      <c r="B47" s="169"/>
      <c r="C47" s="170"/>
      <c r="D47" s="171" t="s">
        <v>2185</v>
      </c>
      <c r="E47" s="24" t="s">
        <v>2186</v>
      </c>
      <c r="F47" s="172" t="s">
        <v>2187</v>
      </c>
      <c r="G47" s="173" t="s">
        <v>2188</v>
      </c>
      <c r="H47" s="2475"/>
      <c r="I47" s="167"/>
      <c r="J47" s="1807">
        <v>2</v>
      </c>
      <c r="K47" s="3294" t="s">
        <v>2189</v>
      </c>
      <c r="L47" s="3294"/>
      <c r="M47" s="3315">
        <f>'数据-取费表'!B2</f>
        <v>43391</v>
      </c>
      <c r="N47" s="3315"/>
      <c r="O47" s="3315"/>
    </row>
    <row r="48" spans="1:15" ht="25.5">
      <c r="A48" s="3262" t="s">
        <v>2190</v>
      </c>
      <c r="B48" s="3245"/>
      <c r="C48" s="3245"/>
      <c r="D48" s="139">
        <f ca="1">IF(H48="情况1",0,IF(H48="情况2",D52,IF(H48="情况3",D53,IF(H48="情况4",D54))))</f>
        <v>4223</v>
      </c>
      <c r="E48" s="1796" t="str">
        <f>IF(H48="情况4","(销售额-原购置价)×税（费）率","销售额×税（费）率")</f>
        <v>销售额×税（费）率</v>
      </c>
      <c r="F48" s="174">
        <f>IF(H48="情况1","免征",'数据-取费表'!B41)</f>
        <v>5.5000000000000007E-2</v>
      </c>
      <c r="G48" s="2476" t="s">
        <v>2191</v>
      </c>
      <c r="H48" s="2477" t="s">
        <v>4145</v>
      </c>
      <c r="I48" s="2475"/>
      <c r="J48" s="1807">
        <v>3</v>
      </c>
      <c r="K48" s="3294" t="s">
        <v>2192</v>
      </c>
      <c r="L48" s="3294"/>
      <c r="M48" s="3316">
        <f ca="1">H101</f>
        <v>80630</v>
      </c>
      <c r="N48" s="3316"/>
      <c r="O48" s="3316"/>
    </row>
    <row r="49" spans="1:35" ht="25.5" customHeight="1">
      <c r="A49" s="175" t="s">
        <v>2193</v>
      </c>
      <c r="B49" s="3230" t="s">
        <v>2194</v>
      </c>
      <c r="C49" s="3230"/>
      <c r="D49" s="176">
        <v>0</v>
      </c>
      <c r="E49" s="23" t="s">
        <v>2195</v>
      </c>
      <c r="F49" s="28" t="s">
        <v>34</v>
      </c>
      <c r="G49" s="3300"/>
      <c r="H49" s="137"/>
      <c r="I49" s="2478"/>
      <c r="J49" s="1807">
        <v>4</v>
      </c>
      <c r="K49" s="3294" t="str">
        <f>IF(项目基本情况!E8="房地产抵押价值","房地产抵押价值","抵押担保权已注销时的房地产抵押价值")</f>
        <v>房地产抵押价值</v>
      </c>
      <c r="L49" s="3294"/>
      <c r="M49" s="3316">
        <f ca="1">IF(项目基本情况!E8="房地产抵押价值",H107,H109)</f>
        <v>80630</v>
      </c>
      <c r="N49" s="3316"/>
      <c r="O49" s="3316"/>
    </row>
    <row r="50" spans="1:35" ht="25.5" customHeight="1">
      <c r="A50" s="177"/>
      <c r="B50" s="3230" t="s">
        <v>2196</v>
      </c>
      <c r="C50" s="3230"/>
      <c r="D50" s="178"/>
      <c r="E50" s="31"/>
      <c r="F50" s="179"/>
      <c r="G50" s="3301"/>
      <c r="H50" s="137"/>
      <c r="I50" s="2478"/>
      <c r="J50" s="3294" t="s">
        <v>2197</v>
      </c>
      <c r="K50" s="3294"/>
      <c r="L50" s="3294"/>
      <c r="M50" s="3294"/>
      <c r="N50" s="3294"/>
      <c r="O50" s="3294"/>
    </row>
    <row r="51" spans="1:35" ht="12" customHeight="1">
      <c r="A51" s="180"/>
      <c r="B51" s="3230" t="s">
        <v>2198</v>
      </c>
      <c r="C51" s="3230"/>
      <c r="D51" s="181"/>
      <c r="E51" s="30"/>
      <c r="F51" s="179"/>
      <c r="G51" s="3302"/>
      <c r="H51" s="137"/>
      <c r="I51" s="2478"/>
      <c r="J51" s="2479" t="s">
        <v>2199</v>
      </c>
      <c r="K51" s="3294" t="s">
        <v>2200</v>
      </c>
      <c r="L51" s="3294"/>
      <c r="M51" s="2479" t="s">
        <v>2201</v>
      </c>
      <c r="N51" s="2479" t="s">
        <v>2202</v>
      </c>
      <c r="O51" s="2479" t="s">
        <v>2203</v>
      </c>
    </row>
    <row r="52" spans="1:35" ht="24" customHeight="1">
      <c r="A52" s="182" t="s">
        <v>2204</v>
      </c>
      <c r="B52" s="3230" t="s">
        <v>2205</v>
      </c>
      <c r="C52" s="3230"/>
      <c r="D52" s="181">
        <f ca="1">ROUND(D45*'数据-取费表'!B41/(1+'数据-取费表'!C42),0)</f>
        <v>4223</v>
      </c>
      <c r="E52" s="11" t="s">
        <v>2206</v>
      </c>
      <c r="F52" s="183">
        <f>'数据-取费表'!B41</f>
        <v>5.5000000000000007E-2</v>
      </c>
      <c r="G52" s="2480"/>
      <c r="H52" s="137"/>
      <c r="I52" s="2478"/>
      <c r="J52" s="1807">
        <v>1</v>
      </c>
      <c r="K52" s="3295" t="s">
        <v>2207</v>
      </c>
      <c r="L52" s="3295"/>
      <c r="M52" s="1749">
        <f ca="1">D48</f>
        <v>4223</v>
      </c>
      <c r="N52" s="1807" t="str">
        <f>E48</f>
        <v>销售额×税（费）率</v>
      </c>
      <c r="O52" s="1750">
        <f>F48</f>
        <v>5.5000000000000007E-2</v>
      </c>
    </row>
    <row r="53" spans="1:35" ht="12" customHeight="1">
      <c r="A53" s="182" t="s">
        <v>2208</v>
      </c>
      <c r="B53" s="3253" t="s">
        <v>2209</v>
      </c>
      <c r="C53" s="3254"/>
      <c r="D53" s="181">
        <f ca="1">ROUND(D45*'数据-取费表'!B41/(1+'数据-取费表'!C42),0)</f>
        <v>4223</v>
      </c>
      <c r="E53" s="11" t="s">
        <v>2206</v>
      </c>
      <c r="F53" s="183">
        <f>'数据-取费表'!B41</f>
        <v>5.5000000000000007E-2</v>
      </c>
      <c r="G53" s="2480"/>
      <c r="H53" s="137"/>
      <c r="I53" s="2478"/>
      <c r="J53" s="1807">
        <v>2</v>
      </c>
      <c r="K53" s="3295" t="s">
        <v>2210</v>
      </c>
      <c r="L53" s="3295"/>
      <c r="M53" s="1749">
        <f t="shared" ref="M53:O54" ca="1" si="0">D55</f>
        <v>40</v>
      </c>
      <c r="N53" s="1807" t="str">
        <f t="shared" si="0"/>
        <v>销售额×税（费）率</v>
      </c>
      <c r="O53" s="1750">
        <f t="shared" si="0"/>
        <v>5.0000000000000001E-4</v>
      </c>
    </row>
    <row r="54" spans="1:35" ht="12" customHeight="1">
      <c r="A54" s="182" t="s">
        <v>2211</v>
      </c>
      <c r="B54" s="3253" t="s">
        <v>2212</v>
      </c>
      <c r="C54" s="3254"/>
      <c r="D54" s="181">
        <f ca="1">C68</f>
        <v>4223</v>
      </c>
      <c r="E54" s="30" t="s">
        <v>2213</v>
      </c>
      <c r="F54" s="183">
        <f>'数据-取费表'!B41</f>
        <v>5.5000000000000007E-2</v>
      </c>
      <c r="G54" s="2480"/>
      <c r="H54" s="2481"/>
      <c r="I54" s="2478"/>
      <c r="J54" s="1807">
        <v>3</v>
      </c>
      <c r="K54" s="3295" t="s">
        <v>2214</v>
      </c>
      <c r="L54" s="3295"/>
      <c r="M54" s="1749">
        <f t="shared" ca="1" si="0"/>
        <v>6970</v>
      </c>
      <c r="N54" s="1807" t="str">
        <f t="shared" si="0"/>
        <v>增值额×税（费）率</v>
      </c>
      <c r="O54" s="1751" t="str">
        <f t="shared" si="0"/>
        <v>——</v>
      </c>
    </row>
    <row r="55" spans="1:35" ht="24" customHeight="1">
      <c r="A55" s="3244" t="s">
        <v>2215</v>
      </c>
      <c r="B55" s="3245"/>
      <c r="C55" s="3245"/>
      <c r="D55" s="184">
        <f ca="1">IF(H55="个人住宅",0,ROUND(D45*I55,0))</f>
        <v>40</v>
      </c>
      <c r="E55" s="11" t="s">
        <v>2216</v>
      </c>
      <c r="F55" s="183">
        <f>IF(H55="正常",I55,"免征")</f>
        <v>5.0000000000000001E-4</v>
      </c>
      <c r="G55" s="2480"/>
      <c r="H55" s="2477" t="s">
        <v>2217</v>
      </c>
      <c r="I55" s="185">
        <f>'数据-取费表'!B49</f>
        <v>5.0000000000000001E-4</v>
      </c>
      <c r="J55" s="1807" t="str">
        <f>IF(H59="非个人房产","",4)</f>
        <v/>
      </c>
      <c r="K55" s="3295" t="str">
        <f>IF(H59="非个人房产","——","个人所得税")</f>
        <v>——</v>
      </c>
      <c r="L55" s="3295"/>
      <c r="M55" s="1752" t="str">
        <f>D59</f>
        <v>——</v>
      </c>
      <c r="N55" s="1805" t="str">
        <f>E59</f>
        <v>——</v>
      </c>
      <c r="O55" s="1753" t="str">
        <f>F59</f>
        <v>——</v>
      </c>
    </row>
    <row r="56" spans="1:35" ht="24.75">
      <c r="A56" s="3244" t="s">
        <v>2218</v>
      </c>
      <c r="B56" s="3245"/>
      <c r="C56" s="3245"/>
      <c r="D56" s="184">
        <f ca="1">IF(H56="个人住宅",D57,D58)</f>
        <v>6970</v>
      </c>
      <c r="E56" s="11" t="s">
        <v>2219</v>
      </c>
      <c r="F56" s="183" t="str">
        <f>IF(H56="正常",F58,"免征")</f>
        <v>——</v>
      </c>
      <c r="G56" s="2482" t="s">
        <v>2220</v>
      </c>
      <c r="H56" s="2483" t="s">
        <v>2217</v>
      </c>
      <c r="I56" s="2484"/>
      <c r="J56" s="1807" t="str">
        <f>IF(项目基本情况!K6="上海银行",IF(J55="",4,J55+1),"")</f>
        <v/>
      </c>
      <c r="K56" s="3318" t="str">
        <f>IF(项目基本情况!K6="上海银行","其他处置费用","")</f>
        <v/>
      </c>
      <c r="L56" s="3319"/>
      <c r="M56" s="1749" t="str">
        <f>IF(项目基本情况!K6="上海银行",M69,"")</f>
        <v/>
      </c>
      <c r="N56" s="3321" t="str">
        <f>IF(项目基本情况!K6="上海银行","包含处置中涉及的律师、诉讼、拍卖、评估等费用","")</f>
        <v/>
      </c>
      <c r="O56" s="3322"/>
    </row>
    <row r="57" spans="1:35" ht="12.75">
      <c r="A57" s="182" t="s">
        <v>2193</v>
      </c>
      <c r="B57" s="3260" t="s">
        <v>2221</v>
      </c>
      <c r="C57" s="3269"/>
      <c r="D57" s="186">
        <v>0</v>
      </c>
      <c r="E57" s="23" t="s">
        <v>2195</v>
      </c>
      <c r="F57" s="154"/>
      <c r="G57" s="2480"/>
      <c r="H57" s="2484"/>
      <c r="I57" s="2484"/>
      <c r="J57" s="3295">
        <f>IF(AND(J55="",J56=""),4,IF(项目基本情况!K6="上海银行",结果表!J56+1,结果表!J55+1))</f>
        <v>4</v>
      </c>
      <c r="K57" s="3295" t="s">
        <v>2222</v>
      </c>
      <c r="L57" s="2485" t="s">
        <v>2223</v>
      </c>
      <c r="M57" s="1754"/>
      <c r="N57" s="1755">
        <f ca="1">SUMIF(M52:M56,"&lt;9e307")</f>
        <v>11233</v>
      </c>
      <c r="O57" s="2486"/>
      <c r="P57" s="1748">
        <f ca="1">N57/M49</f>
        <v>0.13931539129356318</v>
      </c>
    </row>
    <row r="58" spans="1:35" ht="24.75">
      <c r="A58" s="182" t="s">
        <v>2204</v>
      </c>
      <c r="B58" s="3260" t="s">
        <v>2224</v>
      </c>
      <c r="C58" s="3261"/>
      <c r="D58" s="184">
        <f ca="1">IF(H58="转让取得",C81,C97)</f>
        <v>6970</v>
      </c>
      <c r="E58" s="11" t="s">
        <v>2219</v>
      </c>
      <c r="F58" s="24" t="s">
        <v>34</v>
      </c>
      <c r="G58" s="2480"/>
      <c r="H58" s="2483" t="s">
        <v>2225</v>
      </c>
      <c r="I58" s="2484"/>
      <c r="J58" s="3295"/>
      <c r="K58" s="3295"/>
      <c r="L58" s="2485" t="s">
        <v>2226</v>
      </c>
      <c r="M58" s="1756"/>
      <c r="N58" s="2487" t="str">
        <f ca="1">NUMBERSTRING(INT(N57*10000),2)&amp;"元整"</f>
        <v>壹亿壹仟贰佰叁拾叁万元整</v>
      </c>
      <c r="O58" s="2488"/>
    </row>
    <row r="59" spans="1:35" ht="24.75" thickBot="1">
      <c r="A59" s="3298" t="s">
        <v>2227</v>
      </c>
      <c r="B59" s="3299"/>
      <c r="C59" s="3299"/>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296">
        <f>J57+1</f>
        <v>5</v>
      </c>
      <c r="K59" s="3295" t="s">
        <v>2229</v>
      </c>
      <c r="L59" s="1807" t="s">
        <v>2223</v>
      </c>
      <c r="M59" s="1757"/>
      <c r="N59" s="1758">
        <f ca="1">M49-N57</f>
        <v>69397</v>
      </c>
      <c r="O59" s="2490"/>
    </row>
    <row r="60" spans="1:35" ht="12" customHeight="1">
      <c r="A60" s="2491"/>
      <c r="B60" s="2413"/>
      <c r="C60" s="2413"/>
      <c r="D60" s="2413"/>
      <c r="E60" s="2161"/>
      <c r="F60" s="2484"/>
      <c r="G60" s="2484"/>
      <c r="H60" s="2492"/>
      <c r="I60" s="137"/>
      <c r="J60" s="3297"/>
      <c r="K60" s="3295"/>
      <c r="L60" s="2485" t="s">
        <v>2226</v>
      </c>
      <c r="M60" s="1756"/>
      <c r="N60" s="2487" t="str">
        <f ca="1">NUMBERSTRING(INT(N59*10000),2)&amp;"元整"</f>
        <v>陆亿玖仟叁佰玖拾柒万元整</v>
      </c>
      <c r="O60" s="2488"/>
    </row>
    <row r="61" spans="1:35" ht="13.5" thickBot="1">
      <c r="A61" s="3242" t="s">
        <v>2230</v>
      </c>
      <c r="B61" s="3242"/>
      <c r="C61" s="3242"/>
      <c r="D61" s="3242"/>
      <c r="E61" s="3242"/>
      <c r="F61" s="2484"/>
      <c r="G61" s="2484"/>
      <c r="H61" s="2492"/>
      <c r="I61" s="137"/>
      <c r="J61" s="1807">
        <f>J59+1</f>
        <v>6</v>
      </c>
      <c r="K61" s="3295" t="s">
        <v>2231</v>
      </c>
      <c r="L61" s="3295"/>
      <c r="M61" s="1759"/>
      <c r="N61" s="1760">
        <f ca="1">ROUND(N59*10000/'数据-汇总表'!E3,0)</f>
        <v>10156</v>
      </c>
      <c r="O61" s="2493"/>
    </row>
    <row r="62" spans="1:35" ht="12.75">
      <c r="A62" s="3258" t="s">
        <v>2232</v>
      </c>
      <c r="B62" s="3259"/>
      <c r="C62" s="1799"/>
      <c r="D62" s="1799" t="s">
        <v>2233</v>
      </c>
      <c r="E62" s="191" t="s">
        <v>2234</v>
      </c>
      <c r="F62" s="2484"/>
      <c r="G62" s="2484"/>
      <c r="H62" s="2492"/>
      <c r="I62" s="137"/>
    </row>
    <row r="63" spans="1:35" ht="12.75">
      <c r="A63" s="202" t="s">
        <v>775</v>
      </c>
      <c r="B63" s="192" t="s">
        <v>2235</v>
      </c>
      <c r="C63" s="193">
        <f ca="1">ROUND((C64+C65)/(1+'数据-取费表'!C42),0)</f>
        <v>76790</v>
      </c>
      <c r="D63" s="194"/>
      <c r="E63" s="195"/>
      <c r="F63" s="2484"/>
      <c r="G63" s="2484"/>
      <c r="H63" s="2492"/>
      <c r="I63" s="137"/>
      <c r="J63" s="3320" t="s">
        <v>2236</v>
      </c>
      <c r="K63" s="2494" t="s">
        <v>2237</v>
      </c>
      <c r="L63" s="1747">
        <f ca="1">IF(M49&gt;10000,M49*0.5%,IF(AND(M49&gt;1000,M49&lt;=10000),M49*1%,IF(AND(M49&gt;100,M49&lt;=1000),M49*3%,IF(AND(M49&gt;10,M49&lt;=100),M49*5%,M49*8%))))</f>
        <v>403.15000000000003</v>
      </c>
      <c r="M63" s="24">
        <f ca="1">ROUND(L63,1)</f>
        <v>403.2</v>
      </c>
      <c r="Z63" s="2418"/>
      <c r="AI63" s="2419"/>
    </row>
    <row r="64" spans="1:35" ht="14.25" customHeight="1">
      <c r="A64" s="196" t="s">
        <v>770</v>
      </c>
      <c r="B64" s="197" t="s">
        <v>2238</v>
      </c>
      <c r="C64" s="198">
        <f ca="1">D45</f>
        <v>80630</v>
      </c>
      <c r="D64" s="199" t="s">
        <v>32</v>
      </c>
      <c r="E64" s="200"/>
      <c r="F64" s="2484"/>
      <c r="G64" s="2484"/>
      <c r="H64" s="2492"/>
      <c r="I64" s="137"/>
      <c r="J64" s="3320"/>
      <c r="K64" s="2494" t="s">
        <v>2239</v>
      </c>
      <c r="L64" s="1747">
        <f ca="1">IF(M49&gt;2000,M49*0.5%,IF(AND(M49&gt;1000,M49&lt;=2000),M49*0.6%,IF(AND(M49&gt;500,M49&lt;=1000),M49*0.7%,IF(AND(M49&gt;200,M49&lt;=500),M49*0.8%,IF(AND(M49&gt;100,M49&lt;=200),M49*0.9%,IF(AND(M49&gt;50,M49&lt;=100),M49*1%,IF(AND(M49&gt;20,M49&lt;=50),M49*1.5%,IF(AND(M49&gt;10,M49&lt;=20),M49*2%,IF(AND(M49&gt;1,M49&lt;=10),M49*2.5%)))))))))</f>
        <v>403.15000000000003</v>
      </c>
      <c r="M64" s="24">
        <f t="shared" ref="M64:M65" ca="1" si="1">ROUND(L64,1)</f>
        <v>403.2</v>
      </c>
      <c r="N64" s="137" t="s">
        <v>2240</v>
      </c>
      <c r="Z64" s="2418"/>
      <c r="AI64" s="2419"/>
    </row>
    <row r="65" spans="1:35" ht="14.25" customHeight="1">
      <c r="A65" s="196" t="s">
        <v>771</v>
      </c>
      <c r="B65" s="197" t="s">
        <v>2241</v>
      </c>
      <c r="C65" s="201"/>
      <c r="D65" s="199"/>
      <c r="E65" s="200"/>
      <c r="F65" s="2484"/>
      <c r="G65" s="2484"/>
      <c r="H65" s="2492"/>
      <c r="I65" s="137"/>
      <c r="J65" s="3320"/>
      <c r="K65" s="2494" t="s">
        <v>2242</v>
      </c>
      <c r="L65" s="1747">
        <f ca="1">IF(M49&gt;1000,M49*0.1%,IF(AND(M49&gt;500,M49&lt;=1000),M49*0.5%,IF(AND(M49&gt;50,M49&lt;=500),M49*1%,IF(AND(M49&gt;1,M49&lt;=50),M49*1.5%))))</f>
        <v>80.63</v>
      </c>
      <c r="M65" s="24">
        <f t="shared" ca="1" si="1"/>
        <v>80.599999999999994</v>
      </c>
      <c r="N65" s="137" t="s">
        <v>2240</v>
      </c>
      <c r="Z65" s="2418"/>
      <c r="AI65" s="2419"/>
    </row>
    <row r="66" spans="1:35" ht="14.25" customHeight="1">
      <c r="A66" s="202" t="s">
        <v>772</v>
      </c>
      <c r="B66" s="203" t="s">
        <v>2243</v>
      </c>
      <c r="C66" s="204"/>
      <c r="D66" s="205" t="s">
        <v>32</v>
      </c>
      <c r="E66" s="1771" t="s">
        <v>1367</v>
      </c>
      <c r="F66" s="2484"/>
      <c r="G66" s="2484"/>
      <c r="H66" s="2492"/>
      <c r="I66" s="137"/>
      <c r="J66" s="3320"/>
      <c r="K66" s="2494" t="s">
        <v>2244</v>
      </c>
      <c r="L66" s="1747">
        <f ca="1">M49*0.5%</f>
        <v>403.15000000000003</v>
      </c>
      <c r="M66" s="24">
        <f ca="1">IF(L66&gt;0.5,0.5,ROUND(L66,0))</f>
        <v>0.5</v>
      </c>
      <c r="N66" s="137" t="s">
        <v>2245</v>
      </c>
      <c r="Z66" s="2418"/>
      <c r="AI66" s="2419"/>
    </row>
    <row r="67" spans="1:35" ht="14.25" customHeight="1">
      <c r="A67" s="202" t="s">
        <v>773</v>
      </c>
      <c r="B67" s="203" t="s">
        <v>2246</v>
      </c>
      <c r="C67" s="206">
        <f ca="1">C63-C66</f>
        <v>76790</v>
      </c>
      <c r="D67" s="199" t="s">
        <v>32</v>
      </c>
      <c r="E67" s="200"/>
      <c r="F67" s="2484"/>
      <c r="G67" s="2484"/>
      <c r="H67" s="2492"/>
      <c r="I67" s="137"/>
      <c r="J67" s="3320"/>
      <c r="K67" s="2494" t="s">
        <v>2247</v>
      </c>
      <c r="L67" s="1747">
        <f ca="1">IF(M49&gt;=10000,(8.25+(M49-10000)*0.01%),IF(AND(M49&gt;=8000,M49&lt;10000),(7.85+(M49-8000)*0.02%),IF(AND(M49&gt;=5000,M49&lt;8000),(6.65+(M49-5000)*0.04%),IF(AND(M49&gt;=2000,M49&lt;5000),(4.25+(PM49-2000)*0.08%),IF(AND(M49&gt;=1000,M49&lt;2000),(2.75+(M49-1000)*0.15%),IF(AND(M49&gt;=100,M49&lt;1000),(0.5+(M49-100)*0.25%),IF(AND(M49&gt;0,M49&lt;100),M49*0.5%)))))))</f>
        <v>15.313000000000001</v>
      </c>
      <c r="M67" s="24">
        <f ca="1">ROUND(L67*0.9,1)</f>
        <v>13.8</v>
      </c>
      <c r="Z67" s="2418"/>
      <c r="AI67" s="2419"/>
    </row>
    <row r="68" spans="1:35" ht="14.25" customHeight="1" thickBot="1">
      <c r="A68" s="207" t="s">
        <v>774</v>
      </c>
      <c r="B68" s="208" t="s">
        <v>2248</v>
      </c>
      <c r="C68" s="209">
        <f ca="1">IF(C67&lt;=0,0,ROUND(C67*D68,0))</f>
        <v>4223</v>
      </c>
      <c r="D68" s="210">
        <f>'数据-取费表'!B41</f>
        <v>5.5000000000000007E-2</v>
      </c>
      <c r="E68" s="211"/>
      <c r="F68" s="2484"/>
      <c r="G68" s="2484"/>
      <c r="H68" s="2492"/>
      <c r="I68" s="137"/>
      <c r="J68" s="3320"/>
      <c r="K68" s="2494" t="s">
        <v>2249</v>
      </c>
      <c r="L68" s="1747">
        <f ca="1">IF(M49&gt;10000,M49*0.5%,IF(AND(M49&gt;5000,M49&lt;=10000),M49*1%,IF(AND(M49&gt;1000,M49&lt;=5000),M49*2%,IF(AND(M49&gt;200,M49&lt;=1000),M49*3%,M49*5%))))</f>
        <v>403.15000000000003</v>
      </c>
      <c r="M68" s="24">
        <f ca="1">ROUND(L68,1)</f>
        <v>403.2</v>
      </c>
      <c r="Z68" s="2418"/>
      <c r="AI68" s="2419"/>
    </row>
    <row r="69" spans="1:35" s="2441" customFormat="1" ht="16.5" customHeight="1">
      <c r="A69" s="2495"/>
      <c r="B69" s="2496"/>
      <c r="C69" s="2497"/>
      <c r="D69" s="2498"/>
      <c r="E69" s="2499"/>
      <c r="F69" s="2161"/>
      <c r="G69" s="2161"/>
      <c r="H69" s="2160"/>
      <c r="I69" s="2413"/>
      <c r="J69" s="3320"/>
      <c r="K69" s="2494" t="s">
        <v>2250</v>
      </c>
      <c r="L69" s="2500"/>
      <c r="M69" s="24">
        <f ca="1">ROUND(SUM(M63:M68),0)</f>
        <v>1305</v>
      </c>
      <c r="N69" s="1748">
        <f ca="1">M69/M49</f>
        <v>1.6185042788044151E-2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279" t="s">
        <v>2251</v>
      </c>
      <c r="B70" s="3280"/>
      <c r="C70" s="3280"/>
      <c r="D70" s="3280"/>
      <c r="E70" s="3280"/>
      <c r="F70" s="3280"/>
      <c r="G70" s="3280"/>
      <c r="H70" s="328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58" t="s">
        <v>2232</v>
      </c>
      <c r="B71" s="3259"/>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76790</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384</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253" t="s">
        <v>2260</v>
      </c>
      <c r="F76" s="3230"/>
      <c r="G76" s="3230"/>
      <c r="H76" s="327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384</v>
      </c>
      <c r="D78" s="225">
        <f>'数据-取费表'!B43</f>
        <v>5.000000000000001E-3</v>
      </c>
      <c r="E78" s="3239" t="s">
        <v>2265</v>
      </c>
      <c r="F78" s="3240"/>
      <c r="G78" s="3240"/>
      <c r="H78" s="324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76406</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198.97395833333334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45709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79" t="s">
        <v>2269</v>
      </c>
      <c r="B83" s="3280"/>
      <c r="C83" s="3280"/>
      <c r="D83" s="3280"/>
      <c r="E83" s="3280"/>
      <c r="F83" s="3280"/>
      <c r="G83" s="3280"/>
      <c r="H83" s="328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58" t="s">
        <v>2232</v>
      </c>
      <c r="B84" s="3259"/>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76790</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53558</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239" t="s">
        <v>2278</v>
      </c>
      <c r="F91" s="3240"/>
      <c r="G91" s="3240"/>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239" t="s">
        <v>2281</v>
      </c>
      <c r="F92" s="3240"/>
      <c r="G92" s="3240"/>
      <c r="H92" s="324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384</v>
      </c>
      <c r="D93" s="225">
        <f>'数据-取费表'!B43</f>
        <v>5.000000000000001E-3</v>
      </c>
      <c r="E93" s="3239" t="s">
        <v>2265</v>
      </c>
      <c r="F93" s="3240"/>
      <c r="G93" s="3240"/>
      <c r="H93" s="324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250" t="s">
        <v>2285</v>
      </c>
      <c r="F94" s="3251"/>
      <c r="G94" s="3251"/>
      <c r="H94" s="325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23232</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0.43377273236491282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6970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224" t="s">
        <v>2287</v>
      </c>
      <c r="B100" s="3225"/>
      <c r="C100" s="3225"/>
      <c r="D100" s="3241"/>
      <c r="E100" s="3225" t="s">
        <v>2288</v>
      </c>
      <c r="F100" s="3225"/>
      <c r="G100" s="3225"/>
      <c r="H100" s="3241"/>
      <c r="I100" s="137"/>
    </row>
    <row r="101" spans="1:35" ht="18.75" customHeight="1">
      <c r="A101" s="3303" t="s">
        <v>2289</v>
      </c>
      <c r="B101" s="3304"/>
      <c r="C101" s="734" t="str">
        <f>C4</f>
        <v>成本法</v>
      </c>
      <c r="D101" s="735" t="str">
        <f>D4</f>
        <v>收益法（汇总）</v>
      </c>
      <c r="E101" s="3317" t="s">
        <v>2290</v>
      </c>
      <c r="F101" s="3271"/>
      <c r="G101" s="2515" t="s">
        <v>2291</v>
      </c>
      <c r="H101" s="1043">
        <f ca="1">H118</f>
        <v>80630</v>
      </c>
      <c r="I101" s="137"/>
    </row>
    <row r="102" spans="1:35" ht="18.75" customHeight="1">
      <c r="A102" s="3273" t="s">
        <v>2292</v>
      </c>
      <c r="B102" s="2515" t="s">
        <v>2291</v>
      </c>
      <c r="C102" s="734">
        <f ca="1">C19</f>
        <v>49377</v>
      </c>
      <c r="D102" s="735">
        <f ca="1">D19</f>
        <v>101465</v>
      </c>
      <c r="E102" s="3317"/>
      <c r="F102" s="3271"/>
      <c r="G102" s="2515" t="s">
        <v>2293</v>
      </c>
      <c r="H102" s="370">
        <f ca="1">I118</f>
        <v>11800</v>
      </c>
      <c r="I102" s="137"/>
    </row>
    <row r="103" spans="1:35" ht="42.75" customHeight="1">
      <c r="A103" s="3273"/>
      <c r="B103" s="2515" t="s">
        <v>2293</v>
      </c>
      <c r="C103" s="736">
        <f ca="1">C20</f>
        <v>7226</v>
      </c>
      <c r="D103" s="737">
        <f ca="1">D20</f>
        <v>14850</v>
      </c>
      <c r="E103" s="3312" t="s">
        <v>2294</v>
      </c>
      <c r="F103" s="3313"/>
      <c r="G103" s="2516" t="s">
        <v>2295</v>
      </c>
      <c r="H103" s="1043">
        <f>IF(D36="正常操作",H104+H105+H106,H105+H106)</f>
        <v>0</v>
      </c>
      <c r="I103" s="137"/>
    </row>
    <row r="104" spans="1:35" ht="18.75" customHeight="1">
      <c r="A104" s="3273" t="s">
        <v>2296</v>
      </c>
      <c r="B104" s="2517" t="s">
        <v>2291</v>
      </c>
      <c r="C104" s="738">
        <f ca="1">H118</f>
        <v>80630</v>
      </c>
      <c r="D104" s="739"/>
      <c r="E104" s="2262" t="s">
        <v>2297</v>
      </c>
      <c r="F104" s="2253"/>
      <c r="G104" s="2516" t="s">
        <v>2295</v>
      </c>
      <c r="H104" s="1044">
        <f>IF(D36="同一抵押权人同一抵押物续贷",C36&amp;"（未扣减，详见特别提示）",C36)</f>
        <v>0</v>
      </c>
      <c r="I104" s="137"/>
    </row>
    <row r="105" spans="1:35" ht="18.75" customHeight="1" thickBot="1">
      <c r="A105" s="3274"/>
      <c r="B105" s="2518" t="s">
        <v>2293</v>
      </c>
      <c r="C105" s="740">
        <f ca="1">I118</f>
        <v>11800</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270" t="str">
        <f>IF(项目基本情况!E8="已注销","——","3.房地产抵押价值")</f>
        <v>3.房地产抵押价值</v>
      </c>
      <c r="F107" s="3271"/>
      <c r="G107" s="2515" t="s">
        <v>2291</v>
      </c>
      <c r="H107" s="1043">
        <f ca="1">IF(E107="——","——",H101-H103)</f>
        <v>80630</v>
      </c>
      <c r="I107" s="137"/>
    </row>
    <row r="108" spans="1:35" ht="18.75" customHeight="1">
      <c r="A108" s="137"/>
      <c r="B108" s="137"/>
      <c r="C108" s="137"/>
      <c r="D108" s="137"/>
      <c r="E108" s="3270"/>
      <c r="F108" s="3271"/>
      <c r="G108" s="2515" t="s">
        <v>2293</v>
      </c>
      <c r="H108" s="370">
        <f ca="1">ROUND(H107*10000/'数据-汇总表'!E3,0)</f>
        <v>11800</v>
      </c>
      <c r="I108" s="137"/>
    </row>
    <row r="109" spans="1:35" ht="18.75" customHeight="1">
      <c r="A109" s="137"/>
      <c r="B109" s="137"/>
      <c r="C109" s="137"/>
      <c r="D109" s="137"/>
      <c r="E109" s="3270" t="str">
        <f>IF(项目基本情况!E8="已注销及未注销","4.抵押担保权已注销时的房地产抵押价值",IF(项目基本情况!E8="已注销","3.抵押担保权已注销时的房地产抵押价值","——"))</f>
        <v>——</v>
      </c>
      <c r="F109" s="3271"/>
      <c r="G109" s="2515" t="s">
        <v>2291</v>
      </c>
      <c r="H109" s="347" t="str">
        <f>IF(E109="——","——",H101-H105-H106)</f>
        <v>——</v>
      </c>
      <c r="I109" s="137"/>
    </row>
    <row r="110" spans="1:35" ht="18.75" customHeight="1">
      <c r="A110" s="137"/>
      <c r="B110" s="137"/>
      <c r="C110" s="137"/>
      <c r="D110" s="137"/>
      <c r="E110" s="3270"/>
      <c r="F110" s="3271"/>
      <c r="G110" s="2515" t="s">
        <v>2293</v>
      </c>
      <c r="H110" s="370" t="str">
        <f>IF(H109="——","——",ROUND(H109*10000/'数据-汇总表'!E3,0))</f>
        <v>——</v>
      </c>
      <c r="I110" s="137"/>
    </row>
    <row r="111" spans="1:35" ht="18.75" customHeight="1">
      <c r="A111" s="137"/>
      <c r="B111" s="137"/>
      <c r="C111" s="137"/>
      <c r="D111" s="137"/>
      <c r="E111" s="3305" t="str">
        <f>IF(项目基本情况!E9="抵押净值",IF(OR(项目基本情况!E8="已注销",项目基本情况!E8="房地产抵押价值"),"4.抵押净值","5.抵押净值"),"——")</f>
        <v>4.抵押净值</v>
      </c>
      <c r="F111" s="3306"/>
      <c r="G111" s="2515" t="s">
        <v>2291</v>
      </c>
      <c r="H111" s="1043">
        <f ca="1">IF(E111="——","——",N59)</f>
        <v>69397</v>
      </c>
      <c r="I111" s="137"/>
    </row>
    <row r="112" spans="1:35" ht="18.75" customHeight="1" thickBot="1">
      <c r="A112" s="137"/>
      <c r="B112" s="137"/>
      <c r="C112" s="137"/>
      <c r="D112" s="137"/>
      <c r="E112" s="3307"/>
      <c r="F112" s="3308"/>
      <c r="G112" s="2520" t="s">
        <v>2293</v>
      </c>
      <c r="H112" s="788">
        <f ca="1">IF(E111="——","——",N61)</f>
        <v>10156</v>
      </c>
      <c r="I112" s="137"/>
    </row>
    <row r="113" spans="1:11" ht="18.75" customHeight="1">
      <c r="A113" s="137"/>
      <c r="B113" s="137"/>
      <c r="C113" s="137"/>
      <c r="D113" s="137"/>
      <c r="E113" s="3275" t="s">
        <v>2299</v>
      </c>
      <c r="F113" s="3275"/>
      <c r="G113" s="3275"/>
      <c r="H113" s="3275"/>
      <c r="I113" s="137"/>
    </row>
    <row r="114" spans="1:11" ht="3.75" customHeight="1">
      <c r="A114" s="2413"/>
      <c r="B114" s="2413"/>
      <c r="C114" s="2413"/>
      <c r="D114" s="2413"/>
      <c r="E114" s="2491"/>
      <c r="F114" s="2491"/>
      <c r="G114" s="2491"/>
      <c r="H114" s="2491"/>
      <c r="I114" s="2413"/>
    </row>
    <row r="115" spans="1:11" ht="18.75" customHeight="1">
      <c r="A115" s="3288" t="s">
        <v>2301</v>
      </c>
      <c r="B115" s="3289"/>
      <c r="C115" s="3289"/>
      <c r="D115" s="3289"/>
      <c r="E115" s="3289"/>
      <c r="F115" s="3289"/>
      <c r="G115" s="3289"/>
      <c r="H115" s="3289"/>
      <c r="I115" s="3290"/>
    </row>
    <row r="116" spans="1:11" ht="27" customHeight="1">
      <c r="A116" s="3181" t="s">
        <v>2302</v>
      </c>
      <c r="B116" s="3276" t="s">
        <v>2303</v>
      </c>
      <c r="C116" s="3276" t="s">
        <v>2304</v>
      </c>
      <c r="D116" s="3292" t="s">
        <v>2305</v>
      </c>
      <c r="E116" s="3293"/>
      <c r="F116" s="3284" t="s">
        <v>2306</v>
      </c>
      <c r="G116" s="3284"/>
      <c r="H116" s="3181" t="s">
        <v>2307</v>
      </c>
      <c r="I116" s="3181"/>
    </row>
    <row r="117" spans="1:11" ht="18.75" customHeight="1">
      <c r="A117" s="3181"/>
      <c r="B117" s="3277"/>
      <c r="C117" s="3277"/>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80630</v>
      </c>
      <c r="I118" s="1793">
        <f ca="1">ROUND(IF(D32="楼面单价",C32,H118*10000/B118),0)</f>
        <v>11800</v>
      </c>
    </row>
    <row r="119" spans="1:11" ht="18.75" customHeight="1">
      <c r="A119" s="3181" t="s">
        <v>2311</v>
      </c>
      <c r="B119" s="3181"/>
      <c r="C119" s="3181"/>
      <c r="D119" s="3281" t="e">
        <f ca="1">NUMBERSTRING(INT(D118*10000),2)&amp;"元整"</f>
        <v>#REF!</v>
      </c>
      <c r="E119" s="3283"/>
      <c r="F119" s="3281" t="e">
        <f ca="1">NUMBERSTRING(INT(F118*10000),2)&amp;"元整"</f>
        <v>#REF!</v>
      </c>
      <c r="G119" s="3283"/>
      <c r="H119" s="3281" t="str">
        <f ca="1">NUMBERSTRING(INT(H118*10000),2)&amp;"元整"</f>
        <v>捌亿零陆佰叁拾万元整</v>
      </c>
      <c r="I119" s="3283"/>
    </row>
    <row r="120" spans="1:11" ht="18.75" customHeight="1">
      <c r="A120" s="3309" t="str">
        <f>IF(项目基本情况!B9="房地产市场价值","",MID(E103,3,LEN(E103)-2))</f>
        <v>估价师知悉的法定优先受偿款</v>
      </c>
      <c r="B120" s="3310"/>
      <c r="C120" s="3311"/>
      <c r="D120" s="3309">
        <f>H103</f>
        <v>0</v>
      </c>
      <c r="E120" s="3310"/>
      <c r="F120" s="3310"/>
      <c r="G120" s="3310"/>
      <c r="H120" s="3310"/>
      <c r="I120" s="3311"/>
      <c r="K120" s="2418" t="str">
        <f>IF(D120=0,"故，本次评估不存在"&amp;A120,"故，本次评估"&amp;A120&amp;"为人民币"&amp;D120&amp;"万元整。")</f>
        <v>故，本次评估不存在估价师知悉的法定优先受偿款</v>
      </c>
    </row>
    <row r="121" spans="1:11" ht="18.75" customHeight="1">
      <c r="A121" s="3285" t="s">
        <v>2311</v>
      </c>
      <c r="B121" s="3286"/>
      <c r="C121" s="3287"/>
      <c r="D121" s="3281" t="str">
        <f>IF(D120=0,"零元整",NUMBERSTRING(INT(D120*10000),2)&amp;"元整")</f>
        <v>零元整</v>
      </c>
      <c r="E121" s="3282"/>
      <c r="F121" s="3282"/>
      <c r="G121" s="3282"/>
      <c r="H121" s="3282"/>
      <c r="I121" s="3283"/>
    </row>
    <row r="122" spans="1:11" ht="18.75" customHeight="1">
      <c r="A122" s="3272" t="str">
        <f>IF(项目基本情况!B9="房地产市场价值","",MID(E107,3,LEN(E107)-2))</f>
        <v>房地产抵押价值</v>
      </c>
      <c r="B122" s="3272"/>
      <c r="C122" s="3272"/>
      <c r="D122" s="3309">
        <f ca="1">H107</f>
        <v>80630</v>
      </c>
      <c r="E122" s="3310"/>
      <c r="F122" s="3310"/>
      <c r="G122" s="3310"/>
      <c r="H122" s="3310"/>
      <c r="I122" s="3311"/>
    </row>
    <row r="123" spans="1:11" ht="18.75" customHeight="1">
      <c r="A123" s="3181" t="s">
        <v>2311</v>
      </c>
      <c r="B123" s="3181"/>
      <c r="C123" s="3181"/>
      <c r="D123" s="3281" t="str">
        <f ca="1">NUMBERSTRING(INT(D122*10000),2)&amp;"元整"</f>
        <v>捌亿零陆佰叁拾万元整</v>
      </c>
      <c r="E123" s="3282"/>
      <c r="F123" s="3282"/>
      <c r="G123" s="3282"/>
      <c r="H123" s="3282"/>
      <c r="I123" s="3283"/>
    </row>
    <row r="124" spans="1:11" ht="18.75" customHeight="1">
      <c r="A124" s="3272" t="str">
        <f>IF(项目基本情况!B9="房地产市场价值","",MID(E109,3,LEN(E109)-2))</f>
        <v/>
      </c>
      <c r="B124" s="3272"/>
      <c r="C124" s="3272"/>
      <c r="D124" s="3309" t="str">
        <f>H109</f>
        <v>——</v>
      </c>
      <c r="E124" s="3310"/>
      <c r="F124" s="3310"/>
      <c r="G124" s="3310"/>
      <c r="H124" s="3310"/>
      <c r="I124" s="3311"/>
    </row>
    <row r="125" spans="1:11" ht="18.75" customHeight="1">
      <c r="A125" s="3181" t="s">
        <v>2311</v>
      </c>
      <c r="B125" s="3181"/>
      <c r="C125" s="3181"/>
      <c r="D125" s="3281" t="e">
        <f>NUMBERSTRING(INT(D124*10000),2)&amp;"元整"</f>
        <v>#VALUE!</v>
      </c>
      <c r="E125" s="3282"/>
      <c r="F125" s="3282"/>
      <c r="G125" s="3282"/>
      <c r="H125" s="3282"/>
      <c r="I125" s="3283"/>
    </row>
    <row r="126" spans="1:11" ht="18.75" customHeight="1">
      <c r="A126" s="3272" t="str">
        <f>IF(项目基本情况!B9="房地产市场价值","",MID(E111,3,LEN(E111)-2))</f>
        <v>抵押净值</v>
      </c>
      <c r="B126" s="3272"/>
      <c r="C126" s="3272"/>
      <c r="D126" s="3309">
        <f ca="1">H111</f>
        <v>69397</v>
      </c>
      <c r="E126" s="3310"/>
      <c r="F126" s="3310"/>
      <c r="G126" s="3310"/>
      <c r="H126" s="3310"/>
      <c r="I126" s="3311"/>
    </row>
    <row r="127" spans="1:11" ht="18.75" customHeight="1">
      <c r="A127" s="3181" t="s">
        <v>2311</v>
      </c>
      <c r="B127" s="3181"/>
      <c r="C127" s="3181"/>
      <c r="D127" s="3281" t="str">
        <f ca="1">NUMBERSTRING(INT(D126*10000),2)&amp;"元整"</f>
        <v>陆亿玖仟叁佰玖拾柒万元整</v>
      </c>
      <c r="E127" s="3282"/>
      <c r="F127" s="3282"/>
      <c r="G127" s="3282"/>
      <c r="H127" s="3282"/>
      <c r="I127" s="3283"/>
    </row>
    <row r="128" spans="1:11" ht="21.75" customHeight="1">
      <c r="A128" s="3291" t="s">
        <v>2312</v>
      </c>
      <c r="B128" s="3291"/>
      <c r="C128" s="3291"/>
      <c r="D128" s="3291"/>
      <c r="E128" s="3291"/>
      <c r="F128" s="3291"/>
      <c r="G128" s="3291"/>
      <c r="H128" s="3291"/>
      <c r="I128" s="3291"/>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110" zoomScaleNormal="110" workbookViewId="0">
      <selection activeCell="G63" sqref="G6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49377</v>
      </c>
      <c r="C2" s="242" t="s">
        <v>2322</v>
      </c>
      <c r="D2" s="2544" t="s">
        <v>3114</v>
      </c>
      <c r="E2" s="1438">
        <f ca="1">SUMIF(INDIRECT("'"&amp;G2&amp;"'"&amp;"!A:A"),"承租人权益价值",INDIRECT("'"&amp;G2&amp;"'"&amp;"!c:c"))</f>
        <v>12645</v>
      </c>
      <c r="F2" s="2545" t="s">
        <v>2322</v>
      </c>
      <c r="G2" s="2546" t="s">
        <v>4124</v>
      </c>
    </row>
    <row r="3" spans="1:9" s="243" customFormat="1" ht="18" customHeight="1" thickBot="1">
      <c r="A3" s="246" t="s">
        <v>2323</v>
      </c>
      <c r="B3" s="247">
        <f ca="1">ROUND(B2*10000/(IF(B1="",'数据-汇总表'!E3,INDIRECT("'数据-取费表'!k"&amp;$G$1))),0)</f>
        <v>7226</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21741</v>
      </c>
      <c r="D5" s="254" t="s">
        <v>2328</v>
      </c>
      <c r="E5" s="255" t="s">
        <v>2329</v>
      </c>
      <c r="F5" s="255" t="s">
        <v>2330</v>
      </c>
      <c r="G5" s="256"/>
    </row>
    <row r="6" spans="1:9" s="257" customFormat="1" ht="13.5" customHeight="1">
      <c r="A6" s="947" t="s">
        <v>2331</v>
      </c>
      <c r="B6" s="258" t="s">
        <v>2332</v>
      </c>
      <c r="C6" s="259">
        <f>'土地比较法-住宅、综合'!B2</f>
        <v>20567</v>
      </c>
      <c r="D6" s="260"/>
      <c r="E6" s="261"/>
      <c r="F6" s="261"/>
      <c r="G6" s="262"/>
    </row>
    <row r="7" spans="1:9" s="257" customFormat="1" ht="13.5" customHeight="1">
      <c r="A7" s="947" t="s">
        <v>2333</v>
      </c>
      <c r="B7" s="258" t="s">
        <v>2334</v>
      </c>
      <c r="C7" s="263">
        <f>ROUND(C6*F7,0)</f>
        <v>627</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012"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435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2135</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2114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21</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4435</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4435</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31158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323" t="s">
        <v>2403</v>
      </c>
    </row>
    <row r="43" spans="1:7" ht="13.5" customHeight="1">
      <c r="A43" s="949" t="s">
        <v>792</v>
      </c>
      <c r="B43" s="258" t="s">
        <v>2404</v>
      </c>
      <c r="C43" s="281">
        <f ca="1">ROUND(IF('数据-取费表'!B22&lt;=1,C39*F22*'数据-取费表'!B21/2,C39*(POWER((1+F22),'数据-取费表'!B21/2)-1)),0)</f>
        <v>22</v>
      </c>
      <c r="D43" s="281"/>
      <c r="E43" s="281"/>
      <c r="F43" s="282"/>
      <c r="G43" s="3324"/>
    </row>
    <row r="44" spans="1:7" ht="13.5" customHeight="1">
      <c r="A44" s="949" t="s">
        <v>793</v>
      </c>
      <c r="B44" s="258" t="s">
        <v>2405</v>
      </c>
      <c r="C44" s="281">
        <f ca="1">ROUND(IF('数据-取费表'!B22&lt;=1,C40*F22*'数据-取费表'!B21/2,C40*(POWER((1+F22),'数据-取费表'!B21/2)-1)),4)</f>
        <v>1E-3</v>
      </c>
      <c r="D44" s="281"/>
      <c r="E44" s="281"/>
      <c r="F44" s="282"/>
      <c r="G44" s="3325"/>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0.98199999999999998</v>
      </c>
      <c r="G50" s="290" t="s">
        <v>2416</v>
      </c>
    </row>
    <row r="51" spans="1:7" ht="16.5" customHeight="1">
      <c r="A51" s="298" t="s">
        <v>2417</v>
      </c>
      <c r="B51" s="253" t="s">
        <v>2418</v>
      </c>
      <c r="C51" s="275">
        <f ca="1">ROUND(C49*F50,0)</f>
        <v>30864</v>
      </c>
      <c r="D51" s="275"/>
      <c r="E51" s="275"/>
      <c r="F51" s="307"/>
      <c r="G51" s="277" t="s">
        <v>2419</v>
      </c>
    </row>
    <row r="52" spans="1:7" s="251" customFormat="1" ht="16.5" thickBot="1">
      <c r="A52" s="308" t="s">
        <v>2420</v>
      </c>
      <c r="B52" s="309"/>
      <c r="C52" s="310">
        <f ca="1">C31+C51</f>
        <v>62022</v>
      </c>
      <c r="D52" s="309"/>
      <c r="E52" s="309"/>
      <c r="F52" s="309"/>
      <c r="G52" s="311"/>
    </row>
    <row r="55" spans="1:7" ht="15">
      <c r="B55" s="313" t="s">
        <v>2421</v>
      </c>
      <c r="C55" s="314"/>
    </row>
    <row r="56" spans="1:7">
      <c r="B56" s="316" t="s">
        <v>1509</v>
      </c>
      <c r="C56" s="318">
        <f ca="1">1-C57</f>
        <v>0.502</v>
      </c>
    </row>
    <row r="57" spans="1:7">
      <c r="B57" s="316" t="s">
        <v>1510</v>
      </c>
      <c r="C57" s="317">
        <f ca="1">ROUND(C51/C52,3)</f>
        <v>0.498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37" t="str">
        <f>项目基本情况!B1</f>
        <v>江苏省泰州市泰兴市泰兴市佳源新天地2号16幢101室房地产抵押价值预评估</v>
      </c>
      <c r="C37" s="3137"/>
      <c r="D37" s="3137"/>
      <c r="E37" s="3137"/>
      <c r="F37" s="3137"/>
      <c r="G37" s="3137"/>
      <c r="H37" s="3137"/>
      <c r="I37" s="3137"/>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33604</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4918</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323" t="s">
        <v>2450</v>
      </c>
    </row>
    <row r="43" spans="1:7" ht="13.5" customHeight="1">
      <c r="A43" s="949" t="s">
        <v>792</v>
      </c>
      <c r="B43" s="258" t="s">
        <v>2404</v>
      </c>
      <c r="C43" s="281">
        <f ca="1">ROUND(IF('数据-取费表'!B22&lt;=1,C39*F22*'数据-取费表'!B20/2,C39*(POWER((1+F22),'数据-取费表'!B20/2)-1)),0)</f>
        <v>216480</v>
      </c>
      <c r="D43" s="281"/>
      <c r="E43" s="281"/>
      <c r="F43" s="282"/>
      <c r="G43" s="3324"/>
    </row>
    <row r="44" spans="1:7" ht="13.5" customHeight="1">
      <c r="A44" s="949" t="s">
        <v>793</v>
      </c>
      <c r="B44" s="258" t="s">
        <v>2405</v>
      </c>
      <c r="C44" s="281">
        <f ca="1">ROUND(IF('数据-取费表'!B22&lt;=1,C40*F22*'数据-取费表'!B20/2,C40*(POWER((1+F22),'数据-取费表'!B20/2)-1)),4)</f>
        <v>1E-3</v>
      </c>
      <c r="D44" s="281"/>
      <c r="E44" s="281"/>
      <c r="F44" s="282"/>
      <c r="G44" s="3325"/>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0.98199999999999998</v>
      </c>
      <c r="G50" s="290"/>
    </row>
    <row r="51" spans="1:7" ht="16.5" customHeight="1">
      <c r="A51" s="298" t="s">
        <v>2417</v>
      </c>
      <c r="B51" s="253" t="s">
        <v>2452</v>
      </c>
      <c r="C51" s="275">
        <f ca="1">ROUND(C49*F50,0)</f>
        <v>308625893</v>
      </c>
      <c r="D51" s="275"/>
      <c r="E51" s="275"/>
      <c r="F51" s="307"/>
      <c r="G51" s="277" t="s">
        <v>2419</v>
      </c>
    </row>
    <row r="52" spans="1:7" s="251" customFormat="1" ht="16.5" thickBot="1">
      <c r="A52" s="308" t="s">
        <v>2420</v>
      </c>
      <c r="B52" s="309"/>
      <c r="C52" s="310">
        <f ca="1">C31+C51</f>
        <v>336044257</v>
      </c>
      <c r="D52" s="309"/>
      <c r="E52" s="309"/>
      <c r="F52" s="309"/>
      <c r="G52" s="311"/>
    </row>
    <row r="55" spans="1:7" ht="15">
      <c r="B55" s="313" t="s">
        <v>2421</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326" t="s">
        <v>1399</v>
      </c>
      <c r="C6" s="1294">
        <f ca="1">ROUND(F6*F8*F7*(1-F9),0)</f>
        <v>0</v>
      </c>
      <c r="D6" s="163" t="s">
        <v>3024</v>
      </c>
      <c r="E6" s="346" t="s">
        <v>1401</v>
      </c>
      <c r="F6" s="347">
        <f ca="1">INDIRECT("'数据-取费表'!u"&amp;$G$1)</f>
        <v>0</v>
      </c>
      <c r="G6" s="1849"/>
      <c r="H6" s="1289" t="s">
        <v>1032</v>
      </c>
      <c r="I6" s="3326" t="s">
        <v>1399</v>
      </c>
      <c r="J6" s="345">
        <f ca="1">ROUND(M6*M8*M7*(1-M9),0)</f>
        <v>0</v>
      </c>
      <c r="K6" s="1832" t="s">
        <v>3025</v>
      </c>
      <c r="L6" s="346" t="s">
        <v>1401</v>
      </c>
      <c r="M6" s="347">
        <f ca="1">INDIRECT("'数据-取费表'!z"&amp;$G$1)</f>
        <v>0</v>
      </c>
    </row>
    <row r="7" spans="1:37" ht="18" customHeight="1">
      <c r="A7" s="1293"/>
      <c r="B7" s="3327"/>
      <c r="C7" s="1295"/>
      <c r="D7" s="351"/>
      <c r="E7" s="1296" t="s">
        <v>1402</v>
      </c>
      <c r="F7" s="347">
        <f ca="1">IF(INDIRECT("'数据-取费表'!ah"&amp;$G$1)="",INDIRECT("'数据-取费表'!k"&amp;$G$1),INDIRECT("'数据-取费表'!ah"&amp;$G$1))</f>
        <v>0</v>
      </c>
      <c r="G7" s="1849"/>
      <c r="H7" s="348"/>
      <c r="I7" s="3327"/>
      <c r="J7" s="350"/>
      <c r="K7" s="351"/>
      <c r="L7" s="346" t="s">
        <v>1402</v>
      </c>
      <c r="M7" s="347">
        <f ca="1">F7</f>
        <v>0</v>
      </c>
    </row>
    <row r="8" spans="1:37" ht="18" customHeight="1">
      <c r="A8" s="348"/>
      <c r="B8" s="3327"/>
      <c r="C8" s="350"/>
      <c r="D8" s="351"/>
      <c r="E8" s="346" t="s">
        <v>1403</v>
      </c>
      <c r="F8" s="347">
        <f ca="1">INDIRECT("'数据-取费表'!ai"&amp;$G$1)</f>
        <v>0</v>
      </c>
      <c r="G8" s="1849"/>
      <c r="H8" s="348"/>
      <c r="I8" s="3327"/>
      <c r="J8" s="350"/>
      <c r="K8" s="351"/>
      <c r="L8" s="346" t="s">
        <v>1403</v>
      </c>
      <c r="M8" s="347">
        <f ca="1">INDIRECT("'数据-取费表'!ai"&amp;$G$1)</f>
        <v>0</v>
      </c>
    </row>
    <row r="9" spans="1:37" ht="18" customHeight="1">
      <c r="A9" s="348"/>
      <c r="B9" s="3328"/>
      <c r="C9" s="350"/>
      <c r="D9" s="351"/>
      <c r="E9" s="346" t="s">
        <v>1404</v>
      </c>
      <c r="F9" s="356">
        <f ca="1">INDIRECT("'数据-取费表'!w"&amp;$G$1)</f>
        <v>0</v>
      </c>
      <c r="G9" s="1849"/>
      <c r="H9" s="348"/>
      <c r="I9" s="3328"/>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29" t="s">
        <v>1544</v>
      </c>
      <c r="L53" s="3330"/>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6" zoomScale="80" zoomScaleNormal="80" workbookViewId="0">
      <selection activeCell="F91" sqref="F91"/>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20567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3010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6" t="s">
        <v>2642</v>
      </c>
      <c r="AC4" s="3345" t="s">
        <v>2643</v>
      </c>
    </row>
    <row r="5" spans="1:30" ht="15">
      <c r="A5" s="403"/>
      <c r="B5" s="404"/>
      <c r="C5" s="3370" t="s">
        <v>3090</v>
      </c>
      <c r="D5" s="3366"/>
      <c r="E5" s="3374" t="s">
        <v>3084</v>
      </c>
      <c r="F5" s="3375"/>
      <c r="G5" s="3365" t="s">
        <v>3083</v>
      </c>
      <c r="H5" s="3366"/>
      <c r="I5" s="3365" t="s">
        <v>2539</v>
      </c>
      <c r="J5" s="3366"/>
      <c r="K5" s="609"/>
      <c r="L5" s="1128"/>
      <c r="M5" s="1129"/>
      <c r="N5" s="1129"/>
      <c r="O5" s="1129"/>
      <c r="P5" s="3353"/>
      <c r="Q5" s="3354"/>
      <c r="R5" s="3359"/>
      <c r="S5" s="3360"/>
      <c r="T5" s="3359"/>
      <c r="U5" s="3360"/>
      <c r="V5" s="3344"/>
      <c r="W5" s="3344"/>
      <c r="X5" s="1811"/>
      <c r="Y5" s="3359"/>
      <c r="Z5" s="3360"/>
      <c r="AA5" s="3346"/>
      <c r="AB5" s="3346"/>
      <c r="AC5" s="3346"/>
    </row>
    <row r="6" spans="1:30" ht="15.75" thickBot="1">
      <c r="A6" s="405"/>
      <c r="B6" s="406"/>
      <c r="C6" s="3371" t="s">
        <v>2540</v>
      </c>
      <c r="D6" s="3364"/>
      <c r="E6" s="3372" t="s">
        <v>3081</v>
      </c>
      <c r="F6" s="3373"/>
      <c r="G6" s="3363" t="s">
        <v>3082</v>
      </c>
      <c r="H6" s="3364"/>
      <c r="I6" s="3363" t="s">
        <v>3085</v>
      </c>
      <c r="J6" s="3364"/>
      <c r="K6" s="609" t="s">
        <v>2541</v>
      </c>
      <c r="L6" s="1128"/>
      <c r="M6" s="1129"/>
      <c r="N6" s="1129"/>
      <c r="O6" s="1129"/>
      <c r="P6" s="3355"/>
      <c r="Q6" s="3356"/>
      <c r="R6" s="3359"/>
      <c r="S6" s="3360"/>
      <c r="T6" s="3361"/>
      <c r="U6" s="3362"/>
      <c r="V6" s="3344"/>
      <c r="W6" s="3344"/>
      <c r="X6" s="1811"/>
      <c r="Y6" s="3361"/>
      <c r="Z6" s="3362"/>
      <c r="AA6" s="3347"/>
      <c r="AB6" s="3347"/>
      <c r="AC6" s="3347"/>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367" t="s">
        <v>2543</v>
      </c>
      <c r="Q7" s="3369"/>
      <c r="R7" s="768" t="s">
        <v>17</v>
      </c>
      <c r="S7" s="769">
        <f t="shared" ref="S7:S15" si="0">F7</f>
        <v>98</v>
      </c>
      <c r="T7" s="768" t="s">
        <v>17</v>
      </c>
      <c r="U7" s="769">
        <f t="shared" ref="U7:U15" si="1">H7</f>
        <v>98</v>
      </c>
      <c r="V7" s="768" t="s">
        <v>17</v>
      </c>
      <c r="W7" s="769">
        <f t="shared" ref="W7:W15" si="2">J7</f>
        <v>97</v>
      </c>
      <c r="X7" s="770"/>
      <c r="Y7" s="3367" t="s">
        <v>2543</v>
      </c>
      <c r="Z7" s="3368"/>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367" t="s">
        <v>2546</v>
      </c>
      <c r="Q8" s="3368"/>
      <c r="R8" s="768" t="s">
        <v>17</v>
      </c>
      <c r="S8" s="769">
        <f t="shared" si="0"/>
        <v>100</v>
      </c>
      <c r="T8" s="768" t="s">
        <v>17</v>
      </c>
      <c r="U8" s="769">
        <f t="shared" si="1"/>
        <v>100</v>
      </c>
      <c r="V8" s="768" t="s">
        <v>17</v>
      </c>
      <c r="W8" s="769">
        <f t="shared" si="2"/>
        <v>100</v>
      </c>
      <c r="X8" s="770"/>
      <c r="Y8" s="3367" t="s">
        <v>2546</v>
      </c>
      <c r="Z8" s="3368"/>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338"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338"/>
      <c r="Q10" s="1793" t="str">
        <f t="shared" si="6"/>
        <v>土地使用年限（年）</v>
      </c>
      <c r="R10" s="768" t="s">
        <v>17</v>
      </c>
      <c r="S10" s="769">
        <f t="shared" si="0"/>
        <v>105</v>
      </c>
      <c r="T10" s="768" t="s">
        <v>17</v>
      </c>
      <c r="U10" s="769">
        <f t="shared" si="1"/>
        <v>105</v>
      </c>
      <c r="V10" s="768" t="s">
        <v>17</v>
      </c>
      <c r="W10" s="769">
        <f t="shared" si="2"/>
        <v>105</v>
      </c>
      <c r="X10" s="770"/>
      <c r="Y10" s="3181"/>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338"/>
      <c r="Q11" s="1793" t="str">
        <f t="shared" si="6"/>
        <v>容积率</v>
      </c>
      <c r="R11" s="768" t="s">
        <v>17</v>
      </c>
      <c r="S11" s="769">
        <f t="shared" si="0"/>
        <v>95</v>
      </c>
      <c r="T11" s="768" t="s">
        <v>17</v>
      </c>
      <c r="U11" s="769">
        <f t="shared" si="1"/>
        <v>95</v>
      </c>
      <c r="V11" s="768" t="s">
        <v>17</v>
      </c>
      <c r="W11" s="769">
        <f t="shared" si="2"/>
        <v>95</v>
      </c>
      <c r="X11" s="770"/>
      <c r="Y11" s="3181"/>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38"/>
      <c r="Q12" s="1793" t="str">
        <f t="shared" si="6"/>
        <v>配建</v>
      </c>
      <c r="R12" s="768" t="s">
        <v>17</v>
      </c>
      <c r="S12" s="769">
        <f t="shared" si="0"/>
        <v>100</v>
      </c>
      <c r="T12" s="768" t="s">
        <v>17</v>
      </c>
      <c r="U12" s="769">
        <f t="shared" si="1"/>
        <v>100</v>
      </c>
      <c r="V12" s="768" t="s">
        <v>17</v>
      </c>
      <c r="W12" s="769">
        <f t="shared" si="2"/>
        <v>100</v>
      </c>
      <c r="X12" s="770"/>
      <c r="Y12" s="3181"/>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38"/>
      <c r="Q13" s="1793">
        <f t="shared" si="6"/>
        <v>111</v>
      </c>
      <c r="R13" s="768" t="s">
        <v>17</v>
      </c>
      <c r="S13" s="769">
        <f t="shared" si="0"/>
        <v>100</v>
      </c>
      <c r="T13" s="768" t="s">
        <v>17</v>
      </c>
      <c r="U13" s="769">
        <f t="shared" si="1"/>
        <v>100</v>
      </c>
      <c r="V13" s="768" t="s">
        <v>17</v>
      </c>
      <c r="W13" s="769">
        <f t="shared" si="2"/>
        <v>100</v>
      </c>
      <c r="X13" s="770"/>
      <c r="Y13" s="3181"/>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38"/>
      <c r="Q14" s="1793">
        <f t="shared" si="6"/>
        <v>111</v>
      </c>
      <c r="R14" s="768" t="s">
        <v>17</v>
      </c>
      <c r="S14" s="769">
        <f t="shared" si="0"/>
        <v>100</v>
      </c>
      <c r="T14" s="768" t="s">
        <v>17</v>
      </c>
      <c r="U14" s="769">
        <f t="shared" si="1"/>
        <v>100</v>
      </c>
      <c r="V14" s="768" t="s">
        <v>17</v>
      </c>
      <c r="W14" s="769">
        <f t="shared" si="2"/>
        <v>100</v>
      </c>
      <c r="X14" s="770"/>
      <c r="Y14" s="3181"/>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40" t="s">
        <v>2554</v>
      </c>
      <c r="Q15" s="1808" t="str">
        <f t="shared" si="6"/>
        <v>居住社区成熟度</v>
      </c>
      <c r="R15" s="772" t="s">
        <v>17</v>
      </c>
      <c r="S15" s="773">
        <f t="shared" si="0"/>
        <v>100</v>
      </c>
      <c r="T15" s="772" t="s">
        <v>17</v>
      </c>
      <c r="U15" s="773">
        <f t="shared" si="1"/>
        <v>100</v>
      </c>
      <c r="V15" s="772" t="s">
        <v>17</v>
      </c>
      <c r="W15" s="773">
        <f t="shared" si="2"/>
        <v>100</v>
      </c>
      <c r="X15" s="1811"/>
      <c r="Y15" s="3340"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341"/>
      <c r="Q16" s="1808"/>
      <c r="R16" s="772"/>
      <c r="S16" s="773"/>
      <c r="T16" s="772"/>
      <c r="U16" s="773"/>
      <c r="V16" s="772"/>
      <c r="W16" s="773"/>
      <c r="X16" s="1811"/>
      <c r="Y16" s="3341"/>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341"/>
      <c r="Q17" s="1808" t="str">
        <f>B17</f>
        <v>商业繁华度</v>
      </c>
      <c r="R17" s="772" t="s">
        <v>17</v>
      </c>
      <c r="S17" s="773">
        <f>F17</f>
        <v>100</v>
      </c>
      <c r="T17" s="772" t="s">
        <v>17</v>
      </c>
      <c r="U17" s="773">
        <f>H17</f>
        <v>100</v>
      </c>
      <c r="V17" s="772" t="s">
        <v>17</v>
      </c>
      <c r="W17" s="773">
        <f>J17</f>
        <v>100</v>
      </c>
      <c r="X17" s="1811"/>
      <c r="Y17" s="3341"/>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341"/>
      <c r="Q18" s="1808"/>
      <c r="R18" s="772"/>
      <c r="S18" s="773"/>
      <c r="T18" s="772"/>
      <c r="U18" s="773"/>
      <c r="V18" s="772"/>
      <c r="W18" s="773"/>
      <c r="X18" s="1811"/>
      <c r="Y18" s="3341"/>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41"/>
      <c r="Q19" s="1808" t="str">
        <f>B19</f>
        <v>办公集聚程度</v>
      </c>
      <c r="R19" s="772" t="s">
        <v>17</v>
      </c>
      <c r="S19" s="773">
        <f>F19</f>
        <v>100</v>
      </c>
      <c r="T19" s="772" t="s">
        <v>17</v>
      </c>
      <c r="U19" s="773">
        <f>H19</f>
        <v>100</v>
      </c>
      <c r="V19" s="772" t="s">
        <v>17</v>
      </c>
      <c r="W19" s="773">
        <f>J19</f>
        <v>100</v>
      </c>
      <c r="X19" s="1811"/>
      <c r="Y19" s="3341"/>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341"/>
      <c r="Q20" s="1808"/>
      <c r="R20" s="772"/>
      <c r="S20" s="773"/>
      <c r="T20" s="772"/>
      <c r="U20" s="773"/>
      <c r="V20" s="772"/>
      <c r="W20" s="773"/>
      <c r="X20" s="1811"/>
      <c r="Y20" s="3341"/>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341"/>
      <c r="Q21" s="1808" t="str">
        <f>B21</f>
        <v>交通便捷度</v>
      </c>
      <c r="R21" s="772" t="s">
        <v>17</v>
      </c>
      <c r="S21" s="773">
        <f>F21</f>
        <v>100</v>
      </c>
      <c r="T21" s="772" t="s">
        <v>17</v>
      </c>
      <c r="U21" s="773">
        <f>H21</f>
        <v>100</v>
      </c>
      <c r="V21" s="772" t="s">
        <v>17</v>
      </c>
      <c r="W21" s="773">
        <f>J21</f>
        <v>100</v>
      </c>
      <c r="X21" s="1811"/>
      <c r="Y21" s="3341"/>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341"/>
      <c r="Q22" s="1808"/>
      <c r="R22" s="772"/>
      <c r="S22" s="773"/>
      <c r="T22" s="772"/>
      <c r="U22" s="773"/>
      <c r="V22" s="772"/>
      <c r="W22" s="773"/>
      <c r="X22" s="1811"/>
      <c r="Y22" s="3341"/>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341"/>
      <c r="Q23" s="1808" t="str">
        <f t="shared" ref="Q23:Q37" si="8">B23</f>
        <v>区域土地利用方向</v>
      </c>
      <c r="R23" s="772" t="s">
        <v>17</v>
      </c>
      <c r="S23" s="773">
        <f>F23</f>
        <v>100</v>
      </c>
      <c r="T23" s="772" t="s">
        <v>17</v>
      </c>
      <c r="U23" s="773">
        <f>H23</f>
        <v>100</v>
      </c>
      <c r="V23" s="772" t="s">
        <v>17</v>
      </c>
      <c r="W23" s="773">
        <f>J23</f>
        <v>100</v>
      </c>
      <c r="X23" s="1811"/>
      <c r="Y23" s="3341"/>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341"/>
      <c r="Q24" s="1808"/>
      <c r="R24" s="772"/>
      <c r="S24" s="773"/>
      <c r="T24" s="772"/>
      <c r="U24" s="773"/>
      <c r="V24" s="772"/>
      <c r="W24" s="773"/>
      <c r="X24" s="1811"/>
      <c r="Y24" s="3341"/>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341"/>
      <c r="Q25" s="1808" t="str">
        <f t="shared" si="8"/>
        <v>自然及人文环境状况</v>
      </c>
      <c r="R25" s="772" t="s">
        <v>17</v>
      </c>
      <c r="S25" s="773">
        <f>F25</f>
        <v>100</v>
      </c>
      <c r="T25" s="772" t="s">
        <v>17</v>
      </c>
      <c r="U25" s="773">
        <f>H25</f>
        <v>100</v>
      </c>
      <c r="V25" s="772" t="s">
        <v>17</v>
      </c>
      <c r="W25" s="773">
        <f>J25</f>
        <v>100</v>
      </c>
      <c r="X25" s="1811"/>
      <c r="Y25" s="3341"/>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341"/>
      <c r="Q26" s="1808"/>
      <c r="R26" s="772"/>
      <c r="S26" s="773"/>
      <c r="T26" s="772"/>
      <c r="U26" s="773"/>
      <c r="V26" s="772"/>
      <c r="W26" s="773"/>
      <c r="X26" s="1811"/>
      <c r="Y26" s="3341"/>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341"/>
      <c r="Q27" s="1793" t="str">
        <f t="shared" si="8"/>
        <v>公共配套设施</v>
      </c>
      <c r="R27" s="768" t="s">
        <v>17</v>
      </c>
      <c r="S27" s="769">
        <f>F27</f>
        <v>100</v>
      </c>
      <c r="T27" s="768" t="s">
        <v>17</v>
      </c>
      <c r="U27" s="769">
        <f>H27</f>
        <v>100</v>
      </c>
      <c r="V27" s="768" t="s">
        <v>17</v>
      </c>
      <c r="W27" s="769">
        <f>J27</f>
        <v>100</v>
      </c>
      <c r="X27" s="770"/>
      <c r="Y27" s="3341"/>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341"/>
      <c r="Q28" s="1793"/>
      <c r="R28" s="768"/>
      <c r="S28" s="769"/>
      <c r="T28" s="768"/>
      <c r="U28" s="769"/>
      <c r="V28" s="768"/>
      <c r="W28" s="769"/>
      <c r="X28" s="770"/>
      <c r="Y28" s="3341"/>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341"/>
      <c r="Q29" s="1793" t="str">
        <f t="shared" ref="Q29" si="9">B29</f>
        <v>基础设施水平</v>
      </c>
      <c r="R29" s="768" t="s">
        <v>17</v>
      </c>
      <c r="S29" s="769">
        <f>F29</f>
        <v>100</v>
      </c>
      <c r="T29" s="768" t="s">
        <v>17</v>
      </c>
      <c r="U29" s="769">
        <f>H29</f>
        <v>100</v>
      </c>
      <c r="V29" s="768" t="s">
        <v>17</v>
      </c>
      <c r="W29" s="769">
        <f>J29</f>
        <v>100</v>
      </c>
      <c r="X29" s="770"/>
      <c r="Y29" s="3341"/>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341"/>
      <c r="Q30" s="1793"/>
      <c r="R30" s="768"/>
      <c r="S30" s="769"/>
      <c r="T30" s="768"/>
      <c r="U30" s="769"/>
      <c r="V30" s="768"/>
      <c r="W30" s="769"/>
      <c r="X30" s="770"/>
      <c r="Y30" s="3341"/>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341"/>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341"/>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341"/>
      <c r="Q32" s="1808" t="str">
        <f t="shared" si="8"/>
        <v>毗邻道路的类型与等级</v>
      </c>
      <c r="R32" s="772" t="s">
        <v>17</v>
      </c>
      <c r="S32" s="773">
        <f t="shared" si="10"/>
        <v>100</v>
      </c>
      <c r="T32" s="772" t="s">
        <v>17</v>
      </c>
      <c r="U32" s="773">
        <f t="shared" si="11"/>
        <v>100</v>
      </c>
      <c r="V32" s="772" t="s">
        <v>17</v>
      </c>
      <c r="W32" s="773">
        <f t="shared" si="12"/>
        <v>100</v>
      </c>
      <c r="X32" s="1811"/>
      <c r="Y32" s="3341"/>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341"/>
      <c r="Q33" s="1808"/>
      <c r="R33" s="772"/>
      <c r="S33" s="773"/>
      <c r="T33" s="772"/>
      <c r="U33" s="773"/>
      <c r="V33" s="772"/>
      <c r="W33" s="773"/>
      <c r="X33" s="1811"/>
      <c r="Y33" s="3341"/>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41"/>
      <c r="Q34" s="1808" t="str">
        <f t="shared" si="8"/>
        <v>土地级别</v>
      </c>
      <c r="R34" s="772" t="s">
        <v>17</v>
      </c>
      <c r="S34" s="773">
        <f t="shared" si="10"/>
        <v>100</v>
      </c>
      <c r="T34" s="772" t="s">
        <v>17</v>
      </c>
      <c r="U34" s="773">
        <f t="shared" si="11"/>
        <v>100</v>
      </c>
      <c r="V34" s="772" t="s">
        <v>17</v>
      </c>
      <c r="W34" s="773">
        <f t="shared" si="12"/>
        <v>100</v>
      </c>
      <c r="X34" s="1811"/>
      <c r="Y34" s="3341"/>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41"/>
      <c r="Q35" s="1808">
        <f t="shared" si="8"/>
        <v>111</v>
      </c>
      <c r="R35" s="772" t="s">
        <v>17</v>
      </c>
      <c r="S35" s="773">
        <f t="shared" si="10"/>
        <v>100</v>
      </c>
      <c r="T35" s="772" t="s">
        <v>17</v>
      </c>
      <c r="U35" s="773">
        <f t="shared" si="11"/>
        <v>100</v>
      </c>
      <c r="V35" s="772" t="s">
        <v>17</v>
      </c>
      <c r="W35" s="773">
        <f t="shared" si="12"/>
        <v>100</v>
      </c>
      <c r="X35" s="1811"/>
      <c r="Y35" s="3341"/>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42" t="s">
        <v>2559</v>
      </c>
      <c r="Q36" s="1808">
        <f t="shared" si="8"/>
        <v>111</v>
      </c>
      <c r="R36" s="772" t="s">
        <v>17</v>
      </c>
      <c r="S36" s="773">
        <f t="shared" si="10"/>
        <v>100</v>
      </c>
      <c r="T36" s="772" t="s">
        <v>17</v>
      </c>
      <c r="U36" s="773">
        <f t="shared" si="11"/>
        <v>100</v>
      </c>
      <c r="V36" s="772" t="s">
        <v>17</v>
      </c>
      <c r="W36" s="773">
        <f t="shared" si="12"/>
        <v>100</v>
      </c>
      <c r="X36" s="1811"/>
      <c r="Y36" s="3343"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43"/>
      <c r="Q37" s="1808">
        <f t="shared" si="8"/>
        <v>111</v>
      </c>
      <c r="R37" s="775" t="s">
        <v>17</v>
      </c>
      <c r="S37" s="776">
        <f t="shared" si="10"/>
        <v>100</v>
      </c>
      <c r="T37" s="775" t="s">
        <v>17</v>
      </c>
      <c r="U37" s="776">
        <f t="shared" si="11"/>
        <v>100</v>
      </c>
      <c r="V37" s="775" t="s">
        <v>17</v>
      </c>
      <c r="W37" s="776">
        <f t="shared" si="12"/>
        <v>100</v>
      </c>
      <c r="X37" s="777"/>
      <c r="Y37" s="3343"/>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343"/>
      <c r="Q38" s="1808" t="str">
        <f>B38</f>
        <v>宗地面积</v>
      </c>
      <c r="R38" s="772" t="s">
        <v>17</v>
      </c>
      <c r="S38" s="773">
        <f t="shared" si="10"/>
        <v>100.5</v>
      </c>
      <c r="T38" s="772" t="s">
        <v>17</v>
      </c>
      <c r="U38" s="773">
        <f t="shared" si="11"/>
        <v>101.5</v>
      </c>
      <c r="V38" s="772" t="s">
        <v>17</v>
      </c>
      <c r="W38" s="773">
        <f t="shared" si="12"/>
        <v>99.5</v>
      </c>
      <c r="X38" s="1811"/>
      <c r="Y38" s="3343"/>
      <c r="Z38" s="1812" t="str">
        <f t="shared" si="13"/>
        <v>宗地面积</v>
      </c>
      <c r="AA38" s="1809">
        <f t="shared" si="3"/>
        <v>0.99502487562189057</v>
      </c>
      <c r="AB38" s="1809">
        <f t="shared" si="4"/>
        <v>0.98522167487684731</v>
      </c>
      <c r="AC38" s="1809">
        <f t="shared" si="5"/>
        <v>1.0050251256281406</v>
      </c>
    </row>
    <row r="39" spans="1:29" ht="15">
      <c r="A39" s="471"/>
      <c r="B39" s="2960" t="s">
        <v>2746</v>
      </c>
      <c r="C39" s="2609" t="s">
        <v>3105</v>
      </c>
      <c r="D39" s="434">
        <v>100</v>
      </c>
      <c r="E39" s="2609" t="s">
        <v>3105</v>
      </c>
      <c r="F39" s="434">
        <f>SUMIF(119:119,E39,120:120)-SUMIF(119:119,C39,120:120)+100</f>
        <v>100</v>
      </c>
      <c r="G39" s="2609" t="s">
        <v>3105</v>
      </c>
      <c r="H39" s="434">
        <f>SUMIF(119:119,G39,120:120)-SUMIF(119:119,C39,120:120)+100</f>
        <v>100</v>
      </c>
      <c r="I39" s="2609" t="s">
        <v>3105</v>
      </c>
      <c r="J39" s="434">
        <f>SUMIF(119:119,I39,120:120)-SUMIF(119:119,C39,120:120)+100</f>
        <v>100</v>
      </c>
      <c r="K39" s="611">
        <v>1</v>
      </c>
      <c r="L39" s="1138"/>
      <c r="M39" s="1129"/>
      <c r="N39" s="1129"/>
      <c r="O39" s="1137"/>
      <c r="P39" s="3343"/>
      <c r="Q39" s="1808" t="str">
        <f t="shared" ref="Q39:Q45" si="14">B39</f>
        <v>宗地形状</v>
      </c>
      <c r="R39" s="772" t="s">
        <v>17</v>
      </c>
      <c r="S39" s="773">
        <f t="shared" si="10"/>
        <v>100</v>
      </c>
      <c r="T39" s="772" t="s">
        <v>17</v>
      </c>
      <c r="U39" s="773">
        <f t="shared" si="11"/>
        <v>100</v>
      </c>
      <c r="V39" s="772" t="s">
        <v>17</v>
      </c>
      <c r="W39" s="773">
        <f t="shared" si="12"/>
        <v>100</v>
      </c>
      <c r="X39" s="1811"/>
      <c r="Y39" s="3343"/>
      <c r="Z39" s="1812" t="str">
        <f t="shared" si="13"/>
        <v>宗地形状</v>
      </c>
      <c r="AA39" s="1809">
        <f t="shared" si="3"/>
        <v>1</v>
      </c>
      <c r="AB39" s="1809">
        <f t="shared" si="4"/>
        <v>1</v>
      </c>
      <c r="AC39" s="1809">
        <f t="shared" si="5"/>
        <v>1</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43"/>
      <c r="Q40" s="1808" t="str">
        <f t="shared" si="14"/>
        <v>临街宽度及深度</v>
      </c>
      <c r="R40" s="772" t="s">
        <v>17</v>
      </c>
      <c r="S40" s="773">
        <f t="shared" si="10"/>
        <v>100</v>
      </c>
      <c r="T40" s="772" t="s">
        <v>17</v>
      </c>
      <c r="U40" s="773">
        <f t="shared" si="11"/>
        <v>100</v>
      </c>
      <c r="V40" s="772" t="s">
        <v>17</v>
      </c>
      <c r="W40" s="773">
        <f t="shared" si="12"/>
        <v>100</v>
      </c>
      <c r="X40" s="1811"/>
      <c r="Y40" s="3343"/>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343"/>
      <c r="Q41" s="1808" t="str">
        <f t="shared" si="14"/>
        <v>宗地开发程度</v>
      </c>
      <c r="R41" s="768" t="s">
        <v>17</v>
      </c>
      <c r="S41" s="769">
        <f t="shared" si="10"/>
        <v>100</v>
      </c>
      <c r="T41" s="768" t="s">
        <v>17</v>
      </c>
      <c r="U41" s="769">
        <f t="shared" si="11"/>
        <v>100</v>
      </c>
      <c r="V41" s="768" t="s">
        <v>17</v>
      </c>
      <c r="W41" s="769">
        <f t="shared" si="12"/>
        <v>100</v>
      </c>
      <c r="X41" s="770"/>
      <c r="Y41" s="3343"/>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343" t="s">
        <v>2559</v>
      </c>
      <c r="Q42" s="1808" t="str">
        <f t="shared" si="14"/>
        <v>工程地质条件</v>
      </c>
      <c r="R42" s="772" t="s">
        <v>17</v>
      </c>
      <c r="S42" s="773">
        <f t="shared" si="10"/>
        <v>100</v>
      </c>
      <c r="T42" s="772" t="s">
        <v>17</v>
      </c>
      <c r="U42" s="773">
        <f t="shared" si="11"/>
        <v>100</v>
      </c>
      <c r="V42" s="772" t="s">
        <v>17</v>
      </c>
      <c r="W42" s="773">
        <f t="shared" si="12"/>
        <v>100</v>
      </c>
      <c r="X42" s="1811"/>
      <c r="Y42" s="3343"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43"/>
      <c r="Q43" s="1808">
        <f t="shared" si="14"/>
        <v>111</v>
      </c>
      <c r="R43" s="772" t="s">
        <v>17</v>
      </c>
      <c r="S43" s="773">
        <f t="shared" si="10"/>
        <v>100</v>
      </c>
      <c r="T43" s="772" t="s">
        <v>17</v>
      </c>
      <c r="U43" s="773">
        <f t="shared" si="11"/>
        <v>100</v>
      </c>
      <c r="V43" s="772" t="s">
        <v>17</v>
      </c>
      <c r="W43" s="773">
        <f t="shared" si="12"/>
        <v>100</v>
      </c>
      <c r="X43" s="1811"/>
      <c r="Y43" s="3343"/>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43"/>
      <c r="Q44" s="1808">
        <f t="shared" si="14"/>
        <v>111</v>
      </c>
      <c r="R44" s="772" t="s">
        <v>17</v>
      </c>
      <c r="S44" s="773">
        <f t="shared" si="10"/>
        <v>100</v>
      </c>
      <c r="T44" s="772" t="s">
        <v>17</v>
      </c>
      <c r="U44" s="773">
        <f t="shared" si="11"/>
        <v>100</v>
      </c>
      <c r="V44" s="772" t="s">
        <v>17</v>
      </c>
      <c r="W44" s="773">
        <f t="shared" si="12"/>
        <v>100</v>
      </c>
      <c r="X44" s="1811"/>
      <c r="Y44" s="3343"/>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43"/>
      <c r="Q45" s="1808">
        <f t="shared" si="14"/>
        <v>111</v>
      </c>
      <c r="R45" s="775" t="s">
        <v>17</v>
      </c>
      <c r="S45" s="776">
        <f t="shared" si="10"/>
        <v>100</v>
      </c>
      <c r="T45" s="775" t="s">
        <v>17</v>
      </c>
      <c r="U45" s="776">
        <f t="shared" si="11"/>
        <v>100</v>
      </c>
      <c r="V45" s="775" t="s">
        <v>17</v>
      </c>
      <c r="W45" s="776">
        <f t="shared" si="12"/>
        <v>100</v>
      </c>
      <c r="X45" s="777"/>
      <c r="Y45" s="3343"/>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338" t="str">
        <f>A46</f>
        <v>成交单价</v>
      </c>
      <c r="Q46" s="3338"/>
      <c r="R46" s="3344">
        <f>E46</f>
        <v>3003</v>
      </c>
      <c r="S46" s="3344"/>
      <c r="T46" s="3344">
        <f>G46</f>
        <v>3003</v>
      </c>
      <c r="U46" s="3344"/>
      <c r="V46" s="3344">
        <f>I46</f>
        <v>2577</v>
      </c>
      <c r="W46" s="3344"/>
      <c r="X46" s="757"/>
      <c r="Y46" s="779"/>
      <c r="Z46" s="757"/>
      <c r="AA46" s="757"/>
      <c r="AB46" s="757"/>
      <c r="AC46" s="757"/>
    </row>
    <row r="47" spans="1:29" ht="15.75" thickBot="1">
      <c r="A47" s="485" t="s">
        <v>2663</v>
      </c>
      <c r="B47" s="682"/>
      <c r="C47" s="489">
        <f>R48</f>
        <v>3010</v>
      </c>
      <c r="D47" s="488"/>
      <c r="E47" s="489">
        <f>R47</f>
        <v>3151</v>
      </c>
      <c r="F47" s="490"/>
      <c r="G47" s="487">
        <f>T47</f>
        <v>3120</v>
      </c>
      <c r="H47" s="488"/>
      <c r="I47" s="489">
        <f>V47</f>
        <v>2760</v>
      </c>
      <c r="J47" s="488"/>
      <c r="K47" s="782"/>
      <c r="L47" s="1141"/>
      <c r="M47" s="1142"/>
      <c r="N47" s="1142"/>
      <c r="O47" s="1142"/>
      <c r="P47" s="3338" t="str">
        <f>A47</f>
        <v>比较价值（元/平方米）</v>
      </c>
      <c r="Q47" s="3338"/>
      <c r="R47" s="3331">
        <f>ROUND(PRODUCT(R46,AA7:AA45),0)</f>
        <v>3151</v>
      </c>
      <c r="S47" s="3331"/>
      <c r="T47" s="3331">
        <f>ROUND(PRODUCT(T46,AB7:AB45),0)</f>
        <v>3120</v>
      </c>
      <c r="U47" s="3331"/>
      <c r="V47" s="3331">
        <f>ROUND(PRODUCT(V46,AC7:AC45),0)</f>
        <v>2760</v>
      </c>
      <c r="W47" s="3331"/>
      <c r="X47" s="757"/>
      <c r="Y47" s="757"/>
      <c r="Z47" s="757"/>
      <c r="AA47" s="757"/>
      <c r="AB47" s="757"/>
      <c r="AC47" s="757"/>
    </row>
    <row r="48" spans="1:29" ht="15.75" thickBot="1">
      <c r="A48" s="491" t="s">
        <v>2751</v>
      </c>
      <c r="B48" s="492"/>
      <c r="C48" s="493">
        <f>R48</f>
        <v>3010</v>
      </c>
      <c r="D48" s="493"/>
      <c r="E48" s="493"/>
      <c r="F48" s="493"/>
      <c r="G48" s="493"/>
      <c r="H48" s="493"/>
      <c r="I48" s="493"/>
      <c r="J48" s="493"/>
      <c r="K48" s="783"/>
      <c r="L48" s="1141"/>
      <c r="M48" s="1142"/>
      <c r="N48" s="1142"/>
      <c r="O48" s="1142"/>
      <c r="P48" s="3332" t="str">
        <f>A48</f>
        <v>估价对象XX用房的比较价值（楼面单价，元/平方米）</v>
      </c>
      <c r="Q48" s="3333"/>
      <c r="R48" s="3334">
        <f>ROUND(AVERAGE(R47:V47),0)</f>
        <v>3010</v>
      </c>
      <c r="S48" s="3334"/>
      <c r="T48" s="3334"/>
      <c r="U48" s="3334"/>
      <c r="V48" s="3334"/>
      <c r="W48" s="333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2666</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335" t="s">
        <v>2758</v>
      </c>
      <c r="H55" s="3336"/>
      <c r="I55" s="143" t="s">
        <v>2759</v>
      </c>
      <c r="J55" s="2703" t="str">
        <f>项目基本情况!F35</f>
        <v>江苏省泰州市泰兴市</v>
      </c>
      <c r="K55" s="2704" t="s">
        <v>2760</v>
      </c>
      <c r="L55" s="1104"/>
      <c r="M55" s="1142"/>
      <c r="N55" s="1142"/>
      <c r="O55" s="1142"/>
    </row>
    <row r="56" spans="1:15" s="691" customFormat="1">
      <c r="A56" s="687" t="s">
        <v>2761</v>
      </c>
      <c r="B56" s="688">
        <f>C48</f>
        <v>3010</v>
      </c>
      <c r="C56" s="689">
        <v>1</v>
      </c>
      <c r="D56" s="1161">
        <v>1</v>
      </c>
      <c r="E56" s="689">
        <f>'数据-汇总表'!E8+'数据-汇总表'!E9</f>
        <v>68327.850000000006</v>
      </c>
      <c r="F56" s="1101">
        <f t="shared" ref="F56:F65" si="15">ROUND(B56*E56/10000,0)</f>
        <v>20567</v>
      </c>
      <c r="G56" s="3337"/>
      <c r="H56" s="3338"/>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339"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339"/>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339"/>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339"/>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20567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2557</v>
      </c>
      <c r="B116" s="527" t="s">
        <v>2785</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5.75"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2786</v>
      </c>
      <c r="C119" s="2959" t="s">
        <v>3106</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101465</v>
      </c>
      <c r="C2" s="2562" t="s">
        <v>2513</v>
      </c>
      <c r="D2" s="2563" t="s">
        <v>2514</v>
      </c>
      <c r="E2" s="2564">
        <f>SUM(E6:E13)</f>
        <v>68327.850000000006</v>
      </c>
    </row>
    <row r="3" spans="1:6" ht="15.75">
      <c r="A3" s="2560" t="s">
        <v>1391</v>
      </c>
      <c r="B3" s="2561">
        <f ca="1">ROUND(B2*10000/E2,0)</f>
        <v>14850</v>
      </c>
      <c r="C3" s="2562" t="s">
        <v>2521</v>
      </c>
      <c r="D3" s="2565"/>
      <c r="E3" s="2566"/>
    </row>
    <row r="4" spans="1:6" ht="15.75">
      <c r="A4" s="2567"/>
      <c r="B4" s="2565"/>
      <c r="C4" s="2565"/>
      <c r="D4" s="2565"/>
      <c r="E4" s="2566"/>
    </row>
    <row r="5" spans="1:6" ht="15">
      <c r="A5" s="2568" t="s">
        <v>2515</v>
      </c>
      <c r="B5" s="3376" t="s">
        <v>2516</v>
      </c>
      <c r="C5" s="3376"/>
      <c r="D5" s="2569"/>
      <c r="E5" s="2570" t="s">
        <v>2517</v>
      </c>
      <c r="F5" s="2571" t="s">
        <v>2518</v>
      </c>
    </row>
    <row r="6" spans="1:6">
      <c r="A6" s="2572" t="str">
        <f>'数据-取费表'!AN6</f>
        <v>收益法</v>
      </c>
      <c r="B6" s="2571">
        <f ca="1">IF(F6="是",'数据-取费表'!AO6,0)</f>
        <v>82217</v>
      </c>
      <c r="C6" s="2562" t="s">
        <v>2513</v>
      </c>
      <c r="D6" s="2565"/>
      <c r="E6" s="2573">
        <f>IF(OR(A6=0,F6="否"),0,'数据-取费表'!K6+'数据-取费表'!S6)</f>
        <v>47478.82</v>
      </c>
      <c r="F6" s="2574" t="s">
        <v>2519</v>
      </c>
    </row>
    <row r="7" spans="1:6">
      <c r="A7" s="2572" t="str">
        <f>'数据-取费表'!AN7</f>
        <v>收益法 (2)</v>
      </c>
      <c r="B7" s="2571">
        <f ca="1">IF(F7="是",'数据-取费表'!AO7,0)</f>
        <v>19248</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93" t="s">
        <v>1073</v>
      </c>
      <c r="B1" s="3394"/>
      <c r="C1" s="3395"/>
      <c r="D1" s="3396">
        <f>SUM(I10,I15,I20,I21,I23)</f>
        <v>0</v>
      </c>
      <c r="E1" s="3396"/>
      <c r="F1" s="3396"/>
      <c r="G1" s="3396"/>
      <c r="H1" s="3396"/>
      <c r="I1" s="3397"/>
    </row>
    <row r="2" spans="1:9">
      <c r="A2" s="3383" t="s">
        <v>1074</v>
      </c>
      <c r="B2" s="3384" t="s">
        <v>1075</v>
      </c>
      <c r="C2" s="3384"/>
      <c r="D2" s="1299" t="s">
        <v>1076</v>
      </c>
      <c r="E2" s="1299" t="s">
        <v>1077</v>
      </c>
      <c r="F2" s="1299" t="s">
        <v>1078</v>
      </c>
      <c r="G2" s="1299" t="s">
        <v>1079</v>
      </c>
      <c r="H2" s="1299" t="s">
        <v>1080</v>
      </c>
      <c r="I2" s="1300" t="s">
        <v>1081</v>
      </c>
    </row>
    <row r="3" spans="1:9">
      <c r="A3" s="3383"/>
      <c r="B3" s="3384" t="s">
        <v>1082</v>
      </c>
      <c r="C3" s="3384"/>
      <c r="D3" s="1301"/>
      <c r="E3" s="1299"/>
      <c r="F3" s="1302"/>
      <c r="G3" s="1302"/>
      <c r="H3" s="1303"/>
      <c r="I3" s="1304">
        <f>ROUND(D3*E3*F3*G3*H3/10000,0)</f>
        <v>0</v>
      </c>
    </row>
    <row r="4" spans="1:9">
      <c r="A4" s="3383"/>
      <c r="B4" s="3384" t="s">
        <v>1083</v>
      </c>
      <c r="C4" s="3384"/>
      <c r="D4" s="1301"/>
      <c r="E4" s="1299"/>
      <c r="F4" s="1302"/>
      <c r="G4" s="1302"/>
      <c r="H4" s="1303"/>
      <c r="I4" s="1304">
        <f t="shared" ref="I4:I9" si="0">ROUND(D4*E4*F4*G4*H4/10000,0)</f>
        <v>0</v>
      </c>
    </row>
    <row r="5" spans="1:9">
      <c r="A5" s="3383"/>
      <c r="B5" s="3384" t="s">
        <v>1084</v>
      </c>
      <c r="C5" s="3384"/>
      <c r="D5" s="1301"/>
      <c r="E5" s="1299"/>
      <c r="F5" s="1302"/>
      <c r="G5" s="1302"/>
      <c r="H5" s="1303"/>
      <c r="I5" s="1304">
        <f t="shared" si="0"/>
        <v>0</v>
      </c>
    </row>
    <row r="6" spans="1:9">
      <c r="A6" s="3383"/>
      <c r="B6" s="3384" t="s">
        <v>1085</v>
      </c>
      <c r="C6" s="3384"/>
      <c r="D6" s="1301"/>
      <c r="E6" s="1299"/>
      <c r="F6" s="1302"/>
      <c r="G6" s="1302"/>
      <c r="H6" s="1303"/>
      <c r="I6" s="1304">
        <f t="shared" si="0"/>
        <v>0</v>
      </c>
    </row>
    <row r="7" spans="1:9">
      <c r="A7" s="3383"/>
      <c r="B7" s="3384" t="s">
        <v>1086</v>
      </c>
      <c r="C7" s="3384"/>
      <c r="D7" s="1301"/>
      <c r="E7" s="1299"/>
      <c r="F7" s="1302"/>
      <c r="G7" s="1302"/>
      <c r="H7" s="1303"/>
      <c r="I7" s="1304">
        <f t="shared" si="0"/>
        <v>0</v>
      </c>
    </row>
    <row r="8" spans="1:9">
      <c r="A8" s="3383"/>
      <c r="B8" s="3384" t="s">
        <v>1087</v>
      </c>
      <c r="C8" s="3384"/>
      <c r="D8" s="1301"/>
      <c r="E8" s="1299"/>
      <c r="F8" s="1302"/>
      <c r="G8" s="1302"/>
      <c r="H8" s="1303"/>
      <c r="I8" s="1304">
        <f t="shared" si="0"/>
        <v>0</v>
      </c>
    </row>
    <row r="9" spans="1:9">
      <c r="A9" s="3383"/>
      <c r="B9" s="3384" t="s">
        <v>1088</v>
      </c>
      <c r="C9" s="3384"/>
      <c r="D9" s="1301"/>
      <c r="E9" s="1299"/>
      <c r="F9" s="1302"/>
      <c r="G9" s="1302"/>
      <c r="H9" s="1303"/>
      <c r="I9" s="1304">
        <f t="shared" si="0"/>
        <v>0</v>
      </c>
    </row>
    <row r="10" spans="1:9">
      <c r="A10" s="3383"/>
      <c r="B10" s="3385" t="s">
        <v>1089</v>
      </c>
      <c r="C10" s="3385"/>
      <c r="D10" s="1305"/>
      <c r="E10" s="1305" t="e">
        <f>ROUND(D1*10000/D10/H9,0)</f>
        <v>#DIV/0!</v>
      </c>
      <c r="F10" s="1306"/>
      <c r="G10" s="1306"/>
      <c r="H10" s="1307"/>
      <c r="I10" s="1308">
        <f>SUM(I3:I9)</f>
        <v>0</v>
      </c>
    </row>
    <row r="11" spans="1:9" ht="14.25">
      <c r="A11" s="3383" t="s">
        <v>1090</v>
      </c>
      <c r="B11" s="3384" t="s">
        <v>1091</v>
      </c>
      <c r="C11" s="3384"/>
      <c r="D11" s="1301" t="s">
        <v>1092</v>
      </c>
      <c r="E11" s="1301" t="s">
        <v>1093</v>
      </c>
      <c r="F11" s="1302" t="s">
        <v>1094</v>
      </c>
      <c r="G11" s="1302" t="s">
        <v>1080</v>
      </c>
      <c r="H11" s="1309" t="s">
        <v>1095</v>
      </c>
      <c r="I11" s="1300" t="s">
        <v>1081</v>
      </c>
    </row>
    <row r="12" spans="1:9">
      <c r="A12" s="3383"/>
      <c r="B12" s="3384" t="s">
        <v>1096</v>
      </c>
      <c r="C12" s="3384"/>
      <c r="D12" s="1301"/>
      <c r="E12" s="1301"/>
      <c r="F12" s="1302"/>
      <c r="G12" s="1303"/>
      <c r="H12" s="1310"/>
      <c r="I12" s="1300">
        <f>ROUND(D12*E12*F12*G12/10000,0)</f>
        <v>0</v>
      </c>
    </row>
    <row r="13" spans="1:9">
      <c r="A13" s="3383"/>
      <c r="B13" s="3384" t="s">
        <v>1097</v>
      </c>
      <c r="C13" s="3384"/>
      <c r="D13" s="1301"/>
      <c r="E13" s="1301"/>
      <c r="F13" s="1302"/>
      <c r="G13" s="1303"/>
      <c r="H13" s="1310"/>
      <c r="I13" s="1300">
        <f>ROUND(D13*E13*F13*G13/10000,0)</f>
        <v>0</v>
      </c>
    </row>
    <row r="14" spans="1:9">
      <c r="A14" s="3383"/>
      <c r="B14" s="3384" t="s">
        <v>1098</v>
      </c>
      <c r="C14" s="3384"/>
      <c r="D14" s="1301"/>
      <c r="E14" s="1301"/>
      <c r="F14" s="1302"/>
      <c r="G14" s="1303"/>
      <c r="H14" s="1310"/>
      <c r="I14" s="1300">
        <f>ROUND(D14*E14*F14*G14/10000,0)</f>
        <v>0</v>
      </c>
    </row>
    <row r="15" spans="1:9">
      <c r="A15" s="3383"/>
      <c r="B15" s="3385" t="s">
        <v>1089</v>
      </c>
      <c r="C15" s="3385"/>
      <c r="D15" s="1305"/>
      <c r="E15" s="1305">
        <f>SUM(E12:E14)</f>
        <v>0</v>
      </c>
      <c r="F15" s="1306"/>
      <c r="G15" s="1303"/>
      <c r="H15" s="1310"/>
      <c r="I15" s="1311">
        <f>SUM(I12:I14)</f>
        <v>0</v>
      </c>
    </row>
    <row r="16" spans="1:9" ht="24">
      <c r="A16" s="3383" t="s">
        <v>1099</v>
      </c>
      <c r="B16" s="3384" t="s">
        <v>1100</v>
      </c>
      <c r="C16" s="3384"/>
      <c r="D16" s="1301" t="s">
        <v>1076</v>
      </c>
      <c r="E16" s="1312" t="s">
        <v>1101</v>
      </c>
      <c r="F16" s="1302" t="s">
        <v>1102</v>
      </c>
      <c r="G16" s="1303" t="s">
        <v>1080</v>
      </c>
      <c r="H16" s="1309" t="s">
        <v>1095</v>
      </c>
      <c r="I16" s="1300" t="s">
        <v>1081</v>
      </c>
    </row>
    <row r="17" spans="1:9" ht="14.25">
      <c r="A17" s="3383"/>
      <c r="B17" s="3384" t="s">
        <v>1103</v>
      </c>
      <c r="C17" s="3384"/>
      <c r="D17" s="1301"/>
      <c r="E17" s="1301"/>
      <c r="F17" s="1302"/>
      <c r="G17" s="1303"/>
      <c r="H17" s="1313"/>
      <c r="I17" s="1314">
        <f>ROUND(D17*E17*F17*G17/10000,0)</f>
        <v>0</v>
      </c>
    </row>
    <row r="18" spans="1:9" ht="14.25">
      <c r="A18" s="3383"/>
      <c r="B18" s="3384" t="s">
        <v>1104</v>
      </c>
      <c r="C18" s="3384"/>
      <c r="D18" s="1301"/>
      <c r="E18" s="1301"/>
      <c r="F18" s="1302"/>
      <c r="G18" s="1303"/>
      <c r="H18" s="1313"/>
      <c r="I18" s="1314">
        <f>ROUND(D18*E18*F18*G18/10000,0)</f>
        <v>0</v>
      </c>
    </row>
    <row r="19" spans="1:9" ht="14.25">
      <c r="A19" s="3383"/>
      <c r="B19" s="3384" t="s">
        <v>1105</v>
      </c>
      <c r="C19" s="3384"/>
      <c r="D19" s="1301"/>
      <c r="E19" s="1301"/>
      <c r="F19" s="1302"/>
      <c r="G19" s="1303"/>
      <c r="H19" s="1313"/>
      <c r="I19" s="1314">
        <f>ROUND(D19*E19*F19*G19/10000,0)</f>
        <v>0</v>
      </c>
    </row>
    <row r="20" spans="1:9">
      <c r="A20" s="3383"/>
      <c r="B20" s="3385" t="s">
        <v>1089</v>
      </c>
      <c r="C20" s="3385"/>
      <c r="D20" s="1305">
        <f>SUM(D17:D19)</f>
        <v>0</v>
      </c>
      <c r="E20" s="1305"/>
      <c r="F20" s="1306"/>
      <c r="G20" s="1303"/>
      <c r="H20" s="1310"/>
      <c r="I20" s="1311">
        <f>SUM(I17:I19)</f>
        <v>0</v>
      </c>
    </row>
    <row r="21" spans="1:9">
      <c r="A21" s="3383" t="s">
        <v>1106</v>
      </c>
      <c r="B21" s="3386"/>
      <c r="C21" s="3386"/>
      <c r="D21" s="3386"/>
      <c r="E21" s="3386"/>
      <c r="F21" s="3386"/>
      <c r="G21" s="3386"/>
      <c r="H21" s="1763">
        <v>0.1</v>
      </c>
      <c r="I21" s="1308">
        <f>ROUND(I10*H21,0)</f>
        <v>0</v>
      </c>
    </row>
    <row r="22" spans="1:9" ht="14.25">
      <c r="A22" s="3387" t="s">
        <v>1107</v>
      </c>
      <c r="B22" s="3388"/>
      <c r="C22" s="3389"/>
      <c r="D22" s="1315" t="s">
        <v>1108</v>
      </c>
      <c r="E22" s="1315" t="s">
        <v>1109</v>
      </c>
      <c r="F22" s="1316" t="s">
        <v>1110</v>
      </c>
      <c r="G22" s="1316" t="s">
        <v>1111</v>
      </c>
      <c r="H22" s="1309" t="s">
        <v>1112</v>
      </c>
      <c r="I22" s="1300" t="s">
        <v>1113</v>
      </c>
    </row>
    <row r="23" spans="1:9" ht="14.25" thickBot="1">
      <c r="A23" s="3390"/>
      <c r="B23" s="3391"/>
      <c r="C23" s="3392"/>
      <c r="D23" s="1317"/>
      <c r="E23" s="1317"/>
      <c r="F23" s="1317"/>
      <c r="G23" s="1318"/>
      <c r="H23" s="1319"/>
      <c r="I23" s="1320">
        <f>ROUND(E23*D23*F23*(1-G23)/10000,0)</f>
        <v>0</v>
      </c>
    </row>
    <row r="26" spans="1:9">
      <c r="A26" s="1321" t="s">
        <v>1114</v>
      </c>
      <c r="B26" s="1321"/>
      <c r="C26" s="1321"/>
      <c r="D26" s="1321"/>
      <c r="E26" s="3380">
        <f>C27-C30-C31-C32</f>
        <v>0</v>
      </c>
      <c r="F26" s="3380"/>
      <c r="G26" s="3380"/>
      <c r="H26" s="1735" t="s">
        <v>1336</v>
      </c>
    </row>
    <row r="27" spans="1:9">
      <c r="A27" s="1322">
        <v>1</v>
      </c>
      <c r="B27" s="1323" t="s">
        <v>1115</v>
      </c>
      <c r="C27" s="1323">
        <f>C28+C29</f>
        <v>0</v>
      </c>
      <c r="D27" s="1323"/>
      <c r="E27" s="3381"/>
      <c r="F27" s="3381"/>
      <c r="G27" s="3381"/>
    </row>
    <row r="28" spans="1:9">
      <c r="A28" s="1324" t="s">
        <v>1116</v>
      </c>
      <c r="B28" s="1323" t="s">
        <v>1117</v>
      </c>
      <c r="C28" s="1323"/>
      <c r="D28" s="1323"/>
      <c r="E28" s="3381"/>
      <c r="F28" s="3381"/>
      <c r="G28" s="338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82"/>
      <c r="F32" s="3382"/>
      <c r="G32" s="3382"/>
    </row>
    <row r="33" spans="1:7" hidden="1">
      <c r="A33" s="3377" t="s">
        <v>1126</v>
      </c>
      <c r="B33" s="3378"/>
      <c r="C33" s="3378"/>
      <c r="D33" s="3379"/>
      <c r="E33" s="3380"/>
      <c r="F33" s="3380"/>
      <c r="G33" s="3380"/>
    </row>
    <row r="34" spans="1:7" hidden="1">
      <c r="A34" s="1326">
        <v>1</v>
      </c>
      <c r="B34" s="1323" t="s">
        <v>1127</v>
      </c>
      <c r="C34" s="1323"/>
      <c r="D34" s="1323"/>
      <c r="E34" s="3381"/>
      <c r="F34" s="3381"/>
      <c r="G34" s="3381"/>
    </row>
    <row r="35" spans="1:7" hidden="1">
      <c r="A35" s="1326">
        <v>2</v>
      </c>
      <c r="B35" s="1323" t="s">
        <v>1128</v>
      </c>
      <c r="C35" s="1323"/>
      <c r="D35" s="1323"/>
      <c r="E35" s="3381"/>
      <c r="F35" s="3381"/>
      <c r="G35" s="3381"/>
    </row>
    <row r="36" spans="1:7" hidden="1">
      <c r="A36" s="1326">
        <v>3</v>
      </c>
      <c r="B36" s="1323" t="s">
        <v>1129</v>
      </c>
      <c r="C36" s="1323"/>
      <c r="D36" s="1323"/>
      <c r="E36" s="3381"/>
      <c r="F36" s="3381"/>
      <c r="G36" s="3381"/>
    </row>
    <row r="37" spans="1:7" hidden="1">
      <c r="A37" s="1326">
        <v>4</v>
      </c>
      <c r="B37" s="1323" t="s">
        <v>1130</v>
      </c>
      <c r="C37" s="1323"/>
      <c r="D37" s="1323"/>
      <c r="E37" s="3381"/>
      <c r="F37" s="3381"/>
      <c r="G37" s="3381"/>
    </row>
    <row r="38" spans="1:7" hidden="1">
      <c r="A38" s="3377" t="s">
        <v>1131</v>
      </c>
      <c r="B38" s="3378"/>
      <c r="C38" s="3378"/>
      <c r="D38" s="3379"/>
      <c r="E38" s="3380"/>
      <c r="F38" s="3380"/>
      <c r="G38" s="33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335" t="s">
        <v>2530</v>
      </c>
      <c r="D4" s="3348"/>
      <c r="E4" s="3349" t="s">
        <v>2531</v>
      </c>
      <c r="F4" s="3350"/>
      <c r="G4" s="3335" t="s">
        <v>2532</v>
      </c>
      <c r="H4" s="3348"/>
      <c r="I4" s="3335" t="s">
        <v>2533</v>
      </c>
      <c r="J4" s="3348"/>
      <c r="K4" s="2592" t="s">
        <v>2534</v>
      </c>
      <c r="L4" s="1128"/>
      <c r="M4" s="1129"/>
      <c r="N4" s="1129"/>
      <c r="O4" s="1129"/>
      <c r="P4" s="3351" t="s">
        <v>2535</v>
      </c>
      <c r="Q4" s="3352"/>
      <c r="R4" s="3357" t="s">
        <v>2531</v>
      </c>
      <c r="S4" s="3358"/>
      <c r="T4" s="3357" t="s">
        <v>2532</v>
      </c>
      <c r="U4" s="3358"/>
      <c r="V4" s="3344" t="s">
        <v>2533</v>
      </c>
      <c r="W4" s="3344"/>
      <c r="X4" s="1811"/>
      <c r="Y4" s="3357" t="s">
        <v>2535</v>
      </c>
      <c r="Z4" s="3358"/>
      <c r="AA4" s="3345" t="s">
        <v>2531</v>
      </c>
      <c r="AB4" s="3345" t="s">
        <v>2532</v>
      </c>
      <c r="AC4" s="3345" t="s">
        <v>2533</v>
      </c>
    </row>
    <row r="5" spans="1:29" ht="15">
      <c r="A5" s="403"/>
      <c r="B5" s="404"/>
      <c r="C5" s="3365" t="s">
        <v>2536</v>
      </c>
      <c r="D5" s="3366"/>
      <c r="E5" s="3407" t="s">
        <v>2537</v>
      </c>
      <c r="F5" s="3375"/>
      <c r="G5" s="3365" t="s">
        <v>2538</v>
      </c>
      <c r="H5" s="3366"/>
      <c r="I5" s="3365" t="s">
        <v>2539</v>
      </c>
      <c r="J5" s="3366"/>
      <c r="K5" s="2593"/>
      <c r="L5" s="1128"/>
      <c r="M5" s="1129"/>
      <c r="N5" s="1129"/>
      <c r="O5" s="1129"/>
      <c r="P5" s="3353"/>
      <c r="Q5" s="3354"/>
      <c r="R5" s="3359"/>
      <c r="S5" s="3360"/>
      <c r="T5" s="3359"/>
      <c r="U5" s="3360"/>
      <c r="V5" s="3344"/>
      <c r="W5" s="3344"/>
      <c r="X5" s="1811"/>
      <c r="Y5" s="3359"/>
      <c r="Z5" s="3360"/>
      <c r="AA5" s="3346"/>
      <c r="AB5" s="3346"/>
      <c r="AC5" s="3346"/>
    </row>
    <row r="6" spans="1:29" ht="15.75" thickBot="1">
      <c r="A6" s="405"/>
      <c r="B6" s="406"/>
      <c r="C6" s="3371" t="s">
        <v>2540</v>
      </c>
      <c r="D6" s="3364"/>
      <c r="E6" s="3406" t="s">
        <v>2540</v>
      </c>
      <c r="F6" s="3373"/>
      <c r="G6" s="3371" t="s">
        <v>2540</v>
      </c>
      <c r="H6" s="3364"/>
      <c r="I6" s="3371" t="s">
        <v>2540</v>
      </c>
      <c r="J6" s="3364"/>
      <c r="K6" s="2593" t="s">
        <v>2541</v>
      </c>
      <c r="L6" s="1128"/>
      <c r="M6" s="1129"/>
      <c r="N6" s="1129"/>
      <c r="O6" s="1129"/>
      <c r="P6" s="3355"/>
      <c r="Q6" s="3356"/>
      <c r="R6" s="3359"/>
      <c r="S6" s="3360"/>
      <c r="T6" s="3361"/>
      <c r="U6" s="3362"/>
      <c r="V6" s="3344"/>
      <c r="W6" s="3344"/>
      <c r="X6" s="1811"/>
      <c r="Y6" s="3361"/>
      <c r="Z6" s="3362"/>
      <c r="AA6" s="3347"/>
      <c r="AB6" s="3347"/>
      <c r="AC6" s="3347"/>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367" t="s">
        <v>2543</v>
      </c>
      <c r="Q7" s="3369"/>
      <c r="R7" s="768" t="s">
        <v>23</v>
      </c>
      <c r="S7" s="769">
        <f t="shared" ref="S7:S15" si="0">F7</f>
        <v>0</v>
      </c>
      <c r="T7" s="768" t="s">
        <v>23</v>
      </c>
      <c r="U7" s="769">
        <f t="shared" ref="U7:U15" si="1">H7</f>
        <v>0</v>
      </c>
      <c r="V7" s="768" t="s">
        <v>23</v>
      </c>
      <c r="W7" s="769">
        <f t="shared" ref="W7:W15" si="2">J7</f>
        <v>0</v>
      </c>
      <c r="X7" s="770"/>
      <c r="Y7" s="3367" t="s">
        <v>2543</v>
      </c>
      <c r="Z7" s="3368"/>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367" t="s">
        <v>2546</v>
      </c>
      <c r="Q8" s="3368"/>
      <c r="R8" s="768" t="s">
        <v>23</v>
      </c>
      <c r="S8" s="769">
        <f t="shared" si="0"/>
        <v>0</v>
      </c>
      <c r="T8" s="768" t="s">
        <v>23</v>
      </c>
      <c r="U8" s="769">
        <f t="shared" si="1"/>
        <v>0</v>
      </c>
      <c r="V8" s="768" t="s">
        <v>23</v>
      </c>
      <c r="W8" s="769">
        <f t="shared" si="2"/>
        <v>0</v>
      </c>
      <c r="X8" s="770"/>
      <c r="Y8" s="3367" t="s">
        <v>2546</v>
      </c>
      <c r="Z8" s="3368"/>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337"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37"/>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37"/>
      <c r="Q11" s="1793" t="str">
        <f t="shared" si="6"/>
        <v>容积率</v>
      </c>
      <c r="R11" s="768" t="s">
        <v>21</v>
      </c>
      <c r="S11" s="769" t="e">
        <f t="shared" si="0"/>
        <v>#N/A</v>
      </c>
      <c r="T11" s="768" t="s">
        <v>21</v>
      </c>
      <c r="U11" s="769" t="e">
        <f t="shared" si="1"/>
        <v>#N/A</v>
      </c>
      <c r="V11" s="768" t="s">
        <v>21</v>
      </c>
      <c r="W11" s="769" t="e">
        <f t="shared" si="2"/>
        <v>#N/A</v>
      </c>
      <c r="X11" s="770"/>
      <c r="Y11" s="3181"/>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337"/>
      <c r="Q12" s="1793">
        <f t="shared" si="6"/>
        <v>111</v>
      </c>
      <c r="R12" s="768" t="s">
        <v>21</v>
      </c>
      <c r="S12" s="769">
        <f t="shared" si="0"/>
        <v>100</v>
      </c>
      <c r="T12" s="768" t="s">
        <v>21</v>
      </c>
      <c r="U12" s="769">
        <f t="shared" si="1"/>
        <v>100</v>
      </c>
      <c r="V12" s="768" t="s">
        <v>21</v>
      </c>
      <c r="W12" s="769">
        <f t="shared" si="2"/>
        <v>100</v>
      </c>
      <c r="X12" s="770"/>
      <c r="Y12" s="3181"/>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337"/>
      <c r="Q13" s="1793">
        <f t="shared" si="6"/>
        <v>111</v>
      </c>
      <c r="R13" s="768" t="s">
        <v>21</v>
      </c>
      <c r="S13" s="769">
        <f t="shared" si="0"/>
        <v>100</v>
      </c>
      <c r="T13" s="768" t="s">
        <v>21</v>
      </c>
      <c r="U13" s="769">
        <f t="shared" si="1"/>
        <v>100</v>
      </c>
      <c r="V13" s="768" t="s">
        <v>21</v>
      </c>
      <c r="W13" s="769">
        <f t="shared" si="2"/>
        <v>100</v>
      </c>
      <c r="X13" s="770"/>
      <c r="Y13" s="3181"/>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337"/>
      <c r="Q14" s="1793">
        <f t="shared" si="6"/>
        <v>111</v>
      </c>
      <c r="R14" s="768" t="s">
        <v>21</v>
      </c>
      <c r="S14" s="769">
        <f t="shared" si="0"/>
        <v>100</v>
      </c>
      <c r="T14" s="768" t="s">
        <v>21</v>
      </c>
      <c r="U14" s="769">
        <f t="shared" si="1"/>
        <v>100</v>
      </c>
      <c r="V14" s="768" t="s">
        <v>21</v>
      </c>
      <c r="W14" s="769">
        <f t="shared" si="2"/>
        <v>100</v>
      </c>
      <c r="X14" s="770"/>
      <c r="Y14" s="3181"/>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404" t="s">
        <v>2554</v>
      </c>
      <c r="Q15" s="1808" t="str">
        <f t="shared" si="6"/>
        <v>居住社区成熟度</v>
      </c>
      <c r="R15" s="772" t="s">
        <v>21</v>
      </c>
      <c r="S15" s="773">
        <f t="shared" si="0"/>
        <v>100</v>
      </c>
      <c r="T15" s="772" t="s">
        <v>21</v>
      </c>
      <c r="U15" s="773">
        <f t="shared" si="1"/>
        <v>100</v>
      </c>
      <c r="V15" s="772" t="s">
        <v>21</v>
      </c>
      <c r="W15" s="773">
        <f t="shared" si="2"/>
        <v>100</v>
      </c>
      <c r="X15" s="1811"/>
      <c r="Y15" s="3340"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405"/>
      <c r="Q16" s="1808"/>
      <c r="R16" s="772"/>
      <c r="S16" s="773"/>
      <c r="T16" s="772"/>
      <c r="U16" s="773"/>
      <c r="V16" s="772"/>
      <c r="W16" s="773"/>
      <c r="X16" s="1811"/>
      <c r="Y16" s="3341"/>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405"/>
      <c r="Q17" s="1808" t="str">
        <f>B17</f>
        <v>交通便捷度</v>
      </c>
      <c r="R17" s="772" t="s">
        <v>21</v>
      </c>
      <c r="S17" s="773">
        <f>F17</f>
        <v>100</v>
      </c>
      <c r="T17" s="772" t="s">
        <v>21</v>
      </c>
      <c r="U17" s="773">
        <f>H17</f>
        <v>100</v>
      </c>
      <c r="V17" s="772" t="s">
        <v>21</v>
      </c>
      <c r="W17" s="773">
        <f>J17</f>
        <v>100</v>
      </c>
      <c r="X17" s="1811"/>
      <c r="Y17" s="3341"/>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405"/>
      <c r="Q18" s="1808"/>
      <c r="R18" s="772"/>
      <c r="S18" s="773"/>
      <c r="T18" s="772"/>
      <c r="U18" s="773"/>
      <c r="V18" s="772"/>
      <c r="W18" s="773"/>
      <c r="X18" s="1811"/>
      <c r="Y18" s="3341"/>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405"/>
      <c r="Q19" s="1808" t="str">
        <f>B19</f>
        <v>公共配套设施</v>
      </c>
      <c r="R19" s="772" t="s">
        <v>21</v>
      </c>
      <c r="S19" s="773">
        <f>F19</f>
        <v>100</v>
      </c>
      <c r="T19" s="772" t="s">
        <v>21</v>
      </c>
      <c r="U19" s="773">
        <f>H19</f>
        <v>100</v>
      </c>
      <c r="V19" s="772" t="s">
        <v>21</v>
      </c>
      <c r="W19" s="773">
        <f>J19</f>
        <v>100</v>
      </c>
      <c r="X19" s="1811"/>
      <c r="Y19" s="3341"/>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405"/>
      <c r="Q20" s="1808"/>
      <c r="R20" s="772"/>
      <c r="S20" s="773"/>
      <c r="T20" s="772"/>
      <c r="U20" s="773"/>
      <c r="V20" s="772"/>
      <c r="W20" s="773"/>
      <c r="X20" s="1811"/>
      <c r="Y20" s="3341"/>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405"/>
      <c r="Q21" s="1808" t="str">
        <f>B21</f>
        <v>基础设施水平</v>
      </c>
      <c r="R21" s="772" t="s">
        <v>17</v>
      </c>
      <c r="S21" s="773">
        <f>F21</f>
        <v>100</v>
      </c>
      <c r="T21" s="772" t="s">
        <v>17</v>
      </c>
      <c r="U21" s="773">
        <f>H21</f>
        <v>100</v>
      </c>
      <c r="V21" s="772" t="s">
        <v>17</v>
      </c>
      <c r="W21" s="773">
        <f>J21</f>
        <v>100</v>
      </c>
      <c r="X21" s="1811"/>
      <c r="Y21" s="3341"/>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405"/>
      <c r="Q22" s="1808"/>
      <c r="R22" s="772"/>
      <c r="S22" s="773"/>
      <c r="T22" s="772"/>
      <c r="U22" s="773"/>
      <c r="V22" s="772"/>
      <c r="W22" s="773"/>
      <c r="X22" s="1811"/>
      <c r="Y22" s="3341"/>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405"/>
      <c r="Q23" s="1808" t="str">
        <f>B23</f>
        <v>自然及人文环境</v>
      </c>
      <c r="R23" s="772" t="s">
        <v>21</v>
      </c>
      <c r="S23" s="773">
        <f>F23</f>
        <v>100</v>
      </c>
      <c r="T23" s="772" t="s">
        <v>21</v>
      </c>
      <c r="U23" s="773">
        <f>H23</f>
        <v>100</v>
      </c>
      <c r="V23" s="772" t="s">
        <v>21</v>
      </c>
      <c r="W23" s="773">
        <f>J23</f>
        <v>100</v>
      </c>
      <c r="X23" s="1811"/>
      <c r="Y23" s="3341"/>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405"/>
      <c r="Q24" s="1808"/>
      <c r="R24" s="772"/>
      <c r="S24" s="773"/>
      <c r="T24" s="772"/>
      <c r="U24" s="773"/>
      <c r="V24" s="772"/>
      <c r="W24" s="773"/>
      <c r="X24" s="1811"/>
      <c r="Y24" s="3341"/>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40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41"/>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405"/>
      <c r="Q26" s="1808" t="str">
        <f t="shared" si="11"/>
        <v>朝向</v>
      </c>
      <c r="R26" s="772" t="s">
        <v>21</v>
      </c>
      <c r="S26" s="773">
        <f t="shared" si="12"/>
        <v>100</v>
      </c>
      <c r="T26" s="772" t="s">
        <v>21</v>
      </c>
      <c r="U26" s="773">
        <f t="shared" si="13"/>
        <v>100</v>
      </c>
      <c r="V26" s="772" t="s">
        <v>21</v>
      </c>
      <c r="W26" s="773">
        <f t="shared" si="14"/>
        <v>100</v>
      </c>
      <c r="X26" s="1811"/>
      <c r="Y26" s="3341"/>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405"/>
      <c r="Q27" s="1793">
        <f t="shared" si="11"/>
        <v>111</v>
      </c>
      <c r="R27" s="768" t="s">
        <v>21</v>
      </c>
      <c r="S27" s="769">
        <f t="shared" si="12"/>
        <v>100</v>
      </c>
      <c r="T27" s="768" t="s">
        <v>21</v>
      </c>
      <c r="U27" s="769">
        <f t="shared" si="13"/>
        <v>100</v>
      </c>
      <c r="V27" s="768" t="s">
        <v>21</v>
      </c>
      <c r="W27" s="769">
        <f t="shared" si="14"/>
        <v>100</v>
      </c>
      <c r="X27" s="770"/>
      <c r="Y27" s="3341"/>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405"/>
      <c r="Q28" s="1808">
        <f t="shared" si="11"/>
        <v>111</v>
      </c>
      <c r="R28" s="772" t="s">
        <v>21</v>
      </c>
      <c r="S28" s="773">
        <f t="shared" si="12"/>
        <v>100</v>
      </c>
      <c r="T28" s="772" t="s">
        <v>21</v>
      </c>
      <c r="U28" s="773">
        <f t="shared" si="13"/>
        <v>100</v>
      </c>
      <c r="V28" s="772" t="s">
        <v>21</v>
      </c>
      <c r="W28" s="773">
        <f t="shared" si="14"/>
        <v>100</v>
      </c>
      <c r="X28" s="1811"/>
      <c r="Y28" s="334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405"/>
      <c r="Q29" s="1808">
        <f t="shared" si="11"/>
        <v>111</v>
      </c>
      <c r="R29" s="772" t="s">
        <v>21</v>
      </c>
      <c r="S29" s="773">
        <f t="shared" si="12"/>
        <v>100</v>
      </c>
      <c r="T29" s="772" t="s">
        <v>21</v>
      </c>
      <c r="U29" s="773">
        <f t="shared" si="13"/>
        <v>100</v>
      </c>
      <c r="V29" s="772" t="s">
        <v>21</v>
      </c>
      <c r="W29" s="773">
        <f t="shared" si="14"/>
        <v>100</v>
      </c>
      <c r="X29" s="1811"/>
      <c r="Y29" s="334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405"/>
      <c r="Q30" s="1808">
        <f t="shared" si="11"/>
        <v>111</v>
      </c>
      <c r="R30" s="772" t="s">
        <v>21</v>
      </c>
      <c r="S30" s="773">
        <f t="shared" si="12"/>
        <v>100</v>
      </c>
      <c r="T30" s="772" t="s">
        <v>21</v>
      </c>
      <c r="U30" s="773">
        <f t="shared" si="13"/>
        <v>100</v>
      </c>
      <c r="V30" s="772" t="s">
        <v>21</v>
      </c>
      <c r="W30" s="773">
        <f t="shared" si="14"/>
        <v>100</v>
      </c>
      <c r="X30" s="1811"/>
      <c r="Y30" s="3341"/>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405"/>
      <c r="Q31" s="1808">
        <f t="shared" si="11"/>
        <v>111</v>
      </c>
      <c r="R31" s="772" t="s">
        <v>21</v>
      </c>
      <c r="S31" s="773">
        <f t="shared" si="12"/>
        <v>100</v>
      </c>
      <c r="T31" s="772" t="s">
        <v>21</v>
      </c>
      <c r="U31" s="773">
        <f t="shared" si="13"/>
        <v>100</v>
      </c>
      <c r="V31" s="772" t="s">
        <v>21</v>
      </c>
      <c r="W31" s="773">
        <f t="shared" si="14"/>
        <v>100</v>
      </c>
      <c r="X31" s="1811"/>
      <c r="Y31" s="3341"/>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400" t="s">
        <v>2559</v>
      </c>
      <c r="Q32" s="1808" t="str">
        <f t="shared" si="11"/>
        <v>建筑类型</v>
      </c>
      <c r="R32" s="772" t="s">
        <v>21</v>
      </c>
      <c r="S32" s="773">
        <f t="shared" si="12"/>
        <v>100</v>
      </c>
      <c r="T32" s="772" t="s">
        <v>21</v>
      </c>
      <c r="U32" s="773">
        <f t="shared" si="13"/>
        <v>100</v>
      </c>
      <c r="V32" s="772" t="s">
        <v>21</v>
      </c>
      <c r="W32" s="773">
        <f t="shared" si="14"/>
        <v>100</v>
      </c>
      <c r="X32" s="1811"/>
      <c r="Y32" s="3343"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401"/>
      <c r="Q33" s="774" t="str">
        <f t="shared" si="11"/>
        <v>项目建筑规模</v>
      </c>
      <c r="R33" s="775" t="s">
        <v>21</v>
      </c>
      <c r="S33" s="776" t="e">
        <f t="shared" si="12"/>
        <v>#N/A</v>
      </c>
      <c r="T33" s="775" t="s">
        <v>21</v>
      </c>
      <c r="U33" s="776" t="e">
        <f t="shared" si="13"/>
        <v>#N/A</v>
      </c>
      <c r="V33" s="775" t="s">
        <v>21</v>
      </c>
      <c r="W33" s="776" t="e">
        <f t="shared" si="14"/>
        <v>#N/A</v>
      </c>
      <c r="X33" s="777"/>
      <c r="Y33" s="3343"/>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401"/>
      <c r="Q34" s="1808" t="str">
        <f t="shared" si="11"/>
        <v>建筑结构</v>
      </c>
      <c r="R34" s="772" t="s">
        <v>21</v>
      </c>
      <c r="S34" s="773">
        <f t="shared" si="12"/>
        <v>100</v>
      </c>
      <c r="T34" s="772" t="s">
        <v>21</v>
      </c>
      <c r="U34" s="773">
        <f t="shared" si="13"/>
        <v>100</v>
      </c>
      <c r="V34" s="772" t="s">
        <v>21</v>
      </c>
      <c r="W34" s="773">
        <f t="shared" si="14"/>
        <v>100</v>
      </c>
      <c r="X34" s="1811"/>
      <c r="Y34" s="3343"/>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401"/>
      <c r="Q35" s="1808" t="str">
        <f t="shared" si="11"/>
        <v>建筑品质</v>
      </c>
      <c r="R35" s="772" t="s">
        <v>21</v>
      </c>
      <c r="S35" s="773">
        <f t="shared" si="12"/>
        <v>100</v>
      </c>
      <c r="T35" s="772" t="s">
        <v>21</v>
      </c>
      <c r="U35" s="773">
        <f t="shared" si="13"/>
        <v>100</v>
      </c>
      <c r="V35" s="772" t="s">
        <v>21</v>
      </c>
      <c r="W35" s="773">
        <f t="shared" si="14"/>
        <v>100</v>
      </c>
      <c r="X35" s="1811"/>
      <c r="Y35" s="3343"/>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401"/>
      <c r="Q36" s="1808" t="str">
        <f t="shared" si="11"/>
        <v>公共部分装修</v>
      </c>
      <c r="R36" s="772" t="s">
        <v>21</v>
      </c>
      <c r="S36" s="773">
        <f t="shared" si="12"/>
        <v>100</v>
      </c>
      <c r="T36" s="772" t="s">
        <v>21</v>
      </c>
      <c r="U36" s="773">
        <f t="shared" si="13"/>
        <v>100</v>
      </c>
      <c r="V36" s="772" t="s">
        <v>21</v>
      </c>
      <c r="W36" s="773">
        <f t="shared" si="14"/>
        <v>100</v>
      </c>
      <c r="X36" s="1811"/>
      <c r="Y36" s="3343"/>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01"/>
      <c r="Q37" s="1793" t="str">
        <f t="shared" si="11"/>
        <v>成新度</v>
      </c>
      <c r="R37" s="768" t="s">
        <v>21</v>
      </c>
      <c r="S37" s="769" t="e">
        <f t="shared" si="12"/>
        <v>#N/A</v>
      </c>
      <c r="T37" s="768" t="s">
        <v>21</v>
      </c>
      <c r="U37" s="769" t="e">
        <f t="shared" si="13"/>
        <v>#N/A</v>
      </c>
      <c r="V37" s="768" t="s">
        <v>21</v>
      </c>
      <c r="W37" s="769" t="e">
        <f t="shared" si="14"/>
        <v>#N/A</v>
      </c>
      <c r="X37" s="770"/>
      <c r="Y37" s="3343"/>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401" t="s">
        <v>2559</v>
      </c>
      <c r="Q38" s="1808" t="str">
        <f t="shared" si="11"/>
        <v>物业管理</v>
      </c>
      <c r="R38" s="772" t="s">
        <v>21</v>
      </c>
      <c r="S38" s="773">
        <f t="shared" si="12"/>
        <v>100</v>
      </c>
      <c r="T38" s="772" t="s">
        <v>21</v>
      </c>
      <c r="U38" s="773">
        <f t="shared" si="13"/>
        <v>100</v>
      </c>
      <c r="V38" s="772" t="s">
        <v>21</v>
      </c>
      <c r="W38" s="773">
        <f t="shared" si="14"/>
        <v>100</v>
      </c>
      <c r="X38" s="1811"/>
      <c r="Y38" s="3343"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401"/>
      <c r="Q39" s="1808" t="str">
        <f t="shared" si="11"/>
        <v>市政基础设施</v>
      </c>
      <c r="R39" s="772" t="s">
        <v>21</v>
      </c>
      <c r="S39" s="773">
        <f t="shared" si="12"/>
        <v>100</v>
      </c>
      <c r="T39" s="772" t="s">
        <v>21</v>
      </c>
      <c r="U39" s="773">
        <f t="shared" si="13"/>
        <v>100</v>
      </c>
      <c r="V39" s="772" t="s">
        <v>21</v>
      </c>
      <c r="W39" s="773">
        <f t="shared" si="14"/>
        <v>100</v>
      </c>
      <c r="X39" s="1811"/>
      <c r="Y39" s="3343"/>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401"/>
      <c r="Q40" s="1808" t="str">
        <f t="shared" si="11"/>
        <v>房型</v>
      </c>
      <c r="R40" s="772" t="s">
        <v>21</v>
      </c>
      <c r="S40" s="773">
        <f t="shared" si="12"/>
        <v>100</v>
      </c>
      <c r="T40" s="772" t="s">
        <v>21</v>
      </c>
      <c r="U40" s="773">
        <f t="shared" si="13"/>
        <v>100</v>
      </c>
      <c r="V40" s="772" t="s">
        <v>21</v>
      </c>
      <c r="W40" s="773">
        <f t="shared" si="14"/>
        <v>100</v>
      </c>
      <c r="X40" s="1811"/>
      <c r="Y40" s="3343"/>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401"/>
      <c r="Q41" s="774" t="str">
        <f t="shared" si="11"/>
        <v>单套/主力户型建筑面积</v>
      </c>
      <c r="R41" s="775" t="s">
        <v>21</v>
      </c>
      <c r="S41" s="776">
        <f t="shared" si="12"/>
        <v>100</v>
      </c>
      <c r="T41" s="775" t="s">
        <v>21</v>
      </c>
      <c r="U41" s="776">
        <f t="shared" si="13"/>
        <v>100</v>
      </c>
      <c r="V41" s="775" t="s">
        <v>21</v>
      </c>
      <c r="W41" s="776">
        <f t="shared" si="14"/>
        <v>100</v>
      </c>
      <c r="X41" s="777"/>
      <c r="Y41" s="3343"/>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401"/>
      <c r="Q42" s="1808" t="str">
        <f t="shared" si="11"/>
        <v>内部装修</v>
      </c>
      <c r="R42" s="772" t="s">
        <v>21</v>
      </c>
      <c r="S42" s="773">
        <f t="shared" si="12"/>
        <v>100</v>
      </c>
      <c r="T42" s="772" t="s">
        <v>21</v>
      </c>
      <c r="U42" s="773">
        <f t="shared" si="13"/>
        <v>100</v>
      </c>
      <c r="V42" s="772" t="s">
        <v>21</v>
      </c>
      <c r="W42" s="773">
        <f t="shared" si="14"/>
        <v>100</v>
      </c>
      <c r="X42" s="1811"/>
      <c r="Y42" s="3343"/>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401"/>
      <c r="Q43" s="1808" t="str">
        <f t="shared" si="11"/>
        <v>内部装修维护情况</v>
      </c>
      <c r="R43" s="772" t="s">
        <v>21</v>
      </c>
      <c r="S43" s="773">
        <f t="shared" si="12"/>
        <v>100</v>
      </c>
      <c r="T43" s="772" t="s">
        <v>21</v>
      </c>
      <c r="U43" s="773">
        <f t="shared" si="13"/>
        <v>100</v>
      </c>
      <c r="V43" s="772" t="s">
        <v>21</v>
      </c>
      <c r="W43" s="773">
        <f t="shared" si="14"/>
        <v>100</v>
      </c>
      <c r="X43" s="1811"/>
      <c r="Y43" s="3343"/>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401"/>
      <c r="Q44" s="1793">
        <f t="shared" si="11"/>
        <v>111</v>
      </c>
      <c r="R44" s="768" t="s">
        <v>21</v>
      </c>
      <c r="S44" s="769">
        <f t="shared" si="12"/>
        <v>100</v>
      </c>
      <c r="T44" s="768" t="s">
        <v>21</v>
      </c>
      <c r="U44" s="769">
        <f t="shared" si="13"/>
        <v>100</v>
      </c>
      <c r="V44" s="768" t="s">
        <v>21</v>
      </c>
      <c r="W44" s="769">
        <f t="shared" si="14"/>
        <v>100</v>
      </c>
      <c r="X44" s="770"/>
      <c r="Y44" s="3343"/>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401"/>
      <c r="Q45" s="1808">
        <f t="shared" si="11"/>
        <v>111</v>
      </c>
      <c r="R45" s="772" t="s">
        <v>21</v>
      </c>
      <c r="S45" s="773">
        <f t="shared" si="12"/>
        <v>100</v>
      </c>
      <c r="T45" s="772" t="s">
        <v>21</v>
      </c>
      <c r="U45" s="773">
        <f t="shared" si="13"/>
        <v>100</v>
      </c>
      <c r="V45" s="772" t="s">
        <v>21</v>
      </c>
      <c r="W45" s="773">
        <f t="shared" si="14"/>
        <v>100</v>
      </c>
      <c r="X45" s="1811"/>
      <c r="Y45" s="3343"/>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402"/>
      <c r="Q46" s="1808">
        <f t="shared" si="11"/>
        <v>111</v>
      </c>
      <c r="R46" s="772" t="s">
        <v>20</v>
      </c>
      <c r="S46" s="773">
        <f t="shared" si="12"/>
        <v>100</v>
      </c>
      <c r="T46" s="772" t="s">
        <v>20</v>
      </c>
      <c r="U46" s="773">
        <f t="shared" si="13"/>
        <v>100</v>
      </c>
      <c r="V46" s="772" t="s">
        <v>20</v>
      </c>
      <c r="W46" s="773">
        <f t="shared" si="14"/>
        <v>100</v>
      </c>
      <c r="X46" s="1811"/>
      <c r="Y46" s="3403"/>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338" t="str">
        <f>A47</f>
        <v>成交单价（元/平方米）</v>
      </c>
      <c r="Q47" s="3338"/>
      <c r="R47" s="3399">
        <f>E47</f>
        <v>0</v>
      </c>
      <c r="S47" s="3399"/>
      <c r="T47" s="3399">
        <f>G47</f>
        <v>0</v>
      </c>
      <c r="U47" s="3399"/>
      <c r="V47" s="3399">
        <f>I47</f>
        <v>0</v>
      </c>
      <c r="W47" s="3399"/>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338" t="str">
        <f>A48</f>
        <v>比较价值（元/平方米）</v>
      </c>
      <c r="Q48" s="333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332" t="str">
        <f>A49</f>
        <v>估价对象XX用房的比较价值（楼面单价，元/平方米）</v>
      </c>
      <c r="Q49" s="3333"/>
      <c r="R49" s="3398" t="e">
        <f>IF(F1="售价",ROUND(AVERAGE(R48:V48),0),ROUND(AVERAGE(R48:V48),1))</f>
        <v>#DIV/0!</v>
      </c>
      <c r="S49" s="3398"/>
      <c r="T49" s="3398"/>
      <c r="U49" s="3398"/>
      <c r="V49" s="3398"/>
      <c r="W49" s="339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4" t="s">
        <v>2642</v>
      </c>
      <c r="AC4" s="3345" t="s">
        <v>2643</v>
      </c>
    </row>
    <row r="5" spans="1:29" ht="15">
      <c r="A5" s="403"/>
      <c r="B5" s="404"/>
      <c r="C5" s="3365" t="s">
        <v>2536</v>
      </c>
      <c r="D5" s="3366"/>
      <c r="E5" s="3407" t="s">
        <v>2537</v>
      </c>
      <c r="F5" s="3375"/>
      <c r="G5" s="3365" t="s">
        <v>2538</v>
      </c>
      <c r="H5" s="3366"/>
      <c r="I5" s="3365" t="s">
        <v>2539</v>
      </c>
      <c r="J5" s="3366"/>
      <c r="K5" s="609"/>
      <c r="L5" s="1128"/>
      <c r="M5" s="1129"/>
      <c r="N5" s="1129"/>
      <c r="O5" s="1129"/>
      <c r="P5" s="3353"/>
      <c r="Q5" s="3354"/>
      <c r="R5" s="3359"/>
      <c r="S5" s="3360"/>
      <c r="T5" s="3359"/>
      <c r="U5" s="3360"/>
      <c r="V5" s="3344"/>
      <c r="W5" s="3344"/>
      <c r="X5" s="1811"/>
      <c r="Y5" s="3359"/>
      <c r="Z5" s="3360"/>
      <c r="AA5" s="3346"/>
      <c r="AB5" s="3344"/>
      <c r="AC5" s="3346"/>
    </row>
    <row r="6" spans="1:29" ht="15.75" thickBot="1">
      <c r="A6" s="405"/>
      <c r="B6" s="406"/>
      <c r="C6" s="3371" t="s">
        <v>2540</v>
      </c>
      <c r="D6" s="3364"/>
      <c r="E6" s="3406" t="s">
        <v>2540</v>
      </c>
      <c r="F6" s="3373"/>
      <c r="G6" s="3371" t="s">
        <v>2540</v>
      </c>
      <c r="H6" s="3364"/>
      <c r="I6" s="3371" t="s">
        <v>2540</v>
      </c>
      <c r="J6" s="3364"/>
      <c r="K6" s="609" t="s">
        <v>2541</v>
      </c>
      <c r="L6" s="1128"/>
      <c r="M6" s="1129"/>
      <c r="N6" s="1129"/>
      <c r="O6" s="1129"/>
      <c r="P6" s="3355"/>
      <c r="Q6" s="3356"/>
      <c r="R6" s="3359"/>
      <c r="S6" s="3360"/>
      <c r="T6" s="3361"/>
      <c r="U6" s="3362"/>
      <c r="V6" s="3344"/>
      <c r="W6" s="3344"/>
      <c r="X6" s="1811"/>
      <c r="Y6" s="3361"/>
      <c r="Z6" s="3362"/>
      <c r="AA6" s="3347"/>
      <c r="AB6" s="3344"/>
      <c r="AC6" s="3347"/>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67" t="s">
        <v>2543</v>
      </c>
      <c r="Q7" s="3369"/>
      <c r="R7" s="768" t="s">
        <v>17</v>
      </c>
      <c r="S7" s="769">
        <f t="shared" ref="S7:S15" si="0">F7</f>
        <v>0</v>
      </c>
      <c r="T7" s="768" t="s">
        <v>17</v>
      </c>
      <c r="U7" s="769">
        <f t="shared" ref="U7:U15" si="1">H7</f>
        <v>0</v>
      </c>
      <c r="V7" s="768" t="s">
        <v>17</v>
      </c>
      <c r="W7" s="769">
        <f t="shared" ref="W7:W15" si="2">J7</f>
        <v>0</v>
      </c>
      <c r="X7" s="770"/>
      <c r="Y7" s="3367" t="s">
        <v>2543</v>
      </c>
      <c r="Z7" s="3368"/>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67" t="s">
        <v>2546</v>
      </c>
      <c r="Q8" s="3368"/>
      <c r="R8" s="768" t="s">
        <v>17</v>
      </c>
      <c r="S8" s="769">
        <f t="shared" si="0"/>
        <v>0</v>
      </c>
      <c r="T8" s="768" t="s">
        <v>17</v>
      </c>
      <c r="U8" s="769">
        <f t="shared" si="1"/>
        <v>0</v>
      </c>
      <c r="V8" s="768" t="s">
        <v>17</v>
      </c>
      <c r="W8" s="769">
        <f t="shared" si="2"/>
        <v>0</v>
      </c>
      <c r="X8" s="770"/>
      <c r="Y8" s="3367" t="s">
        <v>2546</v>
      </c>
      <c r="Z8" s="3368"/>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37"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37"/>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37"/>
      <c r="Q11" s="1793" t="str">
        <f t="shared" si="6"/>
        <v>容积率</v>
      </c>
      <c r="R11" s="768" t="s">
        <v>17</v>
      </c>
      <c r="S11" s="769" t="e">
        <f t="shared" si="0"/>
        <v>#N/A</v>
      </c>
      <c r="T11" s="768" t="s">
        <v>17</v>
      </c>
      <c r="U11" s="769" t="e">
        <f t="shared" si="1"/>
        <v>#N/A</v>
      </c>
      <c r="V11" s="768" t="s">
        <v>17</v>
      </c>
      <c r="W11" s="769" t="e">
        <f t="shared" si="2"/>
        <v>#N/A</v>
      </c>
      <c r="X11" s="770"/>
      <c r="Y11" s="3181"/>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37"/>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37"/>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37"/>
      <c r="Q14" s="1793">
        <f t="shared" si="6"/>
        <v>111</v>
      </c>
      <c r="R14" s="768" t="s">
        <v>17</v>
      </c>
      <c r="S14" s="769">
        <f t="shared" si="0"/>
        <v>100</v>
      </c>
      <c r="T14" s="768" t="s">
        <v>17</v>
      </c>
      <c r="U14" s="769">
        <f t="shared" si="1"/>
        <v>100</v>
      </c>
      <c r="V14" s="768" t="s">
        <v>17</v>
      </c>
      <c r="W14" s="769">
        <f t="shared" si="2"/>
        <v>100</v>
      </c>
      <c r="X14" s="770"/>
      <c r="Y14" s="3181"/>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404" t="s">
        <v>2554</v>
      </c>
      <c r="Q15" s="1808" t="str">
        <f t="shared" si="6"/>
        <v>商业繁华度</v>
      </c>
      <c r="R15" s="772" t="s">
        <v>17</v>
      </c>
      <c r="S15" s="773">
        <f t="shared" si="0"/>
        <v>100</v>
      </c>
      <c r="T15" s="772" t="s">
        <v>17</v>
      </c>
      <c r="U15" s="773">
        <f t="shared" si="1"/>
        <v>100</v>
      </c>
      <c r="V15" s="772" t="s">
        <v>17</v>
      </c>
      <c r="W15" s="773">
        <f t="shared" si="2"/>
        <v>100</v>
      </c>
      <c r="X15" s="1811"/>
      <c r="Y15" s="3340"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405"/>
      <c r="Q16" s="1808"/>
      <c r="R16" s="772"/>
      <c r="S16" s="773"/>
      <c r="T16" s="772"/>
      <c r="U16" s="773"/>
      <c r="V16" s="772"/>
      <c r="W16" s="773"/>
      <c r="X16" s="1811"/>
      <c r="Y16" s="3341"/>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405"/>
      <c r="Q17" s="1808" t="str">
        <f>B17</f>
        <v>交通便捷度</v>
      </c>
      <c r="R17" s="772" t="s">
        <v>17</v>
      </c>
      <c r="S17" s="773">
        <f>F17</f>
        <v>100</v>
      </c>
      <c r="T17" s="772" t="s">
        <v>17</v>
      </c>
      <c r="U17" s="773">
        <f>H17</f>
        <v>100</v>
      </c>
      <c r="V17" s="772" t="s">
        <v>17</v>
      </c>
      <c r="W17" s="773">
        <f>J17</f>
        <v>100</v>
      </c>
      <c r="X17" s="1811"/>
      <c r="Y17" s="3341"/>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405"/>
      <c r="Q18" s="1808"/>
      <c r="R18" s="772"/>
      <c r="S18" s="773"/>
      <c r="T18" s="772"/>
      <c r="U18" s="773"/>
      <c r="V18" s="772"/>
      <c r="W18" s="773"/>
      <c r="X18" s="1811"/>
      <c r="Y18" s="3341"/>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405"/>
      <c r="Q19" s="1808" t="str">
        <f>B19</f>
        <v>公共配套设施</v>
      </c>
      <c r="R19" s="772" t="s">
        <v>17</v>
      </c>
      <c r="S19" s="773">
        <f>F19</f>
        <v>100</v>
      </c>
      <c r="T19" s="772" t="s">
        <v>17</v>
      </c>
      <c r="U19" s="773">
        <f>H19</f>
        <v>100</v>
      </c>
      <c r="V19" s="772" t="s">
        <v>17</v>
      </c>
      <c r="W19" s="773">
        <f>J19</f>
        <v>100</v>
      </c>
      <c r="X19" s="1811"/>
      <c r="Y19" s="3341"/>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405"/>
      <c r="Q20" s="1808"/>
      <c r="R20" s="772"/>
      <c r="S20" s="773"/>
      <c r="T20" s="772"/>
      <c r="U20" s="773"/>
      <c r="V20" s="772"/>
      <c r="W20" s="773"/>
      <c r="X20" s="1811"/>
      <c r="Y20" s="3341"/>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405"/>
      <c r="Q21" s="1808" t="str">
        <f>B21</f>
        <v>基础设施水平</v>
      </c>
      <c r="R21" s="772" t="s">
        <v>17</v>
      </c>
      <c r="S21" s="773">
        <f>F21</f>
        <v>100</v>
      </c>
      <c r="T21" s="772" t="s">
        <v>17</v>
      </c>
      <c r="U21" s="773">
        <f>H21</f>
        <v>100</v>
      </c>
      <c r="V21" s="772" t="s">
        <v>17</v>
      </c>
      <c r="W21" s="773">
        <f>J21</f>
        <v>100</v>
      </c>
      <c r="X21" s="1811"/>
      <c r="Y21" s="3341"/>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405"/>
      <c r="Q22" s="1808"/>
      <c r="R22" s="772"/>
      <c r="S22" s="773"/>
      <c r="T22" s="772"/>
      <c r="U22" s="773"/>
      <c r="V22" s="772"/>
      <c r="W22" s="773"/>
      <c r="X22" s="1811"/>
      <c r="Y22" s="3341"/>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405"/>
      <c r="Q23" s="1808" t="str">
        <f>B23</f>
        <v>自然及人文环境</v>
      </c>
      <c r="R23" s="772" t="s">
        <v>17</v>
      </c>
      <c r="S23" s="773">
        <f>F23</f>
        <v>100</v>
      </c>
      <c r="T23" s="772" t="s">
        <v>17</v>
      </c>
      <c r="U23" s="773">
        <f>H23</f>
        <v>100</v>
      </c>
      <c r="V23" s="772" t="s">
        <v>17</v>
      </c>
      <c r="W23" s="773">
        <f>J23</f>
        <v>100</v>
      </c>
      <c r="X23" s="1811"/>
      <c r="Y23" s="3341"/>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405"/>
      <c r="Q24" s="1808"/>
      <c r="R24" s="772"/>
      <c r="S24" s="773"/>
      <c r="T24" s="772"/>
      <c r="U24" s="773"/>
      <c r="V24" s="772"/>
      <c r="W24" s="773"/>
      <c r="X24" s="1811"/>
      <c r="Y24" s="3341"/>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405"/>
      <c r="Q25" s="1808" t="str">
        <f t="shared" ref="Q25:Q46" si="11">B25</f>
        <v>临街状况</v>
      </c>
      <c r="R25" s="772" t="s">
        <v>17</v>
      </c>
      <c r="S25" s="773">
        <f>F25</f>
        <v>100</v>
      </c>
      <c r="T25" s="772" t="s">
        <v>17</v>
      </c>
      <c r="U25" s="773">
        <f>H25</f>
        <v>100</v>
      </c>
      <c r="V25" s="772" t="s">
        <v>17</v>
      </c>
      <c r="W25" s="773">
        <f>J25</f>
        <v>100</v>
      </c>
      <c r="X25" s="1811"/>
      <c r="Y25" s="3341"/>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405"/>
      <c r="Q26" s="1808" t="str">
        <f t="shared" si="11"/>
        <v>平面位置/可视性</v>
      </c>
      <c r="R26" s="772" t="s">
        <v>17</v>
      </c>
      <c r="S26" s="773">
        <f>F26</f>
        <v>100</v>
      </c>
      <c r="T26" s="772" t="s">
        <v>17</v>
      </c>
      <c r="U26" s="773">
        <f>H26</f>
        <v>100</v>
      </c>
      <c r="V26" s="772" t="s">
        <v>17</v>
      </c>
      <c r="W26" s="773">
        <f>J26</f>
        <v>100</v>
      </c>
      <c r="X26" s="1811"/>
      <c r="Y26" s="3341"/>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405"/>
      <c r="Q27" s="1793" t="str">
        <f t="shared" si="11"/>
        <v>人流量</v>
      </c>
      <c r="R27" s="768" t="s">
        <v>17</v>
      </c>
      <c r="S27" s="769">
        <f>F27</f>
        <v>100</v>
      </c>
      <c r="T27" s="768" t="s">
        <v>17</v>
      </c>
      <c r="U27" s="769">
        <f>H27</f>
        <v>100</v>
      </c>
      <c r="V27" s="768" t="s">
        <v>17</v>
      </c>
      <c r="W27" s="769">
        <f>J27</f>
        <v>100</v>
      </c>
      <c r="X27" s="770"/>
      <c r="Y27" s="3341"/>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40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4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405"/>
      <c r="Q29" s="1808">
        <f t="shared" si="11"/>
        <v>111</v>
      </c>
      <c r="R29" s="772" t="s">
        <v>17</v>
      </c>
      <c r="S29" s="773">
        <f t="shared" si="12"/>
        <v>100</v>
      </c>
      <c r="T29" s="772" t="s">
        <v>17</v>
      </c>
      <c r="U29" s="773">
        <f t="shared" si="13"/>
        <v>100</v>
      </c>
      <c r="V29" s="772" t="s">
        <v>17</v>
      </c>
      <c r="W29" s="773">
        <f t="shared" si="14"/>
        <v>100</v>
      </c>
      <c r="X29" s="1811"/>
      <c r="Y29" s="334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405"/>
      <c r="Q30" s="1808">
        <f t="shared" si="11"/>
        <v>111</v>
      </c>
      <c r="R30" s="772" t="s">
        <v>17</v>
      </c>
      <c r="S30" s="773">
        <f t="shared" si="12"/>
        <v>100</v>
      </c>
      <c r="T30" s="772" t="s">
        <v>17</v>
      </c>
      <c r="U30" s="773">
        <f t="shared" si="13"/>
        <v>100</v>
      </c>
      <c r="V30" s="772" t="s">
        <v>17</v>
      </c>
      <c r="W30" s="773">
        <f t="shared" si="14"/>
        <v>100</v>
      </c>
      <c r="X30" s="1811"/>
      <c r="Y30" s="334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405"/>
      <c r="Q31" s="1808">
        <f t="shared" si="11"/>
        <v>111</v>
      </c>
      <c r="R31" s="772" t="s">
        <v>17</v>
      </c>
      <c r="S31" s="773">
        <f t="shared" si="12"/>
        <v>100</v>
      </c>
      <c r="T31" s="772" t="s">
        <v>17</v>
      </c>
      <c r="U31" s="773">
        <f t="shared" si="13"/>
        <v>100</v>
      </c>
      <c r="V31" s="772" t="s">
        <v>17</v>
      </c>
      <c r="W31" s="773">
        <f t="shared" si="14"/>
        <v>100</v>
      </c>
      <c r="X31" s="1811"/>
      <c r="Y31" s="3341"/>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400" t="s">
        <v>2559</v>
      </c>
      <c r="Q32" s="1808" t="str">
        <f t="shared" si="11"/>
        <v>商业类型</v>
      </c>
      <c r="R32" s="772" t="s">
        <v>17</v>
      </c>
      <c r="S32" s="773">
        <f t="shared" si="12"/>
        <v>100</v>
      </c>
      <c r="T32" s="772" t="s">
        <v>17</v>
      </c>
      <c r="U32" s="773">
        <f t="shared" si="13"/>
        <v>100</v>
      </c>
      <c r="V32" s="772" t="s">
        <v>17</v>
      </c>
      <c r="W32" s="773">
        <f t="shared" si="14"/>
        <v>100</v>
      </c>
      <c r="X32" s="1811"/>
      <c r="Y32" s="3343"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401"/>
      <c r="Q33" s="774" t="str">
        <f t="shared" si="11"/>
        <v>项目建筑规模</v>
      </c>
      <c r="R33" s="775" t="s">
        <v>17</v>
      </c>
      <c r="S33" s="776" t="e">
        <f t="shared" si="12"/>
        <v>#N/A</v>
      </c>
      <c r="T33" s="775" t="s">
        <v>17</v>
      </c>
      <c r="U33" s="776" t="e">
        <f t="shared" si="13"/>
        <v>#N/A</v>
      </c>
      <c r="V33" s="775" t="s">
        <v>17</v>
      </c>
      <c r="W33" s="776" t="e">
        <f t="shared" si="14"/>
        <v>#N/A</v>
      </c>
      <c r="X33" s="777"/>
      <c r="Y33" s="3343"/>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401"/>
      <c r="Q34" s="1808" t="str">
        <f t="shared" si="11"/>
        <v>建筑结构</v>
      </c>
      <c r="R34" s="772" t="s">
        <v>17</v>
      </c>
      <c r="S34" s="773">
        <f t="shared" si="12"/>
        <v>100</v>
      </c>
      <c r="T34" s="772" t="s">
        <v>17</v>
      </c>
      <c r="U34" s="773">
        <f t="shared" si="13"/>
        <v>100</v>
      </c>
      <c r="V34" s="772" t="s">
        <v>17</v>
      </c>
      <c r="W34" s="773">
        <f t="shared" si="14"/>
        <v>100</v>
      </c>
      <c r="X34" s="1811"/>
      <c r="Y34" s="3343"/>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401"/>
      <c r="Q35" s="1808" t="str">
        <f t="shared" si="11"/>
        <v>公共部分装修</v>
      </c>
      <c r="R35" s="772" t="s">
        <v>17</v>
      </c>
      <c r="S35" s="773">
        <f t="shared" si="12"/>
        <v>100</v>
      </c>
      <c r="T35" s="772" t="s">
        <v>17</v>
      </c>
      <c r="U35" s="773">
        <f t="shared" si="13"/>
        <v>100</v>
      </c>
      <c r="V35" s="772" t="s">
        <v>17</v>
      </c>
      <c r="W35" s="773">
        <f t="shared" si="14"/>
        <v>100</v>
      </c>
      <c r="X35" s="1811"/>
      <c r="Y35" s="3343"/>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401"/>
      <c r="Q36" s="1808" t="str">
        <f t="shared" si="11"/>
        <v>成新度</v>
      </c>
      <c r="R36" s="772" t="s">
        <v>17</v>
      </c>
      <c r="S36" s="773" t="e">
        <f t="shared" si="12"/>
        <v>#N/A</v>
      </c>
      <c r="T36" s="772" t="s">
        <v>17</v>
      </c>
      <c r="U36" s="773" t="e">
        <f t="shared" si="13"/>
        <v>#N/A</v>
      </c>
      <c r="V36" s="772" t="s">
        <v>17</v>
      </c>
      <c r="W36" s="773" t="e">
        <f t="shared" si="14"/>
        <v>#N/A</v>
      </c>
      <c r="X36" s="1811"/>
      <c r="Y36" s="3343"/>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401"/>
      <c r="Q37" s="1793" t="str">
        <f t="shared" si="11"/>
        <v>市政基础设施</v>
      </c>
      <c r="R37" s="768" t="s">
        <v>17</v>
      </c>
      <c r="S37" s="769">
        <f t="shared" si="12"/>
        <v>100</v>
      </c>
      <c r="T37" s="768" t="s">
        <v>17</v>
      </c>
      <c r="U37" s="769">
        <f t="shared" si="13"/>
        <v>100</v>
      </c>
      <c r="V37" s="768" t="s">
        <v>17</v>
      </c>
      <c r="W37" s="769">
        <f t="shared" si="14"/>
        <v>100</v>
      </c>
      <c r="X37" s="770"/>
      <c r="Y37" s="3343"/>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401" t="s">
        <v>2559</v>
      </c>
      <c r="Q38" s="1808" t="str">
        <f t="shared" si="11"/>
        <v>业态</v>
      </c>
      <c r="R38" s="772" t="s">
        <v>17</v>
      </c>
      <c r="S38" s="773">
        <f t="shared" si="12"/>
        <v>100</v>
      </c>
      <c r="T38" s="772" t="s">
        <v>17</v>
      </c>
      <c r="U38" s="773">
        <f t="shared" si="13"/>
        <v>100</v>
      </c>
      <c r="V38" s="772" t="s">
        <v>17</v>
      </c>
      <c r="W38" s="773">
        <f t="shared" si="14"/>
        <v>100</v>
      </c>
      <c r="X38" s="1811"/>
      <c r="Y38" s="3343"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401"/>
      <c r="Q39" s="1808" t="str">
        <f t="shared" si="11"/>
        <v>层高</v>
      </c>
      <c r="R39" s="772" t="s">
        <v>17</v>
      </c>
      <c r="S39" s="773">
        <f t="shared" si="12"/>
        <v>100</v>
      </c>
      <c r="T39" s="772" t="s">
        <v>17</v>
      </c>
      <c r="U39" s="773">
        <f t="shared" si="13"/>
        <v>100</v>
      </c>
      <c r="V39" s="772" t="s">
        <v>17</v>
      </c>
      <c r="W39" s="773">
        <f t="shared" si="14"/>
        <v>100</v>
      </c>
      <c r="X39" s="1811"/>
      <c r="Y39" s="3343"/>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401"/>
      <c r="Q40" s="1808" t="str">
        <f t="shared" si="11"/>
        <v>单套建筑面积</v>
      </c>
      <c r="R40" s="772" t="s">
        <v>17</v>
      </c>
      <c r="S40" s="773">
        <f t="shared" si="12"/>
        <v>100</v>
      </c>
      <c r="T40" s="772" t="s">
        <v>17</v>
      </c>
      <c r="U40" s="773">
        <f t="shared" si="13"/>
        <v>100</v>
      </c>
      <c r="V40" s="772" t="s">
        <v>17</v>
      </c>
      <c r="W40" s="773">
        <f t="shared" si="14"/>
        <v>100</v>
      </c>
      <c r="X40" s="1811"/>
      <c r="Y40" s="3343"/>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401"/>
      <c r="Q41" s="774" t="str">
        <f t="shared" si="11"/>
        <v>进深比</v>
      </c>
      <c r="R41" s="775" t="s">
        <v>17</v>
      </c>
      <c r="S41" s="776">
        <f t="shared" si="12"/>
        <v>100</v>
      </c>
      <c r="T41" s="775" t="s">
        <v>17</v>
      </c>
      <c r="U41" s="776">
        <f t="shared" si="13"/>
        <v>100</v>
      </c>
      <c r="V41" s="775" t="s">
        <v>17</v>
      </c>
      <c r="W41" s="776">
        <f t="shared" si="14"/>
        <v>100</v>
      </c>
      <c r="X41" s="777"/>
      <c r="Y41" s="3343"/>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401"/>
      <c r="Q42" s="1808" t="str">
        <f t="shared" si="11"/>
        <v>内部装修</v>
      </c>
      <c r="R42" s="772" t="s">
        <v>17</v>
      </c>
      <c r="S42" s="773">
        <f t="shared" si="12"/>
        <v>100</v>
      </c>
      <c r="T42" s="772" t="s">
        <v>17</v>
      </c>
      <c r="U42" s="773">
        <f t="shared" si="13"/>
        <v>100</v>
      </c>
      <c r="V42" s="772" t="s">
        <v>17</v>
      </c>
      <c r="W42" s="773">
        <f t="shared" si="14"/>
        <v>100</v>
      </c>
      <c r="X42" s="1811"/>
      <c r="Y42" s="3343"/>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401"/>
      <c r="Q43" s="1808" t="str">
        <f t="shared" si="11"/>
        <v>内部装修维护情况</v>
      </c>
      <c r="R43" s="772" t="s">
        <v>17</v>
      </c>
      <c r="S43" s="773">
        <f t="shared" si="12"/>
        <v>100</v>
      </c>
      <c r="T43" s="772" t="s">
        <v>17</v>
      </c>
      <c r="U43" s="773">
        <f t="shared" si="13"/>
        <v>100</v>
      </c>
      <c r="V43" s="772" t="s">
        <v>17</v>
      </c>
      <c r="W43" s="773">
        <f t="shared" si="14"/>
        <v>100</v>
      </c>
      <c r="X43" s="1811"/>
      <c r="Y43" s="3343"/>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01"/>
      <c r="Q44" s="1793">
        <f t="shared" si="11"/>
        <v>111</v>
      </c>
      <c r="R44" s="768" t="s">
        <v>17</v>
      </c>
      <c r="S44" s="769">
        <f t="shared" si="12"/>
        <v>100</v>
      </c>
      <c r="T44" s="768" t="s">
        <v>17</v>
      </c>
      <c r="U44" s="769">
        <f t="shared" si="13"/>
        <v>100</v>
      </c>
      <c r="V44" s="768" t="s">
        <v>17</v>
      </c>
      <c r="W44" s="769">
        <f t="shared" si="14"/>
        <v>100</v>
      </c>
      <c r="X44" s="770"/>
      <c r="Y44" s="3343"/>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01"/>
      <c r="Q45" s="1808">
        <f t="shared" si="11"/>
        <v>111</v>
      </c>
      <c r="R45" s="772" t="s">
        <v>17</v>
      </c>
      <c r="S45" s="773">
        <f t="shared" si="12"/>
        <v>100</v>
      </c>
      <c r="T45" s="772" t="s">
        <v>17</v>
      </c>
      <c r="U45" s="773">
        <f t="shared" si="13"/>
        <v>100</v>
      </c>
      <c r="V45" s="772" t="s">
        <v>17</v>
      </c>
      <c r="W45" s="773">
        <f t="shared" si="14"/>
        <v>100</v>
      </c>
      <c r="X45" s="1811"/>
      <c r="Y45" s="3343"/>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02"/>
      <c r="Q46" s="1808">
        <f t="shared" si="11"/>
        <v>111</v>
      </c>
      <c r="R46" s="772" t="s">
        <v>17</v>
      </c>
      <c r="S46" s="773">
        <f t="shared" si="12"/>
        <v>100</v>
      </c>
      <c r="T46" s="772" t="s">
        <v>17</v>
      </c>
      <c r="U46" s="773">
        <f t="shared" si="13"/>
        <v>100</v>
      </c>
      <c r="V46" s="772" t="s">
        <v>17</v>
      </c>
      <c r="W46" s="773">
        <f t="shared" si="14"/>
        <v>100</v>
      </c>
      <c r="X46" s="1811"/>
      <c r="Y46" s="3403"/>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338" t="str">
        <f>A47</f>
        <v>成交单价（元/平方米）</v>
      </c>
      <c r="Q47" s="3338"/>
      <c r="R47" s="3344">
        <f>E47</f>
        <v>0</v>
      </c>
      <c r="S47" s="3344"/>
      <c r="T47" s="3344">
        <f>G47</f>
        <v>0</v>
      </c>
      <c r="U47" s="3344"/>
      <c r="V47" s="3344">
        <f>I47</f>
        <v>0</v>
      </c>
      <c r="W47" s="3344"/>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338" t="str">
        <f>A48</f>
        <v>比较价值（元/平方米）</v>
      </c>
      <c r="Q48" s="333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332" t="str">
        <f>A49</f>
        <v>估价对象XX用房的比较价值（楼面单价，元/平方米）</v>
      </c>
      <c r="Q49" s="3333"/>
      <c r="R49" s="3398" t="e">
        <f>IF(F1="售价",ROUND(AVERAGE(R48:V48),0),ROUND(AVERAGE(R48:V48),1))</f>
        <v>#DIV/0!</v>
      </c>
      <c r="S49" s="3398"/>
      <c r="T49" s="3398"/>
      <c r="U49" s="3398"/>
      <c r="V49" s="3398"/>
      <c r="W49" s="339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414" t="s">
        <v>2645</v>
      </c>
      <c r="Q4" s="3415"/>
      <c r="R4" s="3418" t="s">
        <v>2641</v>
      </c>
      <c r="S4" s="3419"/>
      <c r="T4" s="3418" t="s">
        <v>2642</v>
      </c>
      <c r="U4" s="3419"/>
      <c r="V4" s="3420" t="s">
        <v>2643</v>
      </c>
      <c r="W4" s="3420"/>
      <c r="X4" s="2666"/>
      <c r="Y4" s="3418" t="s">
        <v>2645</v>
      </c>
      <c r="Z4" s="3419"/>
      <c r="AA4" s="3422" t="s">
        <v>2641</v>
      </c>
      <c r="AB4" s="3422" t="s">
        <v>2642</v>
      </c>
      <c r="AC4" s="3411" t="s">
        <v>2643</v>
      </c>
    </row>
    <row r="5" spans="1:29" ht="15">
      <c r="A5" s="403"/>
      <c r="B5" s="404"/>
      <c r="C5" s="3365" t="s">
        <v>2536</v>
      </c>
      <c r="D5" s="3366"/>
      <c r="E5" s="3407" t="s">
        <v>2537</v>
      </c>
      <c r="F5" s="3375"/>
      <c r="G5" s="3365" t="s">
        <v>2538</v>
      </c>
      <c r="H5" s="3366"/>
      <c r="I5" s="3365" t="s">
        <v>2539</v>
      </c>
      <c r="J5" s="3366"/>
      <c r="K5" s="609"/>
      <c r="L5" s="1128"/>
      <c r="M5" s="1129"/>
      <c r="N5" s="1129"/>
      <c r="O5" s="1129"/>
      <c r="P5" s="3416"/>
      <c r="Q5" s="3354"/>
      <c r="R5" s="3359"/>
      <c r="S5" s="3360"/>
      <c r="T5" s="3359"/>
      <c r="U5" s="3360"/>
      <c r="V5" s="3344"/>
      <c r="W5" s="3344"/>
      <c r="X5" s="1811"/>
      <c r="Y5" s="3359"/>
      <c r="Z5" s="3360"/>
      <c r="AA5" s="3346"/>
      <c r="AB5" s="3346"/>
      <c r="AC5" s="3412"/>
    </row>
    <row r="6" spans="1:29" ht="15.75" thickBot="1">
      <c r="A6" s="405"/>
      <c r="B6" s="406"/>
      <c r="C6" s="3371" t="s">
        <v>2540</v>
      </c>
      <c r="D6" s="3364"/>
      <c r="E6" s="3406" t="s">
        <v>2540</v>
      </c>
      <c r="F6" s="3373"/>
      <c r="G6" s="3371" t="s">
        <v>2540</v>
      </c>
      <c r="H6" s="3364"/>
      <c r="I6" s="3371" t="s">
        <v>2540</v>
      </c>
      <c r="J6" s="3364"/>
      <c r="K6" s="609" t="s">
        <v>2541</v>
      </c>
      <c r="L6" s="1128"/>
      <c r="M6" s="1129"/>
      <c r="N6" s="1129"/>
      <c r="O6" s="1129"/>
      <c r="P6" s="3417"/>
      <c r="Q6" s="3356"/>
      <c r="R6" s="3359"/>
      <c r="S6" s="3360"/>
      <c r="T6" s="3361"/>
      <c r="U6" s="3362"/>
      <c r="V6" s="3344"/>
      <c r="W6" s="3344"/>
      <c r="X6" s="1811"/>
      <c r="Y6" s="3361"/>
      <c r="Z6" s="3362"/>
      <c r="AA6" s="3347"/>
      <c r="AB6" s="3347"/>
      <c r="AC6" s="3413"/>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21" t="s">
        <v>2543</v>
      </c>
      <c r="Q7" s="3369"/>
      <c r="R7" s="768" t="s">
        <v>17</v>
      </c>
      <c r="S7" s="769">
        <f t="shared" ref="S7:S15" si="0">F7</f>
        <v>0</v>
      </c>
      <c r="T7" s="768" t="s">
        <v>17</v>
      </c>
      <c r="U7" s="769">
        <f t="shared" ref="U7:U15" si="1">H7</f>
        <v>0</v>
      </c>
      <c r="V7" s="768" t="s">
        <v>17</v>
      </c>
      <c r="W7" s="769">
        <f t="shared" ref="W7:W15" si="2">J7</f>
        <v>0</v>
      </c>
      <c r="X7" s="770"/>
      <c r="Y7" s="3367" t="s">
        <v>2543</v>
      </c>
      <c r="Z7" s="3368"/>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21" t="s">
        <v>2546</v>
      </c>
      <c r="Q8" s="3368"/>
      <c r="R8" s="768" t="s">
        <v>17</v>
      </c>
      <c r="S8" s="769">
        <f t="shared" si="0"/>
        <v>0</v>
      </c>
      <c r="T8" s="768" t="s">
        <v>17</v>
      </c>
      <c r="U8" s="769">
        <f t="shared" si="1"/>
        <v>0</v>
      </c>
      <c r="V8" s="768" t="s">
        <v>17</v>
      </c>
      <c r="W8" s="769">
        <f t="shared" si="2"/>
        <v>0</v>
      </c>
      <c r="X8" s="770"/>
      <c r="Y8" s="3367" t="s">
        <v>2546</v>
      </c>
      <c r="Z8" s="3368"/>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37"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37"/>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37"/>
      <c r="Q11" s="1793" t="str">
        <f t="shared" si="6"/>
        <v>容积率</v>
      </c>
      <c r="R11" s="768" t="s">
        <v>17</v>
      </c>
      <c r="S11" s="769" t="e">
        <f t="shared" si="0"/>
        <v>#N/A</v>
      </c>
      <c r="T11" s="768" t="s">
        <v>17</v>
      </c>
      <c r="U11" s="769" t="e">
        <f t="shared" si="1"/>
        <v>#N/A</v>
      </c>
      <c r="V11" s="768" t="s">
        <v>17</v>
      </c>
      <c r="W11" s="769" t="e">
        <f t="shared" si="2"/>
        <v>#N/A</v>
      </c>
      <c r="X11" s="770"/>
      <c r="Y11" s="3181"/>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337"/>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337"/>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337"/>
      <c r="Q14" s="1793">
        <f t="shared" si="6"/>
        <v>111</v>
      </c>
      <c r="R14" s="768" t="s">
        <v>17</v>
      </c>
      <c r="S14" s="769">
        <f t="shared" si="0"/>
        <v>100</v>
      </c>
      <c r="T14" s="768" t="s">
        <v>17</v>
      </c>
      <c r="U14" s="769">
        <f t="shared" si="1"/>
        <v>100</v>
      </c>
      <c r="V14" s="768" t="s">
        <v>17</v>
      </c>
      <c r="W14" s="769">
        <f t="shared" si="2"/>
        <v>100</v>
      </c>
      <c r="X14" s="770"/>
      <c r="Y14" s="3181"/>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404" t="s">
        <v>2554</v>
      </c>
      <c r="Q15" s="1808" t="str">
        <f t="shared" si="6"/>
        <v>办公集聚程度</v>
      </c>
      <c r="R15" s="772" t="s">
        <v>17</v>
      </c>
      <c r="S15" s="773">
        <f t="shared" si="0"/>
        <v>100</v>
      </c>
      <c r="T15" s="772" t="s">
        <v>17</v>
      </c>
      <c r="U15" s="773">
        <f t="shared" si="1"/>
        <v>100</v>
      </c>
      <c r="V15" s="772" t="s">
        <v>17</v>
      </c>
      <c r="W15" s="773">
        <f t="shared" si="2"/>
        <v>100</v>
      </c>
      <c r="X15" s="1811"/>
      <c r="Y15" s="3340"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405"/>
      <c r="Q16" s="1808"/>
      <c r="R16" s="772"/>
      <c r="S16" s="773"/>
      <c r="T16" s="772"/>
      <c r="U16" s="773"/>
      <c r="V16" s="772"/>
      <c r="W16" s="773"/>
      <c r="X16" s="1811"/>
      <c r="Y16" s="3341"/>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405"/>
      <c r="Q17" s="1808" t="str">
        <f>B17</f>
        <v>交通便捷度</v>
      </c>
      <c r="R17" s="772" t="s">
        <v>17</v>
      </c>
      <c r="S17" s="773">
        <f>F17</f>
        <v>100</v>
      </c>
      <c r="T17" s="772" t="s">
        <v>17</v>
      </c>
      <c r="U17" s="773">
        <f>H17</f>
        <v>100</v>
      </c>
      <c r="V17" s="772" t="s">
        <v>17</v>
      </c>
      <c r="W17" s="773">
        <f>J17</f>
        <v>100</v>
      </c>
      <c r="X17" s="1811"/>
      <c r="Y17" s="3341"/>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405"/>
      <c r="Q18" s="1808"/>
      <c r="R18" s="772"/>
      <c r="S18" s="773"/>
      <c r="T18" s="772"/>
      <c r="U18" s="773"/>
      <c r="V18" s="772"/>
      <c r="W18" s="773"/>
      <c r="X18" s="1811"/>
      <c r="Y18" s="3341"/>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405"/>
      <c r="Q19" s="1808" t="str">
        <f>B19</f>
        <v>公共配套设施</v>
      </c>
      <c r="R19" s="772" t="s">
        <v>17</v>
      </c>
      <c r="S19" s="773">
        <f>F19</f>
        <v>100</v>
      </c>
      <c r="T19" s="772" t="s">
        <v>17</v>
      </c>
      <c r="U19" s="773">
        <f>H19</f>
        <v>100</v>
      </c>
      <c r="V19" s="772" t="s">
        <v>17</v>
      </c>
      <c r="W19" s="773">
        <f>J19</f>
        <v>100</v>
      </c>
      <c r="X19" s="1811"/>
      <c r="Y19" s="3341"/>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405"/>
      <c r="Q20" s="1808"/>
      <c r="R20" s="772"/>
      <c r="S20" s="773"/>
      <c r="T20" s="772"/>
      <c r="U20" s="773"/>
      <c r="V20" s="772"/>
      <c r="W20" s="773"/>
      <c r="X20" s="1811"/>
      <c r="Y20" s="3341"/>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405"/>
      <c r="Q21" s="1808" t="str">
        <f>B21</f>
        <v>基础设施水平</v>
      </c>
      <c r="R21" s="772" t="s">
        <v>17</v>
      </c>
      <c r="S21" s="773">
        <f>F21</f>
        <v>100</v>
      </c>
      <c r="T21" s="772" t="s">
        <v>17</v>
      </c>
      <c r="U21" s="773">
        <f>H21</f>
        <v>100</v>
      </c>
      <c r="V21" s="772" t="s">
        <v>17</v>
      </c>
      <c r="W21" s="773">
        <f>J21</f>
        <v>100</v>
      </c>
      <c r="X21" s="1811"/>
      <c r="Y21" s="3341"/>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405"/>
      <c r="Q22" s="1808"/>
      <c r="R22" s="772"/>
      <c r="S22" s="773"/>
      <c r="T22" s="772"/>
      <c r="U22" s="773"/>
      <c r="V22" s="772"/>
      <c r="W22" s="773"/>
      <c r="X22" s="1811"/>
      <c r="Y22" s="3341"/>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405"/>
      <c r="Q23" s="1808" t="str">
        <f>B23</f>
        <v>环境质量</v>
      </c>
      <c r="R23" s="772" t="s">
        <v>17</v>
      </c>
      <c r="S23" s="773">
        <f>F23</f>
        <v>100</v>
      </c>
      <c r="T23" s="772" t="s">
        <v>17</v>
      </c>
      <c r="U23" s="773">
        <f>H23</f>
        <v>100</v>
      </c>
      <c r="V23" s="772" t="s">
        <v>17</v>
      </c>
      <c r="W23" s="773">
        <f>J23</f>
        <v>100</v>
      </c>
      <c r="X23" s="1811"/>
      <c r="Y23" s="3341"/>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405"/>
      <c r="Q24" s="1808"/>
      <c r="R24" s="772"/>
      <c r="S24" s="773"/>
      <c r="T24" s="772"/>
      <c r="U24" s="773"/>
      <c r="V24" s="772"/>
      <c r="W24" s="773"/>
      <c r="X24" s="1811"/>
      <c r="Y24" s="3341"/>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405"/>
      <c r="Q25" s="1808" t="str">
        <f>B25</f>
        <v>毗邻道路的类型与等级</v>
      </c>
      <c r="R25" s="772" t="s">
        <v>17</v>
      </c>
      <c r="S25" s="773">
        <f>F25</f>
        <v>100</v>
      </c>
      <c r="T25" s="772" t="s">
        <v>17</v>
      </c>
      <c r="U25" s="773">
        <f>H25</f>
        <v>100</v>
      </c>
      <c r="V25" s="772" t="s">
        <v>17</v>
      </c>
      <c r="W25" s="773">
        <f>J25</f>
        <v>100</v>
      </c>
      <c r="X25" s="1811"/>
      <c r="Y25" s="3341"/>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405"/>
      <c r="Q26" s="1808"/>
      <c r="R26" s="772"/>
      <c r="S26" s="773"/>
      <c r="T26" s="772"/>
      <c r="U26" s="773"/>
      <c r="V26" s="772"/>
      <c r="W26" s="773"/>
      <c r="X26" s="1811"/>
      <c r="Y26" s="3341"/>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405"/>
      <c r="Q27" s="1808" t="str">
        <f t="shared" ref="Q27:Q47" si="11">B27</f>
        <v>楼层</v>
      </c>
      <c r="R27" s="772" t="s">
        <v>17</v>
      </c>
      <c r="S27" s="773">
        <f>F27</f>
        <v>100</v>
      </c>
      <c r="T27" s="772" t="s">
        <v>17</v>
      </c>
      <c r="U27" s="773">
        <f>H27</f>
        <v>100</v>
      </c>
      <c r="V27" s="772" t="s">
        <v>17</v>
      </c>
      <c r="W27" s="773">
        <f>J27</f>
        <v>100</v>
      </c>
      <c r="X27" s="1811"/>
      <c r="Y27" s="3341"/>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405"/>
      <c r="Q28" s="1793" t="str">
        <f t="shared" si="11"/>
        <v>朝向</v>
      </c>
      <c r="R28" s="768" t="s">
        <v>17</v>
      </c>
      <c r="S28" s="769">
        <f>F28</f>
        <v>100</v>
      </c>
      <c r="T28" s="768" t="s">
        <v>17</v>
      </c>
      <c r="U28" s="769">
        <f>H28</f>
        <v>100</v>
      </c>
      <c r="V28" s="768" t="s">
        <v>17</v>
      </c>
      <c r="W28" s="769">
        <f>J28</f>
        <v>100</v>
      </c>
      <c r="X28" s="770"/>
      <c r="Y28" s="3341"/>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405"/>
      <c r="Q29" s="1808">
        <f t="shared" si="11"/>
        <v>111</v>
      </c>
      <c r="R29" s="772" t="s">
        <v>17</v>
      </c>
      <c r="S29" s="773">
        <f t="shared" ref="S29:S47" si="12">F29</f>
        <v>100</v>
      </c>
      <c r="T29" s="772" t="s">
        <v>17</v>
      </c>
      <c r="U29" s="773">
        <f t="shared" ref="U29:U47" si="13">H29</f>
        <v>100</v>
      </c>
      <c r="V29" s="772" t="s">
        <v>17</v>
      </c>
      <c r="W29" s="773">
        <f t="shared" ref="W29:W47" si="14">J29</f>
        <v>100</v>
      </c>
      <c r="X29" s="1811"/>
      <c r="Y29" s="3341"/>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405"/>
      <c r="Q30" s="1808">
        <f t="shared" si="11"/>
        <v>111</v>
      </c>
      <c r="R30" s="772" t="s">
        <v>17</v>
      </c>
      <c r="S30" s="773">
        <f t="shared" si="12"/>
        <v>100</v>
      </c>
      <c r="T30" s="772" t="s">
        <v>17</v>
      </c>
      <c r="U30" s="773">
        <f t="shared" si="13"/>
        <v>100</v>
      </c>
      <c r="V30" s="772" t="s">
        <v>17</v>
      </c>
      <c r="W30" s="773">
        <f t="shared" si="14"/>
        <v>100</v>
      </c>
      <c r="X30" s="1811"/>
      <c r="Y30" s="3341"/>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405"/>
      <c r="Q31" s="1808">
        <f t="shared" si="11"/>
        <v>111</v>
      </c>
      <c r="R31" s="772" t="s">
        <v>17</v>
      </c>
      <c r="S31" s="773">
        <f t="shared" si="12"/>
        <v>100</v>
      </c>
      <c r="T31" s="772" t="s">
        <v>17</v>
      </c>
      <c r="U31" s="773">
        <f t="shared" si="13"/>
        <v>100</v>
      </c>
      <c r="V31" s="772" t="s">
        <v>17</v>
      </c>
      <c r="W31" s="773">
        <f t="shared" si="14"/>
        <v>100</v>
      </c>
      <c r="X31" s="1811"/>
      <c r="Y31" s="3341"/>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405"/>
      <c r="Q32" s="1808">
        <f t="shared" si="11"/>
        <v>111</v>
      </c>
      <c r="R32" s="772" t="s">
        <v>17</v>
      </c>
      <c r="S32" s="773">
        <f t="shared" si="12"/>
        <v>100</v>
      </c>
      <c r="T32" s="772" t="s">
        <v>17</v>
      </c>
      <c r="U32" s="773">
        <f t="shared" si="13"/>
        <v>100</v>
      </c>
      <c r="V32" s="772" t="s">
        <v>17</v>
      </c>
      <c r="W32" s="773">
        <f t="shared" si="14"/>
        <v>100</v>
      </c>
      <c r="X32" s="1811"/>
      <c r="Y32" s="3341"/>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400" t="s">
        <v>2559</v>
      </c>
      <c r="Q33" s="1808" t="str">
        <f t="shared" si="11"/>
        <v>建筑类型</v>
      </c>
      <c r="R33" s="772" t="s">
        <v>17</v>
      </c>
      <c r="S33" s="773">
        <f t="shared" si="12"/>
        <v>100</v>
      </c>
      <c r="T33" s="772" t="s">
        <v>17</v>
      </c>
      <c r="U33" s="773">
        <f t="shared" si="13"/>
        <v>100</v>
      </c>
      <c r="V33" s="772" t="s">
        <v>17</v>
      </c>
      <c r="W33" s="773">
        <f t="shared" si="14"/>
        <v>100</v>
      </c>
      <c r="X33" s="1811"/>
      <c r="Y33" s="3343"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401"/>
      <c r="Q34" s="774" t="str">
        <f t="shared" si="11"/>
        <v>项目建筑规模</v>
      </c>
      <c r="R34" s="775" t="s">
        <v>17</v>
      </c>
      <c r="S34" s="776" t="e">
        <f t="shared" si="12"/>
        <v>#N/A</v>
      </c>
      <c r="T34" s="775" t="s">
        <v>17</v>
      </c>
      <c r="U34" s="776" t="e">
        <f t="shared" si="13"/>
        <v>#N/A</v>
      </c>
      <c r="V34" s="775" t="s">
        <v>17</v>
      </c>
      <c r="W34" s="776" t="e">
        <f t="shared" si="14"/>
        <v>#N/A</v>
      </c>
      <c r="X34" s="777"/>
      <c r="Y34" s="3343"/>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401"/>
      <c r="Q35" s="1808" t="str">
        <f t="shared" si="11"/>
        <v>建筑结构</v>
      </c>
      <c r="R35" s="772" t="s">
        <v>17</v>
      </c>
      <c r="S35" s="773">
        <f t="shared" si="12"/>
        <v>100</v>
      </c>
      <c r="T35" s="772" t="s">
        <v>17</v>
      </c>
      <c r="U35" s="773">
        <f t="shared" si="13"/>
        <v>100</v>
      </c>
      <c r="V35" s="772" t="s">
        <v>17</v>
      </c>
      <c r="W35" s="773">
        <f t="shared" si="14"/>
        <v>100</v>
      </c>
      <c r="X35" s="1811"/>
      <c r="Y35" s="3343"/>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401"/>
      <c r="Q36" s="1808" t="str">
        <f t="shared" si="11"/>
        <v>公共部分装修</v>
      </c>
      <c r="R36" s="772" t="s">
        <v>17</v>
      </c>
      <c r="S36" s="773">
        <f t="shared" si="12"/>
        <v>100</v>
      </c>
      <c r="T36" s="772" t="s">
        <v>17</v>
      </c>
      <c r="U36" s="773">
        <f t="shared" si="13"/>
        <v>100</v>
      </c>
      <c r="V36" s="772" t="s">
        <v>17</v>
      </c>
      <c r="W36" s="773">
        <f t="shared" si="14"/>
        <v>100</v>
      </c>
      <c r="X36" s="1811"/>
      <c r="Y36" s="3343"/>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401"/>
      <c r="Q37" s="1808" t="str">
        <f t="shared" si="11"/>
        <v>成新度</v>
      </c>
      <c r="R37" s="772" t="s">
        <v>17</v>
      </c>
      <c r="S37" s="773" t="e">
        <f t="shared" si="12"/>
        <v>#N/A</v>
      </c>
      <c r="T37" s="772" t="s">
        <v>17</v>
      </c>
      <c r="U37" s="773" t="e">
        <f t="shared" si="13"/>
        <v>#N/A</v>
      </c>
      <c r="V37" s="772" t="s">
        <v>17</v>
      </c>
      <c r="W37" s="773" t="e">
        <f t="shared" si="14"/>
        <v>#N/A</v>
      </c>
      <c r="X37" s="1811"/>
      <c r="Y37" s="3343"/>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401"/>
      <c r="Q38" s="1793" t="str">
        <f t="shared" si="11"/>
        <v>写字楼等级</v>
      </c>
      <c r="R38" s="768" t="s">
        <v>17</v>
      </c>
      <c r="S38" s="769">
        <f t="shared" si="12"/>
        <v>100</v>
      </c>
      <c r="T38" s="768" t="s">
        <v>17</v>
      </c>
      <c r="U38" s="769">
        <f t="shared" si="13"/>
        <v>100</v>
      </c>
      <c r="V38" s="768" t="s">
        <v>17</v>
      </c>
      <c r="W38" s="769">
        <f t="shared" si="14"/>
        <v>100</v>
      </c>
      <c r="X38" s="770"/>
      <c r="Y38" s="3343"/>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401" t="s">
        <v>2559</v>
      </c>
      <c r="Q39" s="1808" t="str">
        <f t="shared" si="11"/>
        <v>物业管理</v>
      </c>
      <c r="R39" s="772" t="s">
        <v>17</v>
      </c>
      <c r="S39" s="773">
        <f t="shared" si="12"/>
        <v>100</v>
      </c>
      <c r="T39" s="772" t="s">
        <v>17</v>
      </c>
      <c r="U39" s="773">
        <f t="shared" si="13"/>
        <v>100</v>
      </c>
      <c r="V39" s="772" t="s">
        <v>17</v>
      </c>
      <c r="W39" s="773">
        <f t="shared" si="14"/>
        <v>100</v>
      </c>
      <c r="X39" s="1811"/>
      <c r="Y39" s="3343"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401"/>
      <c r="Q40" s="1808" t="str">
        <f t="shared" si="11"/>
        <v>市政基础设施</v>
      </c>
      <c r="R40" s="772" t="s">
        <v>17</v>
      </c>
      <c r="S40" s="773">
        <f t="shared" si="12"/>
        <v>100</v>
      </c>
      <c r="T40" s="772" t="s">
        <v>17</v>
      </c>
      <c r="U40" s="773">
        <f t="shared" si="13"/>
        <v>100</v>
      </c>
      <c r="V40" s="772" t="s">
        <v>17</v>
      </c>
      <c r="W40" s="773">
        <f t="shared" si="14"/>
        <v>100</v>
      </c>
      <c r="X40" s="1811"/>
      <c r="Y40" s="3343"/>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401"/>
      <c r="Q41" s="1808" t="str">
        <f t="shared" si="11"/>
        <v>层高</v>
      </c>
      <c r="R41" s="772" t="s">
        <v>17</v>
      </c>
      <c r="S41" s="773">
        <f t="shared" si="12"/>
        <v>100</v>
      </c>
      <c r="T41" s="772" t="s">
        <v>17</v>
      </c>
      <c r="U41" s="773">
        <f t="shared" si="13"/>
        <v>100</v>
      </c>
      <c r="V41" s="772" t="s">
        <v>17</v>
      </c>
      <c r="W41" s="773">
        <f t="shared" si="14"/>
        <v>100</v>
      </c>
      <c r="X41" s="1811"/>
      <c r="Y41" s="3343"/>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401"/>
      <c r="Q42" s="774" t="str">
        <f t="shared" si="11"/>
        <v>单套建筑面积</v>
      </c>
      <c r="R42" s="775" t="s">
        <v>17</v>
      </c>
      <c r="S42" s="776">
        <f t="shared" si="12"/>
        <v>100</v>
      </c>
      <c r="T42" s="775" t="s">
        <v>17</v>
      </c>
      <c r="U42" s="776">
        <f t="shared" si="13"/>
        <v>100</v>
      </c>
      <c r="V42" s="775" t="s">
        <v>17</v>
      </c>
      <c r="W42" s="776">
        <f t="shared" si="14"/>
        <v>100</v>
      </c>
      <c r="X42" s="777"/>
      <c r="Y42" s="3343"/>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401"/>
      <c r="Q43" s="1808" t="str">
        <f t="shared" si="11"/>
        <v>内部装修</v>
      </c>
      <c r="R43" s="772" t="s">
        <v>17</v>
      </c>
      <c r="S43" s="773">
        <f t="shared" si="12"/>
        <v>100</v>
      </c>
      <c r="T43" s="772" t="s">
        <v>17</v>
      </c>
      <c r="U43" s="773">
        <f t="shared" si="13"/>
        <v>100</v>
      </c>
      <c r="V43" s="772" t="s">
        <v>17</v>
      </c>
      <c r="W43" s="773">
        <f t="shared" si="14"/>
        <v>100</v>
      </c>
      <c r="X43" s="1811"/>
      <c r="Y43" s="3343"/>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401"/>
      <c r="Q44" s="1808" t="str">
        <f t="shared" si="11"/>
        <v>内部装修维护情况</v>
      </c>
      <c r="R44" s="772" t="s">
        <v>17</v>
      </c>
      <c r="S44" s="773">
        <f t="shared" si="12"/>
        <v>100</v>
      </c>
      <c r="T44" s="772" t="s">
        <v>17</v>
      </c>
      <c r="U44" s="773">
        <f t="shared" si="13"/>
        <v>100</v>
      </c>
      <c r="V44" s="772" t="s">
        <v>17</v>
      </c>
      <c r="W44" s="773">
        <f t="shared" si="14"/>
        <v>100</v>
      </c>
      <c r="X44" s="1811"/>
      <c r="Y44" s="3343"/>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01"/>
      <c r="Q45" s="1793">
        <f t="shared" si="11"/>
        <v>111</v>
      </c>
      <c r="R45" s="768" t="s">
        <v>17</v>
      </c>
      <c r="S45" s="769">
        <f t="shared" si="12"/>
        <v>100</v>
      </c>
      <c r="T45" s="768" t="s">
        <v>17</v>
      </c>
      <c r="U45" s="769">
        <f t="shared" si="13"/>
        <v>100</v>
      </c>
      <c r="V45" s="768" t="s">
        <v>17</v>
      </c>
      <c r="W45" s="769">
        <f t="shared" si="14"/>
        <v>100</v>
      </c>
      <c r="X45" s="770"/>
      <c r="Y45" s="3343"/>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01"/>
      <c r="Q46" s="1808">
        <f t="shared" si="11"/>
        <v>111</v>
      </c>
      <c r="R46" s="772" t="s">
        <v>17</v>
      </c>
      <c r="S46" s="773">
        <f t="shared" si="12"/>
        <v>100</v>
      </c>
      <c r="T46" s="772" t="s">
        <v>17</v>
      </c>
      <c r="U46" s="773">
        <f t="shared" si="13"/>
        <v>100</v>
      </c>
      <c r="V46" s="772" t="s">
        <v>17</v>
      </c>
      <c r="W46" s="773">
        <f t="shared" si="14"/>
        <v>100</v>
      </c>
      <c r="X46" s="1811"/>
      <c r="Y46" s="3343"/>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02"/>
      <c r="Q47" s="1808">
        <f t="shared" si="11"/>
        <v>111</v>
      </c>
      <c r="R47" s="772" t="s">
        <v>17</v>
      </c>
      <c r="S47" s="773">
        <f t="shared" si="12"/>
        <v>100</v>
      </c>
      <c r="T47" s="772" t="s">
        <v>17</v>
      </c>
      <c r="U47" s="773">
        <f t="shared" si="13"/>
        <v>100</v>
      </c>
      <c r="V47" s="772" t="s">
        <v>17</v>
      </c>
      <c r="W47" s="773">
        <f t="shared" si="14"/>
        <v>100</v>
      </c>
      <c r="X47" s="1811"/>
      <c r="Y47" s="3403"/>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337" t="str">
        <f>A48</f>
        <v>成交单价（元/平方米）</v>
      </c>
      <c r="Q48" s="3338"/>
      <c r="R48" s="3399">
        <f>E48</f>
        <v>0</v>
      </c>
      <c r="S48" s="3399"/>
      <c r="T48" s="3399">
        <f>G48</f>
        <v>0</v>
      </c>
      <c r="U48" s="3399"/>
      <c r="V48" s="3399">
        <f>I48</f>
        <v>0</v>
      </c>
      <c r="W48" s="3399"/>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337" t="str">
        <f>A49</f>
        <v>比较价值（元/平方米）</v>
      </c>
      <c r="Q49" s="333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408" t="str">
        <f>A50</f>
        <v>估价对象XX用房的比较价值（楼面单价，元/平方米）</v>
      </c>
      <c r="Q50" s="3409"/>
      <c r="R50" s="3410" t="e">
        <f>IF(F1="售价",ROUND(AVERAGE(R49:V49),0),ROUND(AVERAGE(R49:V49),1))</f>
        <v>#DIV/0!</v>
      </c>
      <c r="S50" s="3410"/>
      <c r="T50" s="3410"/>
      <c r="U50" s="3410"/>
      <c r="V50" s="3410"/>
      <c r="W50" s="3410"/>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6" t="s">
        <v>2642</v>
      </c>
      <c r="AC4" s="3345" t="s">
        <v>2643</v>
      </c>
    </row>
    <row r="5" spans="1:29" ht="15">
      <c r="A5" s="403"/>
      <c r="B5" s="404"/>
      <c r="C5" s="3365" t="s">
        <v>2536</v>
      </c>
      <c r="D5" s="3366"/>
      <c r="E5" s="3407" t="s">
        <v>2537</v>
      </c>
      <c r="F5" s="3375"/>
      <c r="G5" s="3365" t="s">
        <v>2538</v>
      </c>
      <c r="H5" s="3366"/>
      <c r="I5" s="3365" t="s">
        <v>2539</v>
      </c>
      <c r="J5" s="3366"/>
      <c r="K5" s="609"/>
      <c r="L5" s="1128"/>
      <c r="M5" s="1129"/>
      <c r="N5" s="1129"/>
      <c r="O5" s="1129"/>
      <c r="P5" s="3353"/>
      <c r="Q5" s="3354"/>
      <c r="R5" s="3359"/>
      <c r="S5" s="3360"/>
      <c r="T5" s="3359"/>
      <c r="U5" s="3360"/>
      <c r="V5" s="3344"/>
      <c r="W5" s="3344"/>
      <c r="X5" s="1811"/>
      <c r="Y5" s="3359"/>
      <c r="Z5" s="3360"/>
      <c r="AA5" s="3346"/>
      <c r="AB5" s="3346"/>
      <c r="AC5" s="3346"/>
    </row>
    <row r="6" spans="1:29" ht="15.75" thickBot="1">
      <c r="A6" s="405"/>
      <c r="B6" s="406"/>
      <c r="C6" s="3371" t="s">
        <v>2540</v>
      </c>
      <c r="D6" s="3364"/>
      <c r="E6" s="3406" t="s">
        <v>2540</v>
      </c>
      <c r="F6" s="3373"/>
      <c r="G6" s="3371" t="s">
        <v>2540</v>
      </c>
      <c r="H6" s="3364"/>
      <c r="I6" s="3371" t="s">
        <v>2540</v>
      </c>
      <c r="J6" s="3364"/>
      <c r="K6" s="609" t="s">
        <v>2541</v>
      </c>
      <c r="L6" s="1128"/>
      <c r="M6" s="1129"/>
      <c r="N6" s="1129"/>
      <c r="O6" s="1129"/>
      <c r="P6" s="3355"/>
      <c r="Q6" s="3356"/>
      <c r="R6" s="3359"/>
      <c r="S6" s="3360"/>
      <c r="T6" s="3361"/>
      <c r="U6" s="3362"/>
      <c r="V6" s="3344"/>
      <c r="W6" s="3344"/>
      <c r="X6" s="1811"/>
      <c r="Y6" s="3361"/>
      <c r="Z6" s="3362"/>
      <c r="AA6" s="3347"/>
      <c r="AB6" s="3347"/>
      <c r="AC6" s="3347"/>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67" t="s">
        <v>2543</v>
      </c>
      <c r="Q7" s="3369"/>
      <c r="R7" s="768" t="s">
        <v>17</v>
      </c>
      <c r="S7" s="769">
        <f t="shared" ref="S7:S15" si="0">F7</f>
        <v>0</v>
      </c>
      <c r="T7" s="768" t="s">
        <v>17</v>
      </c>
      <c r="U7" s="769">
        <f t="shared" ref="U7:U15" si="1">H7</f>
        <v>0</v>
      </c>
      <c r="V7" s="768" t="s">
        <v>17</v>
      </c>
      <c r="W7" s="769">
        <f t="shared" ref="W7:W15" si="2">J7</f>
        <v>0</v>
      </c>
      <c r="X7" s="770"/>
      <c r="Y7" s="3367" t="s">
        <v>2543</v>
      </c>
      <c r="Z7" s="3368"/>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67" t="s">
        <v>2546</v>
      </c>
      <c r="Q8" s="3368"/>
      <c r="R8" s="768" t="s">
        <v>17</v>
      </c>
      <c r="S8" s="769">
        <f t="shared" si="0"/>
        <v>0</v>
      </c>
      <c r="T8" s="768" t="s">
        <v>17</v>
      </c>
      <c r="U8" s="769">
        <f t="shared" si="1"/>
        <v>0</v>
      </c>
      <c r="V8" s="768" t="s">
        <v>17</v>
      </c>
      <c r="W8" s="769">
        <f t="shared" si="2"/>
        <v>0</v>
      </c>
      <c r="X8" s="770"/>
      <c r="Y8" s="3367" t="s">
        <v>2546</v>
      </c>
      <c r="Z8" s="3368"/>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38"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38"/>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38"/>
      <c r="Q11" s="1793" t="str">
        <f t="shared" si="6"/>
        <v>容积率</v>
      </c>
      <c r="R11" s="768" t="s">
        <v>17</v>
      </c>
      <c r="S11" s="769" t="e">
        <f t="shared" si="0"/>
        <v>#N/A</v>
      </c>
      <c r="T11" s="768" t="s">
        <v>17</v>
      </c>
      <c r="U11" s="769" t="e">
        <f t="shared" si="1"/>
        <v>#N/A</v>
      </c>
      <c r="V11" s="768" t="s">
        <v>17</v>
      </c>
      <c r="W11" s="769" t="e">
        <f t="shared" si="2"/>
        <v>#N/A</v>
      </c>
      <c r="X11" s="770"/>
      <c r="Y11" s="3181"/>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338"/>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338"/>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338"/>
      <c r="Q14" s="1793">
        <f t="shared" si="6"/>
        <v>111</v>
      </c>
      <c r="R14" s="768" t="s">
        <v>17</v>
      </c>
      <c r="S14" s="769">
        <f t="shared" si="0"/>
        <v>100</v>
      </c>
      <c r="T14" s="768" t="s">
        <v>17</v>
      </c>
      <c r="U14" s="769">
        <f t="shared" si="1"/>
        <v>100</v>
      </c>
      <c r="V14" s="768" t="s">
        <v>17</v>
      </c>
      <c r="W14" s="769">
        <f t="shared" si="2"/>
        <v>100</v>
      </c>
      <c r="X14" s="770"/>
      <c r="Y14" s="3181"/>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40" t="s">
        <v>2554</v>
      </c>
      <c r="Q15" s="1808" t="str">
        <f t="shared" si="6"/>
        <v>产业集聚程度</v>
      </c>
      <c r="R15" s="772" t="s">
        <v>17</v>
      </c>
      <c r="S15" s="773">
        <f t="shared" si="0"/>
        <v>100</v>
      </c>
      <c r="T15" s="772" t="s">
        <v>17</v>
      </c>
      <c r="U15" s="773">
        <f t="shared" si="1"/>
        <v>100</v>
      </c>
      <c r="V15" s="772" t="s">
        <v>17</v>
      </c>
      <c r="W15" s="773">
        <f t="shared" si="2"/>
        <v>100</v>
      </c>
      <c r="X15" s="1811"/>
      <c r="Y15" s="3340"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41"/>
      <c r="Q16" s="1808"/>
      <c r="R16" s="772"/>
      <c r="S16" s="773"/>
      <c r="T16" s="772"/>
      <c r="U16" s="773"/>
      <c r="V16" s="772"/>
      <c r="W16" s="773"/>
      <c r="X16" s="1811"/>
      <c r="Y16" s="3341"/>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41"/>
      <c r="Q17" s="1808" t="str">
        <f>B17</f>
        <v>交通便捷度</v>
      </c>
      <c r="R17" s="772" t="s">
        <v>17</v>
      </c>
      <c r="S17" s="773">
        <f>F17</f>
        <v>100</v>
      </c>
      <c r="T17" s="772" t="s">
        <v>17</v>
      </c>
      <c r="U17" s="773">
        <f>H17</f>
        <v>100</v>
      </c>
      <c r="V17" s="772" t="s">
        <v>17</v>
      </c>
      <c r="W17" s="773">
        <f>J17</f>
        <v>100</v>
      </c>
      <c r="X17" s="1811"/>
      <c r="Y17" s="3341"/>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41"/>
      <c r="Q18" s="1808"/>
      <c r="R18" s="772"/>
      <c r="S18" s="773"/>
      <c r="T18" s="772"/>
      <c r="U18" s="773"/>
      <c r="V18" s="772"/>
      <c r="W18" s="773"/>
      <c r="X18" s="1811"/>
      <c r="Y18" s="3341"/>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41"/>
      <c r="Q19" s="1808" t="str">
        <f>B19</f>
        <v>公共配套设施</v>
      </c>
      <c r="R19" s="772" t="s">
        <v>17</v>
      </c>
      <c r="S19" s="773">
        <f>F19</f>
        <v>100</v>
      </c>
      <c r="T19" s="772" t="s">
        <v>17</v>
      </c>
      <c r="U19" s="773">
        <f>H19</f>
        <v>100</v>
      </c>
      <c r="V19" s="772" t="s">
        <v>17</v>
      </c>
      <c r="W19" s="773">
        <f>J19</f>
        <v>100</v>
      </c>
      <c r="X19" s="1811"/>
      <c r="Y19" s="3341"/>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41"/>
      <c r="Q20" s="1808"/>
      <c r="R20" s="772"/>
      <c r="S20" s="773"/>
      <c r="T20" s="772"/>
      <c r="U20" s="773"/>
      <c r="V20" s="772"/>
      <c r="W20" s="773"/>
      <c r="X20" s="1811"/>
      <c r="Y20" s="3341"/>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41"/>
      <c r="Q21" s="1808" t="str">
        <f>B21</f>
        <v>基础设施水平</v>
      </c>
      <c r="R21" s="772" t="s">
        <v>17</v>
      </c>
      <c r="S21" s="773">
        <f>F21</f>
        <v>100</v>
      </c>
      <c r="T21" s="772" t="s">
        <v>17</v>
      </c>
      <c r="U21" s="773">
        <f>H21</f>
        <v>100</v>
      </c>
      <c r="V21" s="772" t="s">
        <v>17</v>
      </c>
      <c r="W21" s="773">
        <f>J21</f>
        <v>100</v>
      </c>
      <c r="X21" s="1811"/>
      <c r="Y21" s="3341"/>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41"/>
      <c r="Q22" s="1808"/>
      <c r="R22" s="772"/>
      <c r="S22" s="773"/>
      <c r="T22" s="772"/>
      <c r="U22" s="773"/>
      <c r="V22" s="772"/>
      <c r="W22" s="773"/>
      <c r="X22" s="1811"/>
      <c r="Y22" s="3341"/>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41"/>
      <c r="Q23" s="1808" t="str">
        <f>B23</f>
        <v>环境质量</v>
      </c>
      <c r="R23" s="772" t="s">
        <v>17</v>
      </c>
      <c r="S23" s="773">
        <f>F23</f>
        <v>100</v>
      </c>
      <c r="T23" s="772" t="s">
        <v>17</v>
      </c>
      <c r="U23" s="773">
        <f>H23</f>
        <v>100</v>
      </c>
      <c r="V23" s="772" t="s">
        <v>17</v>
      </c>
      <c r="W23" s="773">
        <f>J23</f>
        <v>100</v>
      </c>
      <c r="X23" s="1811"/>
      <c r="Y23" s="3341"/>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41"/>
      <c r="Q24" s="1808"/>
      <c r="R24" s="772"/>
      <c r="S24" s="773"/>
      <c r="T24" s="772"/>
      <c r="U24" s="773"/>
      <c r="V24" s="772"/>
      <c r="W24" s="773"/>
      <c r="X24" s="1811"/>
      <c r="Y24" s="334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41"/>
      <c r="Q25" s="1808">
        <f>B25</f>
        <v>111</v>
      </c>
      <c r="R25" s="772" t="s">
        <v>17</v>
      </c>
      <c r="S25" s="773">
        <f>F25</f>
        <v>100</v>
      </c>
      <c r="T25" s="772" t="s">
        <v>17</v>
      </c>
      <c r="U25" s="773">
        <f>H25</f>
        <v>100</v>
      </c>
      <c r="V25" s="772" t="s">
        <v>17</v>
      </c>
      <c r="W25" s="773">
        <f>J25</f>
        <v>100</v>
      </c>
      <c r="X25" s="1811"/>
      <c r="Y25" s="334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41"/>
      <c r="Q26" s="1808">
        <f t="shared" ref="Q26:Q40" si="11">B26</f>
        <v>111</v>
      </c>
      <c r="R26" s="772" t="s">
        <v>17</v>
      </c>
      <c r="S26" s="773">
        <f>F26</f>
        <v>100</v>
      </c>
      <c r="T26" s="772" t="s">
        <v>17</v>
      </c>
      <c r="U26" s="773">
        <f>H26</f>
        <v>100</v>
      </c>
      <c r="V26" s="772" t="s">
        <v>17</v>
      </c>
      <c r="W26" s="773">
        <f>J26</f>
        <v>100</v>
      </c>
      <c r="X26" s="1811"/>
      <c r="Y26" s="3341"/>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41"/>
      <c r="Q27" s="1793">
        <f t="shared" si="11"/>
        <v>111</v>
      </c>
      <c r="R27" s="768" t="s">
        <v>17</v>
      </c>
      <c r="S27" s="769">
        <f>F27</f>
        <v>100</v>
      </c>
      <c r="T27" s="768" t="s">
        <v>17</v>
      </c>
      <c r="U27" s="769">
        <f>H27</f>
        <v>100</v>
      </c>
      <c r="V27" s="768" t="s">
        <v>17</v>
      </c>
      <c r="W27" s="769">
        <f>J27</f>
        <v>100</v>
      </c>
      <c r="X27" s="770"/>
      <c r="Y27" s="3341"/>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41"/>
      <c r="Q28" s="1808">
        <f t="shared" si="11"/>
        <v>111</v>
      </c>
      <c r="R28" s="772" t="s">
        <v>17</v>
      </c>
      <c r="S28" s="773">
        <f t="shared" ref="S28:S40" si="12">F28</f>
        <v>100</v>
      </c>
      <c r="T28" s="772" t="s">
        <v>17</v>
      </c>
      <c r="U28" s="773">
        <f t="shared" ref="U28:U40" si="13">H28</f>
        <v>100</v>
      </c>
      <c r="V28" s="772" t="s">
        <v>17</v>
      </c>
      <c r="W28" s="773">
        <f t="shared" ref="W28:W40" si="14">J28</f>
        <v>100</v>
      </c>
      <c r="X28" s="1811"/>
      <c r="Y28" s="3341"/>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42" t="s">
        <v>2559</v>
      </c>
      <c r="Q29" s="1808" t="str">
        <f t="shared" si="11"/>
        <v>建筑类型</v>
      </c>
      <c r="R29" s="772" t="s">
        <v>17</v>
      </c>
      <c r="S29" s="773">
        <f t="shared" si="12"/>
        <v>100</v>
      </c>
      <c r="T29" s="772" t="s">
        <v>17</v>
      </c>
      <c r="U29" s="773">
        <f t="shared" si="13"/>
        <v>100</v>
      </c>
      <c r="V29" s="772" t="s">
        <v>17</v>
      </c>
      <c r="W29" s="773">
        <f t="shared" si="14"/>
        <v>100</v>
      </c>
      <c r="X29" s="1811"/>
      <c r="Y29" s="3343"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43"/>
      <c r="Q30" s="774" t="str">
        <f t="shared" si="11"/>
        <v>项目建筑规模</v>
      </c>
      <c r="R30" s="775" t="s">
        <v>17</v>
      </c>
      <c r="S30" s="776" t="e">
        <f t="shared" si="12"/>
        <v>#N/A</v>
      </c>
      <c r="T30" s="775" t="s">
        <v>17</v>
      </c>
      <c r="U30" s="776" t="e">
        <f t="shared" si="13"/>
        <v>#N/A</v>
      </c>
      <c r="V30" s="775" t="s">
        <v>17</v>
      </c>
      <c r="W30" s="776" t="e">
        <f t="shared" si="14"/>
        <v>#N/A</v>
      </c>
      <c r="X30" s="777"/>
      <c r="Y30" s="3343"/>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43"/>
      <c r="Q31" s="1808" t="str">
        <f t="shared" si="11"/>
        <v>建筑结构</v>
      </c>
      <c r="R31" s="772" t="s">
        <v>17</v>
      </c>
      <c r="S31" s="773">
        <f t="shared" si="12"/>
        <v>100</v>
      </c>
      <c r="T31" s="772" t="s">
        <v>17</v>
      </c>
      <c r="U31" s="773">
        <f t="shared" si="13"/>
        <v>100</v>
      </c>
      <c r="V31" s="772" t="s">
        <v>17</v>
      </c>
      <c r="W31" s="773">
        <f t="shared" si="14"/>
        <v>100</v>
      </c>
      <c r="X31" s="1811"/>
      <c r="Y31" s="3343"/>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43"/>
      <c r="Q32" s="1808" t="str">
        <f t="shared" si="11"/>
        <v>公共部分装修</v>
      </c>
      <c r="R32" s="772" t="s">
        <v>17</v>
      </c>
      <c r="S32" s="773">
        <f t="shared" si="12"/>
        <v>100</v>
      </c>
      <c r="T32" s="772" t="s">
        <v>17</v>
      </c>
      <c r="U32" s="773">
        <f t="shared" si="13"/>
        <v>100</v>
      </c>
      <c r="V32" s="772" t="s">
        <v>17</v>
      </c>
      <c r="W32" s="773">
        <f t="shared" si="14"/>
        <v>100</v>
      </c>
      <c r="X32" s="1811"/>
      <c r="Y32" s="3343"/>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43"/>
      <c r="Q33" s="1808" t="str">
        <f t="shared" si="11"/>
        <v>成新度</v>
      </c>
      <c r="R33" s="772" t="s">
        <v>17</v>
      </c>
      <c r="S33" s="773" t="e">
        <f t="shared" si="12"/>
        <v>#N/A</v>
      </c>
      <c r="T33" s="772" t="s">
        <v>17</v>
      </c>
      <c r="U33" s="773" t="e">
        <f t="shared" si="13"/>
        <v>#N/A</v>
      </c>
      <c r="V33" s="772" t="s">
        <v>17</v>
      </c>
      <c r="W33" s="773" t="e">
        <f t="shared" si="14"/>
        <v>#N/A</v>
      </c>
      <c r="X33" s="1811"/>
      <c r="Y33" s="3343"/>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43"/>
      <c r="Q34" s="1793" t="str">
        <f t="shared" si="11"/>
        <v>物业管理</v>
      </c>
      <c r="R34" s="768" t="s">
        <v>17</v>
      </c>
      <c r="S34" s="769">
        <f t="shared" si="12"/>
        <v>100</v>
      </c>
      <c r="T34" s="768" t="s">
        <v>17</v>
      </c>
      <c r="U34" s="769">
        <f t="shared" si="13"/>
        <v>100</v>
      </c>
      <c r="V34" s="768" t="s">
        <v>17</v>
      </c>
      <c r="W34" s="769">
        <f t="shared" si="14"/>
        <v>100</v>
      </c>
      <c r="X34" s="770"/>
      <c r="Y34" s="3343"/>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43" t="s">
        <v>2559</v>
      </c>
      <c r="Q35" s="1808" t="str">
        <f t="shared" si="11"/>
        <v>市政基础设施</v>
      </c>
      <c r="R35" s="772" t="s">
        <v>17</v>
      </c>
      <c r="S35" s="773">
        <f t="shared" si="12"/>
        <v>100</v>
      </c>
      <c r="T35" s="772" t="s">
        <v>17</v>
      </c>
      <c r="U35" s="773">
        <f t="shared" si="13"/>
        <v>100</v>
      </c>
      <c r="V35" s="772" t="s">
        <v>17</v>
      </c>
      <c r="W35" s="773">
        <f t="shared" si="14"/>
        <v>100</v>
      </c>
      <c r="X35" s="1811"/>
      <c r="Y35" s="3343"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43"/>
      <c r="Q36" s="1808" t="str">
        <f t="shared" si="11"/>
        <v>内部装修</v>
      </c>
      <c r="R36" s="772" t="s">
        <v>17</v>
      </c>
      <c r="S36" s="773">
        <f t="shared" si="12"/>
        <v>100</v>
      </c>
      <c r="T36" s="772" t="s">
        <v>17</v>
      </c>
      <c r="U36" s="773">
        <f t="shared" si="13"/>
        <v>100</v>
      </c>
      <c r="V36" s="772" t="s">
        <v>17</v>
      </c>
      <c r="W36" s="773">
        <f t="shared" si="14"/>
        <v>100</v>
      </c>
      <c r="X36" s="1811"/>
      <c r="Y36" s="3343"/>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43"/>
      <c r="Q37" s="1808" t="str">
        <f t="shared" si="11"/>
        <v>内部装修状况</v>
      </c>
      <c r="R37" s="772" t="s">
        <v>17</v>
      </c>
      <c r="S37" s="773">
        <f t="shared" si="12"/>
        <v>100</v>
      </c>
      <c r="T37" s="772" t="s">
        <v>17</v>
      </c>
      <c r="U37" s="773">
        <f t="shared" si="13"/>
        <v>100</v>
      </c>
      <c r="V37" s="772" t="s">
        <v>17</v>
      </c>
      <c r="W37" s="773">
        <f t="shared" si="14"/>
        <v>100</v>
      </c>
      <c r="X37" s="1811"/>
      <c r="Y37" s="334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43"/>
      <c r="Q38" s="774">
        <f t="shared" si="11"/>
        <v>111</v>
      </c>
      <c r="R38" s="775" t="s">
        <v>17</v>
      </c>
      <c r="S38" s="776">
        <f t="shared" si="12"/>
        <v>100</v>
      </c>
      <c r="T38" s="775" t="s">
        <v>17</v>
      </c>
      <c r="U38" s="776">
        <f t="shared" si="13"/>
        <v>100</v>
      </c>
      <c r="V38" s="775" t="s">
        <v>17</v>
      </c>
      <c r="W38" s="776">
        <f t="shared" si="14"/>
        <v>100</v>
      </c>
      <c r="X38" s="777"/>
      <c r="Y38" s="3343"/>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43"/>
      <c r="Q39" s="1808">
        <f t="shared" si="11"/>
        <v>111</v>
      </c>
      <c r="R39" s="772" t="s">
        <v>17</v>
      </c>
      <c r="S39" s="773">
        <f t="shared" si="12"/>
        <v>100</v>
      </c>
      <c r="T39" s="772" t="s">
        <v>17</v>
      </c>
      <c r="U39" s="773">
        <f t="shared" si="13"/>
        <v>100</v>
      </c>
      <c r="V39" s="772" t="s">
        <v>17</v>
      </c>
      <c r="W39" s="773">
        <f t="shared" si="14"/>
        <v>100</v>
      </c>
      <c r="X39" s="1811"/>
      <c r="Y39" s="3343"/>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03"/>
      <c r="Q40" s="1808">
        <f t="shared" si="11"/>
        <v>111</v>
      </c>
      <c r="R40" s="772" t="s">
        <v>17</v>
      </c>
      <c r="S40" s="773">
        <f t="shared" si="12"/>
        <v>100</v>
      </c>
      <c r="T40" s="772" t="s">
        <v>17</v>
      </c>
      <c r="U40" s="773">
        <f t="shared" si="13"/>
        <v>100</v>
      </c>
      <c r="V40" s="772" t="s">
        <v>17</v>
      </c>
      <c r="W40" s="773">
        <f t="shared" si="14"/>
        <v>100</v>
      </c>
      <c r="X40" s="1811"/>
      <c r="Y40" s="3403"/>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338" t="str">
        <f>A41</f>
        <v>成交单价（元/平方米）</v>
      </c>
      <c r="Q41" s="3338"/>
      <c r="R41" s="3399">
        <f>E41</f>
        <v>0</v>
      </c>
      <c r="S41" s="3399"/>
      <c r="T41" s="3399">
        <f>G41</f>
        <v>0</v>
      </c>
      <c r="U41" s="3399"/>
      <c r="V41" s="3399">
        <f>I41</f>
        <v>0</v>
      </c>
      <c r="W41" s="3399"/>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338" t="str">
        <f>A42</f>
        <v>比较价值（元/平方米）</v>
      </c>
      <c r="Q42" s="333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332" t="str">
        <f>A43</f>
        <v>估价对象XX用房的比较价值（楼面单价，元/平方米）</v>
      </c>
      <c r="Q43" s="3333"/>
      <c r="R43" s="3398" t="e">
        <f>IF(F1="售价",ROUND(AVERAGE(R42:V42),0),ROUND(AVERAGE(R42:V42),1))</f>
        <v>#DIV/0!</v>
      </c>
      <c r="S43" s="3398"/>
      <c r="T43" s="3398"/>
      <c r="U43" s="3398"/>
      <c r="V43" s="3398"/>
      <c r="W43" s="339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6" t="s">
        <v>2642</v>
      </c>
      <c r="AC4" s="3345" t="s">
        <v>2643</v>
      </c>
    </row>
    <row r="5" spans="1:29" ht="15">
      <c r="A5" s="403"/>
      <c r="B5" s="404"/>
      <c r="C5" s="3365" t="s">
        <v>2536</v>
      </c>
      <c r="D5" s="3366"/>
      <c r="E5" s="3407" t="s">
        <v>2537</v>
      </c>
      <c r="F5" s="3375"/>
      <c r="G5" s="3365" t="s">
        <v>2538</v>
      </c>
      <c r="H5" s="3366"/>
      <c r="I5" s="3365" t="s">
        <v>2539</v>
      </c>
      <c r="J5" s="3366"/>
      <c r="K5" s="609"/>
      <c r="L5" s="1128"/>
      <c r="M5" s="1129"/>
      <c r="N5" s="1129"/>
      <c r="O5" s="1129"/>
      <c r="P5" s="3353"/>
      <c r="Q5" s="3354"/>
      <c r="R5" s="3359"/>
      <c r="S5" s="3360"/>
      <c r="T5" s="3359"/>
      <c r="U5" s="3360"/>
      <c r="V5" s="3344"/>
      <c r="W5" s="3344"/>
      <c r="X5" s="1811"/>
      <c r="Y5" s="3359"/>
      <c r="Z5" s="3360"/>
      <c r="AA5" s="3346"/>
      <c r="AB5" s="3346"/>
      <c r="AC5" s="3346"/>
    </row>
    <row r="6" spans="1:29" ht="15.75" thickBot="1">
      <c r="A6" s="405"/>
      <c r="B6" s="406"/>
      <c r="C6" s="3371" t="s">
        <v>2540</v>
      </c>
      <c r="D6" s="3364"/>
      <c r="E6" s="3406" t="s">
        <v>2540</v>
      </c>
      <c r="F6" s="3373"/>
      <c r="G6" s="3371" t="s">
        <v>2540</v>
      </c>
      <c r="H6" s="3364"/>
      <c r="I6" s="3371" t="s">
        <v>2540</v>
      </c>
      <c r="J6" s="3364"/>
      <c r="K6" s="609" t="s">
        <v>2541</v>
      </c>
      <c r="L6" s="1128"/>
      <c r="M6" s="1129"/>
      <c r="N6" s="1129"/>
      <c r="O6" s="1129"/>
      <c r="P6" s="3355"/>
      <c r="Q6" s="3356"/>
      <c r="R6" s="3359"/>
      <c r="S6" s="3360"/>
      <c r="T6" s="3361"/>
      <c r="U6" s="3362"/>
      <c r="V6" s="3344"/>
      <c r="W6" s="3344"/>
      <c r="X6" s="1811"/>
      <c r="Y6" s="3361"/>
      <c r="Z6" s="3362"/>
      <c r="AA6" s="3347"/>
      <c r="AB6" s="3347"/>
      <c r="AC6" s="3347"/>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67" t="s">
        <v>2543</v>
      </c>
      <c r="Q7" s="3369"/>
      <c r="R7" s="768" t="s">
        <v>17</v>
      </c>
      <c r="S7" s="769">
        <f t="shared" ref="S7:S14" si="0">F7</f>
        <v>0</v>
      </c>
      <c r="T7" s="768" t="s">
        <v>17</v>
      </c>
      <c r="U7" s="769">
        <f t="shared" ref="U7:U14" si="1">H7</f>
        <v>0</v>
      </c>
      <c r="V7" s="768" t="s">
        <v>17</v>
      </c>
      <c r="W7" s="769">
        <f t="shared" ref="W7:W14" si="2">J7</f>
        <v>0</v>
      </c>
      <c r="X7" s="770"/>
      <c r="Y7" s="3367" t="s">
        <v>2543</v>
      </c>
      <c r="Z7" s="3368"/>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67" t="s">
        <v>2546</v>
      </c>
      <c r="Q8" s="3368"/>
      <c r="R8" s="768" t="s">
        <v>17</v>
      </c>
      <c r="S8" s="769">
        <f t="shared" si="0"/>
        <v>0</v>
      </c>
      <c r="T8" s="768" t="s">
        <v>17</v>
      </c>
      <c r="U8" s="769">
        <f t="shared" si="1"/>
        <v>0</v>
      </c>
      <c r="V8" s="768" t="s">
        <v>17</v>
      </c>
      <c r="W8" s="769">
        <f t="shared" si="2"/>
        <v>0</v>
      </c>
      <c r="X8" s="770"/>
      <c r="Y8" s="3367" t="s">
        <v>2546</v>
      </c>
      <c r="Z8" s="3368"/>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38" t="s">
        <v>2549</v>
      </c>
      <c r="Q9" s="1793" t="str">
        <f t="shared" ref="Q9:Q14" si="6">B9</f>
        <v>用途</v>
      </c>
      <c r="R9" s="768" t="s">
        <v>17</v>
      </c>
      <c r="S9" s="769">
        <f t="shared" si="0"/>
        <v>100</v>
      </c>
      <c r="T9" s="768" t="s">
        <v>17</v>
      </c>
      <c r="U9" s="769">
        <f t="shared" si="1"/>
        <v>100</v>
      </c>
      <c r="V9" s="768" t="s">
        <v>17</v>
      </c>
      <c r="W9" s="769">
        <f t="shared" si="2"/>
        <v>100</v>
      </c>
      <c r="X9" s="770"/>
      <c r="Y9" s="3181"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38"/>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38"/>
      <c r="Q11" s="1793">
        <f t="shared" si="6"/>
        <v>111</v>
      </c>
      <c r="R11" s="768" t="s">
        <v>17</v>
      </c>
      <c r="S11" s="769">
        <f t="shared" si="0"/>
        <v>100</v>
      </c>
      <c r="T11" s="768" t="s">
        <v>17</v>
      </c>
      <c r="U11" s="769">
        <f t="shared" si="1"/>
        <v>100</v>
      </c>
      <c r="V11" s="768" t="s">
        <v>17</v>
      </c>
      <c r="W11" s="769">
        <f t="shared" si="2"/>
        <v>100</v>
      </c>
      <c r="X11" s="770"/>
      <c r="Y11" s="3181"/>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38"/>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38"/>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40" t="s">
        <v>2554</v>
      </c>
      <c r="Q14" s="1808" t="str">
        <f t="shared" si="6"/>
        <v>交通便捷度</v>
      </c>
      <c r="R14" s="772" t="s">
        <v>17</v>
      </c>
      <c r="S14" s="773">
        <f t="shared" si="0"/>
        <v>100</v>
      </c>
      <c r="T14" s="772" t="s">
        <v>17</v>
      </c>
      <c r="U14" s="773">
        <f t="shared" si="1"/>
        <v>100</v>
      </c>
      <c r="V14" s="772" t="s">
        <v>17</v>
      </c>
      <c r="W14" s="773">
        <f t="shared" si="2"/>
        <v>100</v>
      </c>
      <c r="X14" s="1811"/>
      <c r="Y14" s="3340"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41"/>
      <c r="Q15" s="1808"/>
      <c r="R15" s="772"/>
      <c r="S15" s="773"/>
      <c r="T15" s="772"/>
      <c r="U15" s="773"/>
      <c r="V15" s="772"/>
      <c r="W15" s="773"/>
      <c r="X15" s="1811"/>
      <c r="Y15" s="3341"/>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41"/>
      <c r="Q16" s="1808" t="str">
        <f>B16</f>
        <v>公共配套设施</v>
      </c>
      <c r="R16" s="772" t="s">
        <v>17</v>
      </c>
      <c r="S16" s="773">
        <f>F16</f>
        <v>100</v>
      </c>
      <c r="T16" s="772" t="s">
        <v>17</v>
      </c>
      <c r="U16" s="773">
        <f>H16</f>
        <v>100</v>
      </c>
      <c r="V16" s="772" t="s">
        <v>17</v>
      </c>
      <c r="W16" s="773">
        <f>J16</f>
        <v>100</v>
      </c>
      <c r="X16" s="1811"/>
      <c r="Y16" s="3341"/>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41"/>
      <c r="Q17" s="1808"/>
      <c r="R17" s="772"/>
      <c r="S17" s="773"/>
      <c r="T17" s="772"/>
      <c r="U17" s="773"/>
      <c r="V17" s="772"/>
      <c r="W17" s="773"/>
      <c r="X17" s="1811"/>
      <c r="Y17" s="3341"/>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41"/>
      <c r="Q18" s="1808" t="str">
        <f>B18</f>
        <v>基础设施水平</v>
      </c>
      <c r="R18" s="772" t="s">
        <v>17</v>
      </c>
      <c r="S18" s="773">
        <f>F18</f>
        <v>100</v>
      </c>
      <c r="T18" s="772" t="s">
        <v>17</v>
      </c>
      <c r="U18" s="773">
        <f>H18</f>
        <v>100</v>
      </c>
      <c r="V18" s="772" t="s">
        <v>17</v>
      </c>
      <c r="W18" s="773">
        <f>J18</f>
        <v>100</v>
      </c>
      <c r="X18" s="1811"/>
      <c r="Y18" s="3341"/>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41"/>
      <c r="Q19" s="1808"/>
      <c r="R19" s="772"/>
      <c r="S19" s="773"/>
      <c r="T19" s="772"/>
      <c r="U19" s="773"/>
      <c r="V19" s="772"/>
      <c r="W19" s="773"/>
      <c r="X19" s="1811"/>
      <c r="Y19" s="3341"/>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41"/>
      <c r="Q20" s="1808" t="str">
        <f>B20</f>
        <v>自然及人文环境</v>
      </c>
      <c r="R20" s="772" t="s">
        <v>17</v>
      </c>
      <c r="S20" s="773">
        <f>F20</f>
        <v>100</v>
      </c>
      <c r="T20" s="772" t="s">
        <v>17</v>
      </c>
      <c r="U20" s="773">
        <f>H20</f>
        <v>100</v>
      </c>
      <c r="V20" s="772" t="s">
        <v>17</v>
      </c>
      <c r="W20" s="773">
        <f>J20</f>
        <v>100</v>
      </c>
      <c r="X20" s="1811"/>
      <c r="Y20" s="3341"/>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41"/>
      <c r="Q21" s="1808"/>
      <c r="R21" s="772"/>
      <c r="S21" s="773"/>
      <c r="T21" s="772"/>
      <c r="U21" s="773"/>
      <c r="V21" s="772"/>
      <c r="W21" s="773"/>
      <c r="X21" s="1811"/>
      <c r="Y21" s="3341"/>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41"/>
      <c r="Q22" s="1808" t="str">
        <f>B22</f>
        <v>楼层</v>
      </c>
      <c r="R22" s="772" t="s">
        <v>17</v>
      </c>
      <c r="S22" s="773">
        <f>F22</f>
        <v>100</v>
      </c>
      <c r="T22" s="772" t="s">
        <v>17</v>
      </c>
      <c r="U22" s="773">
        <f>H22</f>
        <v>100</v>
      </c>
      <c r="V22" s="772" t="s">
        <v>17</v>
      </c>
      <c r="W22" s="773">
        <f>J22</f>
        <v>100</v>
      </c>
      <c r="X22" s="1811"/>
      <c r="Y22" s="334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41"/>
      <c r="Q23" s="1808">
        <f>B23</f>
        <v>111</v>
      </c>
      <c r="R23" s="772" t="s">
        <v>17</v>
      </c>
      <c r="S23" s="773">
        <f>F23</f>
        <v>100</v>
      </c>
      <c r="T23" s="772" t="s">
        <v>17</v>
      </c>
      <c r="U23" s="773">
        <f>H23</f>
        <v>100</v>
      </c>
      <c r="V23" s="772" t="s">
        <v>17</v>
      </c>
      <c r="W23" s="773">
        <f>J23</f>
        <v>100</v>
      </c>
      <c r="X23" s="1811"/>
      <c r="Y23" s="334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41"/>
      <c r="Q24" s="1808">
        <f t="shared" ref="Q24:Q36" si="11">B24</f>
        <v>111</v>
      </c>
      <c r="R24" s="772" t="s">
        <v>17</v>
      </c>
      <c r="S24" s="773">
        <f>F24</f>
        <v>100</v>
      </c>
      <c r="T24" s="772" t="s">
        <v>17</v>
      </c>
      <c r="U24" s="773">
        <f>H24</f>
        <v>100</v>
      </c>
      <c r="V24" s="772" t="s">
        <v>17</v>
      </c>
      <c r="W24" s="773">
        <f>J24</f>
        <v>100</v>
      </c>
      <c r="X24" s="1811"/>
      <c r="Y24" s="3341"/>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41"/>
      <c r="Q25" s="1793">
        <f t="shared" si="11"/>
        <v>111</v>
      </c>
      <c r="R25" s="768" t="s">
        <v>17</v>
      </c>
      <c r="S25" s="769">
        <f>F25</f>
        <v>100</v>
      </c>
      <c r="T25" s="768" t="s">
        <v>17</v>
      </c>
      <c r="U25" s="769">
        <f>H25</f>
        <v>100</v>
      </c>
      <c r="V25" s="768" t="s">
        <v>17</v>
      </c>
      <c r="W25" s="769">
        <f>J25</f>
        <v>100</v>
      </c>
      <c r="X25" s="770"/>
      <c r="Y25" s="3341"/>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42"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43"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43"/>
      <c r="Q27" s="774" t="str">
        <f t="shared" si="11"/>
        <v>项目停车位配比</v>
      </c>
      <c r="R27" s="775" t="s">
        <v>17</v>
      </c>
      <c r="S27" s="776">
        <f t="shared" si="12"/>
        <v>100</v>
      </c>
      <c r="T27" s="775" t="s">
        <v>17</v>
      </c>
      <c r="U27" s="776">
        <f t="shared" si="13"/>
        <v>100</v>
      </c>
      <c r="V27" s="775" t="s">
        <v>17</v>
      </c>
      <c r="W27" s="776">
        <f t="shared" si="14"/>
        <v>100</v>
      </c>
      <c r="X27" s="777"/>
      <c r="Y27" s="3343"/>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43"/>
      <c r="Q28" s="1808" t="str">
        <f t="shared" si="11"/>
        <v>公共部分装修</v>
      </c>
      <c r="R28" s="772" t="s">
        <v>17</v>
      </c>
      <c r="S28" s="773">
        <f t="shared" si="12"/>
        <v>100</v>
      </c>
      <c r="T28" s="772" t="s">
        <v>17</v>
      </c>
      <c r="U28" s="773">
        <f t="shared" si="13"/>
        <v>100</v>
      </c>
      <c r="V28" s="772" t="s">
        <v>17</v>
      </c>
      <c r="W28" s="773">
        <f t="shared" si="14"/>
        <v>100</v>
      </c>
      <c r="X28" s="1811"/>
      <c r="Y28" s="3343"/>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43"/>
      <c r="Q29" s="1808" t="str">
        <f t="shared" si="11"/>
        <v>成新率</v>
      </c>
      <c r="R29" s="772" t="s">
        <v>17</v>
      </c>
      <c r="S29" s="773" t="e">
        <f t="shared" si="12"/>
        <v>#N/A</v>
      </c>
      <c r="T29" s="772" t="s">
        <v>17</v>
      </c>
      <c r="U29" s="773" t="e">
        <f t="shared" si="13"/>
        <v>#N/A</v>
      </c>
      <c r="V29" s="772" t="s">
        <v>17</v>
      </c>
      <c r="W29" s="773" t="e">
        <f t="shared" si="14"/>
        <v>#N/A</v>
      </c>
      <c r="X29" s="1811"/>
      <c r="Y29" s="3343"/>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43"/>
      <c r="Q30" s="1808" t="str">
        <f t="shared" si="11"/>
        <v>物业等级</v>
      </c>
      <c r="R30" s="772" t="s">
        <v>17</v>
      </c>
      <c r="S30" s="773">
        <f t="shared" si="12"/>
        <v>100</v>
      </c>
      <c r="T30" s="772" t="s">
        <v>17</v>
      </c>
      <c r="U30" s="773">
        <f t="shared" si="13"/>
        <v>100</v>
      </c>
      <c r="V30" s="772" t="s">
        <v>17</v>
      </c>
      <c r="W30" s="773">
        <f t="shared" si="14"/>
        <v>100</v>
      </c>
      <c r="X30" s="1811"/>
      <c r="Y30" s="3343"/>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43"/>
      <c r="Q31" s="1793" t="str">
        <f t="shared" si="11"/>
        <v>停车位面积</v>
      </c>
      <c r="R31" s="768" t="s">
        <v>17</v>
      </c>
      <c r="S31" s="769" t="e">
        <f t="shared" si="12"/>
        <v>#N/A</v>
      </c>
      <c r="T31" s="768" t="s">
        <v>17</v>
      </c>
      <c r="U31" s="769" t="e">
        <f t="shared" si="13"/>
        <v>#N/A</v>
      </c>
      <c r="V31" s="768" t="s">
        <v>17</v>
      </c>
      <c r="W31" s="769" t="e">
        <f t="shared" si="14"/>
        <v>#N/A</v>
      </c>
      <c r="X31" s="770"/>
      <c r="Y31" s="3343"/>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43" t="s">
        <v>2559</v>
      </c>
      <c r="Q32" s="1808" t="str">
        <f t="shared" si="11"/>
        <v>车位类型</v>
      </c>
      <c r="R32" s="772" t="s">
        <v>17</v>
      </c>
      <c r="S32" s="773">
        <f t="shared" si="12"/>
        <v>100</v>
      </c>
      <c r="T32" s="772" t="s">
        <v>17</v>
      </c>
      <c r="U32" s="773">
        <f t="shared" si="13"/>
        <v>100</v>
      </c>
      <c r="V32" s="772" t="s">
        <v>17</v>
      </c>
      <c r="W32" s="773">
        <f t="shared" si="14"/>
        <v>100</v>
      </c>
      <c r="X32" s="1811"/>
      <c r="Y32" s="3343"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43"/>
      <c r="Q33" s="1808" t="str">
        <f t="shared" si="11"/>
        <v>是否直接入户</v>
      </c>
      <c r="R33" s="772" t="s">
        <v>17</v>
      </c>
      <c r="S33" s="773">
        <f t="shared" si="12"/>
        <v>100</v>
      </c>
      <c r="T33" s="772" t="s">
        <v>17</v>
      </c>
      <c r="U33" s="773">
        <f t="shared" si="13"/>
        <v>100</v>
      </c>
      <c r="V33" s="772" t="s">
        <v>17</v>
      </c>
      <c r="W33" s="773">
        <f t="shared" si="14"/>
        <v>100</v>
      </c>
      <c r="X33" s="1811"/>
      <c r="Y33" s="3343"/>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43"/>
      <c r="Q34" s="1808">
        <f t="shared" si="11"/>
        <v>111</v>
      </c>
      <c r="R34" s="772" t="s">
        <v>17</v>
      </c>
      <c r="S34" s="773">
        <f t="shared" si="12"/>
        <v>100</v>
      </c>
      <c r="T34" s="772" t="s">
        <v>17</v>
      </c>
      <c r="U34" s="773">
        <f t="shared" si="13"/>
        <v>100</v>
      </c>
      <c r="V34" s="772" t="s">
        <v>17</v>
      </c>
      <c r="W34" s="773">
        <f t="shared" si="14"/>
        <v>100</v>
      </c>
      <c r="X34" s="1811"/>
      <c r="Y34" s="334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43"/>
      <c r="Q35" s="774">
        <f t="shared" si="11"/>
        <v>111</v>
      </c>
      <c r="R35" s="775" t="s">
        <v>17</v>
      </c>
      <c r="S35" s="776">
        <f t="shared" si="12"/>
        <v>100</v>
      </c>
      <c r="T35" s="775" t="s">
        <v>17</v>
      </c>
      <c r="U35" s="776">
        <f t="shared" si="13"/>
        <v>100</v>
      </c>
      <c r="V35" s="775" t="s">
        <v>17</v>
      </c>
      <c r="W35" s="776">
        <f t="shared" si="14"/>
        <v>100</v>
      </c>
      <c r="X35" s="777"/>
      <c r="Y35" s="3343"/>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43"/>
      <c r="Q36" s="1808">
        <f t="shared" si="11"/>
        <v>111</v>
      </c>
      <c r="R36" s="772" t="s">
        <v>17</v>
      </c>
      <c r="S36" s="773">
        <f t="shared" si="12"/>
        <v>100</v>
      </c>
      <c r="T36" s="772" t="s">
        <v>17</v>
      </c>
      <c r="U36" s="773">
        <f t="shared" si="13"/>
        <v>100</v>
      </c>
      <c r="V36" s="772" t="s">
        <v>17</v>
      </c>
      <c r="W36" s="773">
        <f t="shared" si="14"/>
        <v>100</v>
      </c>
      <c r="X36" s="1811"/>
      <c r="Y36" s="3343"/>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338" t="str">
        <f>A37</f>
        <v>成交单价</v>
      </c>
      <c r="Q37" s="3338"/>
      <c r="R37" s="3399">
        <f>E37</f>
        <v>0</v>
      </c>
      <c r="S37" s="3399"/>
      <c r="T37" s="3399">
        <f>G37</f>
        <v>0</v>
      </c>
      <c r="U37" s="3399"/>
      <c r="V37" s="3399">
        <f>I37</f>
        <v>0</v>
      </c>
      <c r="W37" s="3399"/>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38" t="str">
        <f>A38</f>
        <v>比较价值（元/平方米）</v>
      </c>
      <c r="Q38" s="333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332" t="str">
        <f>A39</f>
        <v>估价对象XX用房的比较价值（楼面单价，元/平方米）</v>
      </c>
      <c r="Q39" s="3333"/>
      <c r="R39" s="3398" t="e">
        <f>IF(F1="售价",ROUND(AVERAGE(R38:V38),0),ROUND(AVERAGE(R38:V38),1))</f>
        <v>#DIV/0!</v>
      </c>
      <c r="S39" s="3398"/>
      <c r="T39" s="3398"/>
      <c r="U39" s="3398"/>
      <c r="V39" s="3398"/>
      <c r="W39" s="339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6" t="s">
        <v>2642</v>
      </c>
      <c r="AC4" s="3345" t="s">
        <v>2643</v>
      </c>
    </row>
    <row r="5" spans="1:29" ht="15">
      <c r="A5" s="403"/>
      <c r="B5" s="404"/>
      <c r="C5" s="3365" t="s">
        <v>2536</v>
      </c>
      <c r="D5" s="3366"/>
      <c r="E5" s="3407" t="s">
        <v>2537</v>
      </c>
      <c r="F5" s="3375"/>
      <c r="G5" s="3365" t="s">
        <v>2538</v>
      </c>
      <c r="H5" s="3366"/>
      <c r="I5" s="3365" t="s">
        <v>2539</v>
      </c>
      <c r="J5" s="3366"/>
      <c r="K5" s="609"/>
      <c r="L5" s="1128"/>
      <c r="M5" s="1129"/>
      <c r="N5" s="1129"/>
      <c r="O5" s="1129"/>
      <c r="P5" s="3353"/>
      <c r="Q5" s="3354"/>
      <c r="R5" s="3359"/>
      <c r="S5" s="3360"/>
      <c r="T5" s="3359"/>
      <c r="U5" s="3360"/>
      <c r="V5" s="3344"/>
      <c r="W5" s="3344"/>
      <c r="X5" s="1811"/>
      <c r="Y5" s="3359"/>
      <c r="Z5" s="3360"/>
      <c r="AA5" s="3346"/>
      <c r="AB5" s="3346"/>
      <c r="AC5" s="3346"/>
    </row>
    <row r="6" spans="1:29" ht="15.75" thickBot="1">
      <c r="A6" s="405"/>
      <c r="B6" s="406"/>
      <c r="C6" s="3371" t="s">
        <v>2540</v>
      </c>
      <c r="D6" s="3364"/>
      <c r="E6" s="3406" t="s">
        <v>2540</v>
      </c>
      <c r="F6" s="3373"/>
      <c r="G6" s="3371" t="s">
        <v>2540</v>
      </c>
      <c r="H6" s="3364"/>
      <c r="I6" s="3371" t="s">
        <v>2540</v>
      </c>
      <c r="J6" s="3364"/>
      <c r="K6" s="609" t="s">
        <v>2541</v>
      </c>
      <c r="L6" s="1128"/>
      <c r="M6" s="1129"/>
      <c r="N6" s="1129"/>
      <c r="O6" s="1129"/>
      <c r="P6" s="3355"/>
      <c r="Q6" s="3356"/>
      <c r="R6" s="3359"/>
      <c r="S6" s="3360"/>
      <c r="T6" s="3361"/>
      <c r="U6" s="3362"/>
      <c r="V6" s="3344"/>
      <c r="W6" s="3344"/>
      <c r="X6" s="1811"/>
      <c r="Y6" s="3361"/>
      <c r="Z6" s="3362"/>
      <c r="AA6" s="3347"/>
      <c r="AB6" s="3347"/>
      <c r="AC6" s="3347"/>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367" t="s">
        <v>2543</v>
      </c>
      <c r="Q7" s="3369"/>
      <c r="R7" s="768" t="s">
        <v>17</v>
      </c>
      <c r="S7" s="769">
        <f t="shared" ref="S7:S14" si="0">F7</f>
        <v>0</v>
      </c>
      <c r="T7" s="768" t="s">
        <v>17</v>
      </c>
      <c r="U7" s="769">
        <f t="shared" ref="U7:U14" si="1">H7</f>
        <v>0</v>
      </c>
      <c r="V7" s="768" t="s">
        <v>17</v>
      </c>
      <c r="W7" s="769">
        <f t="shared" ref="W7:W14" si="2">J7</f>
        <v>0</v>
      </c>
      <c r="X7" s="770"/>
      <c r="Y7" s="3367" t="s">
        <v>2543</v>
      </c>
      <c r="Z7" s="3368"/>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67" t="s">
        <v>2546</v>
      </c>
      <c r="Q8" s="3368"/>
      <c r="R8" s="768" t="s">
        <v>17</v>
      </c>
      <c r="S8" s="769">
        <f t="shared" si="0"/>
        <v>0</v>
      </c>
      <c r="T8" s="768" t="s">
        <v>17</v>
      </c>
      <c r="U8" s="769">
        <f t="shared" si="1"/>
        <v>0</v>
      </c>
      <c r="V8" s="768" t="s">
        <v>17</v>
      </c>
      <c r="W8" s="769">
        <f t="shared" si="2"/>
        <v>0</v>
      </c>
      <c r="X8" s="770"/>
      <c r="Y8" s="3367" t="s">
        <v>2546</v>
      </c>
      <c r="Z8" s="3368"/>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38" t="s">
        <v>2549</v>
      </c>
      <c r="Q9" s="1793" t="str">
        <f t="shared" ref="Q9:Q14" si="6">B9</f>
        <v>用途</v>
      </c>
      <c r="R9" s="768" t="s">
        <v>17</v>
      </c>
      <c r="S9" s="769">
        <f t="shared" si="0"/>
        <v>100</v>
      </c>
      <c r="T9" s="768" t="s">
        <v>17</v>
      </c>
      <c r="U9" s="769">
        <f t="shared" si="1"/>
        <v>100</v>
      </c>
      <c r="V9" s="768" t="s">
        <v>17</v>
      </c>
      <c r="W9" s="769">
        <f t="shared" si="2"/>
        <v>100</v>
      </c>
      <c r="X9" s="770"/>
      <c r="Y9" s="3181"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38"/>
      <c r="Q10" s="1793" t="str">
        <f t="shared" si="6"/>
        <v>土地使用年限（年）</v>
      </c>
      <c r="R10" s="768" t="s">
        <v>17</v>
      </c>
      <c r="S10" s="769">
        <f t="shared" si="0"/>
        <v>100</v>
      </c>
      <c r="T10" s="768" t="s">
        <v>17</v>
      </c>
      <c r="U10" s="769">
        <f t="shared" si="1"/>
        <v>100</v>
      </c>
      <c r="V10" s="768" t="s">
        <v>17</v>
      </c>
      <c r="W10" s="769">
        <f t="shared" si="2"/>
        <v>100</v>
      </c>
      <c r="X10" s="770"/>
      <c r="Y10" s="3181"/>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38"/>
      <c r="Q11" s="1793">
        <f t="shared" si="6"/>
        <v>111</v>
      </c>
      <c r="R11" s="768" t="s">
        <v>17</v>
      </c>
      <c r="S11" s="769">
        <f t="shared" si="0"/>
        <v>100</v>
      </c>
      <c r="T11" s="768" t="s">
        <v>17</v>
      </c>
      <c r="U11" s="769">
        <f t="shared" si="1"/>
        <v>100</v>
      </c>
      <c r="V11" s="768" t="s">
        <v>17</v>
      </c>
      <c r="W11" s="769">
        <f t="shared" si="2"/>
        <v>100</v>
      </c>
      <c r="X11" s="770"/>
      <c r="Y11" s="3181"/>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38"/>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338"/>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40" t="s">
        <v>2554</v>
      </c>
      <c r="Q14" s="1808" t="str">
        <f t="shared" si="6"/>
        <v>交通便捷度</v>
      </c>
      <c r="R14" s="772" t="s">
        <v>17</v>
      </c>
      <c r="S14" s="773">
        <f t="shared" si="0"/>
        <v>100</v>
      </c>
      <c r="T14" s="772" t="s">
        <v>17</v>
      </c>
      <c r="U14" s="773">
        <f t="shared" si="1"/>
        <v>100</v>
      </c>
      <c r="V14" s="772" t="s">
        <v>17</v>
      </c>
      <c r="W14" s="773">
        <f t="shared" si="2"/>
        <v>100</v>
      </c>
      <c r="X14" s="1811"/>
      <c r="Y14" s="3340"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41"/>
      <c r="Q15" s="1808"/>
      <c r="R15" s="772"/>
      <c r="S15" s="773"/>
      <c r="T15" s="772"/>
      <c r="U15" s="773"/>
      <c r="V15" s="772"/>
      <c r="W15" s="773"/>
      <c r="X15" s="1811"/>
      <c r="Y15" s="3341"/>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41"/>
      <c r="Q16" s="1808" t="str">
        <f>B16</f>
        <v>公共配套设施</v>
      </c>
      <c r="R16" s="772" t="s">
        <v>17</v>
      </c>
      <c r="S16" s="773">
        <f>F16</f>
        <v>100</v>
      </c>
      <c r="T16" s="772" t="s">
        <v>17</v>
      </c>
      <c r="U16" s="773">
        <f>H16</f>
        <v>100</v>
      </c>
      <c r="V16" s="772" t="s">
        <v>17</v>
      </c>
      <c r="W16" s="773">
        <f>J16</f>
        <v>100</v>
      </c>
      <c r="X16" s="1811"/>
      <c r="Y16" s="3341"/>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41"/>
      <c r="Q17" s="1808"/>
      <c r="R17" s="772"/>
      <c r="S17" s="773"/>
      <c r="T17" s="772"/>
      <c r="U17" s="773"/>
      <c r="V17" s="772"/>
      <c r="W17" s="773"/>
      <c r="X17" s="1811"/>
      <c r="Y17" s="3341"/>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41"/>
      <c r="Q18" s="1808" t="str">
        <f>B18</f>
        <v>基础设施水平</v>
      </c>
      <c r="R18" s="772" t="s">
        <v>17</v>
      </c>
      <c r="S18" s="773">
        <f>F18</f>
        <v>100</v>
      </c>
      <c r="T18" s="772" t="s">
        <v>17</v>
      </c>
      <c r="U18" s="773">
        <f>H18</f>
        <v>100</v>
      </c>
      <c r="V18" s="772" t="s">
        <v>17</v>
      </c>
      <c r="W18" s="773">
        <f>J18</f>
        <v>100</v>
      </c>
      <c r="X18" s="1811"/>
      <c r="Y18" s="3341"/>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41"/>
      <c r="Q19" s="1808"/>
      <c r="R19" s="772"/>
      <c r="S19" s="773"/>
      <c r="T19" s="772"/>
      <c r="U19" s="773"/>
      <c r="V19" s="772"/>
      <c r="W19" s="773"/>
      <c r="X19" s="1811"/>
      <c r="Y19" s="3341"/>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41"/>
      <c r="Q20" s="1808" t="str">
        <f>B20</f>
        <v>自然及人文环境</v>
      </c>
      <c r="R20" s="772" t="s">
        <v>17</v>
      </c>
      <c r="S20" s="773">
        <f>F20</f>
        <v>100</v>
      </c>
      <c r="T20" s="772" t="s">
        <v>17</v>
      </c>
      <c r="U20" s="773">
        <f>H20</f>
        <v>100</v>
      </c>
      <c r="V20" s="772" t="s">
        <v>17</v>
      </c>
      <c r="W20" s="773">
        <f>J20</f>
        <v>100</v>
      </c>
      <c r="X20" s="1811"/>
      <c r="Y20" s="334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41"/>
      <c r="Q21" s="1808"/>
      <c r="R21" s="772"/>
      <c r="S21" s="773"/>
      <c r="T21" s="772"/>
      <c r="U21" s="773"/>
      <c r="V21" s="772"/>
      <c r="W21" s="773"/>
      <c r="X21" s="1811"/>
      <c r="Y21" s="3341"/>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41"/>
      <c r="Q22" s="1808" t="str">
        <f>B22</f>
        <v>楼层</v>
      </c>
      <c r="R22" s="772" t="s">
        <v>17</v>
      </c>
      <c r="S22" s="773">
        <f>F22</f>
        <v>100</v>
      </c>
      <c r="T22" s="772" t="s">
        <v>17</v>
      </c>
      <c r="U22" s="773">
        <f>H22</f>
        <v>100</v>
      </c>
      <c r="V22" s="772" t="s">
        <v>17</v>
      </c>
      <c r="W22" s="773">
        <f>J22</f>
        <v>100</v>
      </c>
      <c r="X22" s="1811"/>
      <c r="Y22" s="3341"/>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41"/>
      <c r="Q23" s="1808">
        <f>B23</f>
        <v>111</v>
      </c>
      <c r="R23" s="772" t="s">
        <v>17</v>
      </c>
      <c r="S23" s="773">
        <f>F23</f>
        <v>100</v>
      </c>
      <c r="T23" s="772" t="s">
        <v>17</v>
      </c>
      <c r="U23" s="773">
        <f>H23</f>
        <v>100</v>
      </c>
      <c r="V23" s="772" t="s">
        <v>17</v>
      </c>
      <c r="W23" s="773">
        <f>J23</f>
        <v>100</v>
      </c>
      <c r="X23" s="1811"/>
      <c r="Y23" s="3341"/>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41"/>
      <c r="Q24" s="1808">
        <f t="shared" ref="Q24:Q34" si="11">B24</f>
        <v>111</v>
      </c>
      <c r="R24" s="772" t="s">
        <v>17</v>
      </c>
      <c r="S24" s="773">
        <f>F24</f>
        <v>100</v>
      </c>
      <c r="T24" s="772" t="s">
        <v>17</v>
      </c>
      <c r="U24" s="773">
        <f>H24</f>
        <v>100</v>
      </c>
      <c r="V24" s="772" t="s">
        <v>17</v>
      </c>
      <c r="W24" s="773">
        <f>J24</f>
        <v>100</v>
      </c>
      <c r="X24" s="1811"/>
      <c r="Y24" s="3341"/>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341"/>
      <c r="Q25" s="1793">
        <f t="shared" si="11"/>
        <v>111</v>
      </c>
      <c r="R25" s="768" t="s">
        <v>17</v>
      </c>
      <c r="S25" s="769">
        <f>F25</f>
        <v>100</v>
      </c>
      <c r="T25" s="768" t="s">
        <v>17</v>
      </c>
      <c r="U25" s="769">
        <f>H25</f>
        <v>100</v>
      </c>
      <c r="V25" s="768" t="s">
        <v>17</v>
      </c>
      <c r="W25" s="769">
        <f>J25</f>
        <v>100</v>
      </c>
      <c r="X25" s="770"/>
      <c r="Y25" s="3341"/>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42"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43"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43"/>
      <c r="Q27" s="774" t="str">
        <f t="shared" si="11"/>
        <v>成新率</v>
      </c>
      <c r="R27" s="775" t="s">
        <v>17</v>
      </c>
      <c r="S27" s="776" t="e">
        <f t="shared" si="12"/>
        <v>#N/A</v>
      </c>
      <c r="T27" s="775" t="s">
        <v>17</v>
      </c>
      <c r="U27" s="776" t="e">
        <f t="shared" si="13"/>
        <v>#N/A</v>
      </c>
      <c r="V27" s="775" t="s">
        <v>17</v>
      </c>
      <c r="W27" s="776" t="e">
        <f t="shared" si="14"/>
        <v>#N/A</v>
      </c>
      <c r="X27" s="777"/>
      <c r="Y27" s="3343"/>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43"/>
      <c r="Q28" s="1808" t="str">
        <f t="shared" si="11"/>
        <v>物业等级</v>
      </c>
      <c r="R28" s="772" t="s">
        <v>17</v>
      </c>
      <c r="S28" s="773">
        <f t="shared" si="12"/>
        <v>100</v>
      </c>
      <c r="T28" s="772" t="s">
        <v>17</v>
      </c>
      <c r="U28" s="773">
        <f t="shared" si="13"/>
        <v>100</v>
      </c>
      <c r="V28" s="772" t="s">
        <v>17</v>
      </c>
      <c r="W28" s="773">
        <f t="shared" si="14"/>
        <v>100</v>
      </c>
      <c r="X28" s="1811"/>
      <c r="Y28" s="3343"/>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43"/>
      <c r="Q29" s="1808" t="str">
        <f t="shared" si="11"/>
        <v>有无电梯</v>
      </c>
      <c r="R29" s="772" t="s">
        <v>17</v>
      </c>
      <c r="S29" s="773">
        <f t="shared" si="12"/>
        <v>100</v>
      </c>
      <c r="T29" s="772" t="s">
        <v>17</v>
      </c>
      <c r="U29" s="773">
        <f t="shared" si="13"/>
        <v>100</v>
      </c>
      <c r="V29" s="772" t="s">
        <v>17</v>
      </c>
      <c r="W29" s="773">
        <f t="shared" si="14"/>
        <v>100</v>
      </c>
      <c r="X29" s="1811"/>
      <c r="Y29" s="3343"/>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43"/>
      <c r="Q30" s="1808" t="str">
        <f t="shared" si="11"/>
        <v>建筑面积</v>
      </c>
      <c r="R30" s="772" t="s">
        <v>17</v>
      </c>
      <c r="S30" s="773" t="e">
        <f t="shared" si="12"/>
        <v>#N/A</v>
      </c>
      <c r="T30" s="772" t="s">
        <v>17</v>
      </c>
      <c r="U30" s="773" t="e">
        <f t="shared" si="13"/>
        <v>#N/A</v>
      </c>
      <c r="V30" s="772" t="s">
        <v>17</v>
      </c>
      <c r="W30" s="773" t="e">
        <f t="shared" si="14"/>
        <v>#N/A</v>
      </c>
      <c r="X30" s="1811"/>
      <c r="Y30" s="3343"/>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43"/>
      <c r="Q31" s="1793" t="str">
        <f t="shared" si="11"/>
        <v>是否封闭</v>
      </c>
      <c r="R31" s="768" t="s">
        <v>17</v>
      </c>
      <c r="S31" s="769">
        <f t="shared" si="12"/>
        <v>100</v>
      </c>
      <c r="T31" s="768" t="s">
        <v>17</v>
      </c>
      <c r="U31" s="769">
        <f t="shared" si="13"/>
        <v>100</v>
      </c>
      <c r="V31" s="768" t="s">
        <v>17</v>
      </c>
      <c r="W31" s="769">
        <f t="shared" si="14"/>
        <v>100</v>
      </c>
      <c r="X31" s="770"/>
      <c r="Y31" s="3343"/>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43" t="s">
        <v>2559</v>
      </c>
      <c r="Q32" s="1808">
        <f t="shared" si="11"/>
        <v>111</v>
      </c>
      <c r="R32" s="772" t="s">
        <v>17</v>
      </c>
      <c r="S32" s="773">
        <f t="shared" si="12"/>
        <v>100</v>
      </c>
      <c r="T32" s="772" t="s">
        <v>17</v>
      </c>
      <c r="U32" s="773">
        <f t="shared" si="13"/>
        <v>100</v>
      </c>
      <c r="V32" s="772" t="s">
        <v>17</v>
      </c>
      <c r="W32" s="773">
        <f t="shared" si="14"/>
        <v>100</v>
      </c>
      <c r="X32" s="1811"/>
      <c r="Y32" s="3343"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43"/>
      <c r="Q33" s="1808">
        <f t="shared" si="11"/>
        <v>111</v>
      </c>
      <c r="R33" s="772" t="s">
        <v>17</v>
      </c>
      <c r="S33" s="773">
        <f t="shared" si="12"/>
        <v>100</v>
      </c>
      <c r="T33" s="772" t="s">
        <v>17</v>
      </c>
      <c r="U33" s="773">
        <f t="shared" si="13"/>
        <v>100</v>
      </c>
      <c r="V33" s="772" t="s">
        <v>17</v>
      </c>
      <c r="W33" s="773">
        <f t="shared" si="14"/>
        <v>100</v>
      </c>
      <c r="X33" s="1811"/>
      <c r="Y33" s="3343"/>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343"/>
      <c r="Q34" s="1808">
        <f t="shared" si="11"/>
        <v>111</v>
      </c>
      <c r="R34" s="772" t="s">
        <v>17</v>
      </c>
      <c r="S34" s="773">
        <f t="shared" si="12"/>
        <v>100</v>
      </c>
      <c r="T34" s="772" t="s">
        <v>17</v>
      </c>
      <c r="U34" s="773">
        <f t="shared" si="13"/>
        <v>100</v>
      </c>
      <c r="V34" s="772" t="s">
        <v>17</v>
      </c>
      <c r="W34" s="773">
        <f t="shared" si="14"/>
        <v>100</v>
      </c>
      <c r="X34" s="1811"/>
      <c r="Y34" s="3343"/>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338" t="str">
        <f>A35</f>
        <v>成交单价（元/平方米）</v>
      </c>
      <c r="Q35" s="3338"/>
      <c r="R35" s="3399">
        <f>E35</f>
        <v>0</v>
      </c>
      <c r="S35" s="3399"/>
      <c r="T35" s="3399">
        <f>G35</f>
        <v>0</v>
      </c>
      <c r="U35" s="3399"/>
      <c r="V35" s="3399">
        <f>I35</f>
        <v>0</v>
      </c>
      <c r="W35" s="3399"/>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338" t="str">
        <f>A36</f>
        <v>比较价值（元/平方米）</v>
      </c>
      <c r="Q36" s="333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332" t="str">
        <f>A37</f>
        <v>估价对象XX用房的比较价值（楼面单价，元/平方米）</v>
      </c>
      <c r="Q37" s="3333"/>
      <c r="R37" s="3398" t="e">
        <f>IF(F1="售价",ROUND(AVERAGE(R36:V36),0),ROUND(AVERAGE(R36:V36),1))</f>
        <v>#DIV/0!</v>
      </c>
      <c r="S37" s="3398"/>
      <c r="T37" s="3398"/>
      <c r="U37" s="3398"/>
      <c r="V37" s="3398"/>
      <c r="W37" s="339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34" zoomScaleNormal="100" zoomScaleSheetLayoutView="90" workbookViewId="0">
      <selection activeCell="J29" sqref="J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19248</v>
      </c>
      <c r="C2" s="1843" t="s">
        <v>1512</v>
      </c>
      <c r="D2" s="1843"/>
      <c r="E2" s="1844"/>
      <c r="F2" s="1845"/>
      <c r="G2" s="1846"/>
      <c r="H2" s="1838"/>
      <c r="I2" s="1838"/>
      <c r="J2" s="1838"/>
      <c r="K2" s="1839"/>
      <c r="L2" s="1838"/>
      <c r="M2" s="1838"/>
    </row>
    <row r="3" spans="1:37" ht="18" customHeight="1" thickBot="1">
      <c r="A3" s="1847" t="s">
        <v>1513</v>
      </c>
      <c r="B3" s="1848">
        <f ca="1">IF(ISERROR(B2*10000/F43),0,ROUND(B2*10000/F43,0))</f>
        <v>9232</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389.1</v>
      </c>
      <c r="D5" s="1820" t="s">
        <v>1398</v>
      </c>
      <c r="E5" s="1291"/>
      <c r="F5" s="1292"/>
      <c r="G5" s="1849"/>
      <c r="H5" s="343">
        <v>1</v>
      </c>
      <c r="I5" s="344" t="s">
        <v>1397</v>
      </c>
      <c r="J5" s="1290">
        <f ca="1">J6+J10+J12</f>
        <v>2832</v>
      </c>
      <c r="K5" s="1820" t="s">
        <v>1398</v>
      </c>
      <c r="L5" s="1291"/>
      <c r="M5" s="1292"/>
    </row>
    <row r="6" spans="1:37" ht="18" customHeight="1">
      <c r="A6" s="1289" t="s">
        <v>1032</v>
      </c>
      <c r="B6" s="3326" t="s">
        <v>1399</v>
      </c>
      <c r="C6" s="3018">
        <f ca="1">ROUND(F6*F8*F7*(1-F9)/10000,1)</f>
        <v>388.1</v>
      </c>
      <c r="D6" s="163" t="s">
        <v>3027</v>
      </c>
      <c r="E6" s="346" t="s">
        <v>1401</v>
      </c>
      <c r="F6" s="347">
        <f ca="1">INDIRECT("'数据-取费表'!u"&amp;$G$1)</f>
        <v>0.51</v>
      </c>
      <c r="G6" s="1849"/>
      <c r="H6" s="1289" t="s">
        <v>1032</v>
      </c>
      <c r="I6" s="3326" t="s">
        <v>1399</v>
      </c>
      <c r="J6" s="345">
        <f ca="1">ROUND(M6*M8*M7*(1-M9)/10000,0)</f>
        <v>2825</v>
      </c>
      <c r="K6" s="163" t="s">
        <v>3026</v>
      </c>
      <c r="L6" s="346" t="s">
        <v>1401</v>
      </c>
      <c r="M6" s="347">
        <f ca="1">INDIRECT("'数据-取费表'!z"&amp;$G$1)</f>
        <v>4.6399999999999997</v>
      </c>
    </row>
    <row r="7" spans="1:37" ht="18" customHeight="1">
      <c r="A7" s="1293"/>
      <c r="B7" s="3327"/>
      <c r="C7" s="1295"/>
      <c r="D7" s="351"/>
      <c r="E7" s="2966" t="s">
        <v>1402</v>
      </c>
      <c r="F7" s="347">
        <f ca="1">IF(INDIRECT("'数据-取费表'!ah"&amp;$G$1)="",INDIRECT("'数据-取费表'!k"&amp;$G$1),INDIRECT("'数据-取费表'!ah"&amp;$G$1))</f>
        <v>20849.03</v>
      </c>
      <c r="G7" s="1849"/>
      <c r="H7" s="348"/>
      <c r="I7" s="3327"/>
      <c r="J7" s="350"/>
      <c r="K7" s="351"/>
      <c r="L7" s="346" t="s">
        <v>1402</v>
      </c>
      <c r="M7" s="347">
        <f ca="1">F7</f>
        <v>20849.03</v>
      </c>
    </row>
    <row r="8" spans="1:37" ht="18" customHeight="1">
      <c r="A8" s="348"/>
      <c r="B8" s="3327"/>
      <c r="C8" s="350"/>
      <c r="D8" s="351"/>
      <c r="E8" s="346" t="s">
        <v>1403</v>
      </c>
      <c r="F8" s="347">
        <f ca="1">INDIRECT("'数据-取费表'!ai"&amp;$G$1)</f>
        <v>365</v>
      </c>
      <c r="G8" s="1849"/>
      <c r="H8" s="348"/>
      <c r="I8" s="3327"/>
      <c r="J8" s="350"/>
      <c r="K8" s="351"/>
      <c r="L8" s="346" t="s">
        <v>1403</v>
      </c>
      <c r="M8" s="347">
        <f ca="1">INDIRECT("'数据-取费表'!ai"&amp;$G$1)</f>
        <v>365</v>
      </c>
    </row>
    <row r="9" spans="1:37" ht="18" customHeight="1">
      <c r="A9" s="348"/>
      <c r="B9" s="3328"/>
      <c r="C9" s="350"/>
      <c r="D9" s="351"/>
      <c r="E9" s="346" t="s">
        <v>1404</v>
      </c>
      <c r="F9" s="356">
        <f ca="1">INDIRECT("'数据-取费表'!w"&amp;$G$1)</f>
        <v>0</v>
      </c>
      <c r="G9" s="1849"/>
      <c r="H9" s="348"/>
      <c r="I9" s="3328"/>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v>
      </c>
      <c r="D10" s="1822" t="s">
        <v>3035</v>
      </c>
      <c r="E10" s="357" t="s">
        <v>1406</v>
      </c>
      <c r="F10" s="1364" t="s">
        <v>4123</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9390</v>
      </c>
      <c r="D13" s="1329" t="s">
        <v>1411</v>
      </c>
      <c r="E13" s="1329" t="s">
        <v>1412</v>
      </c>
      <c r="F13" s="1330">
        <f ca="1">INDIRECT("'数据-取费表'!y"&amp;$G$1)</f>
        <v>0.97899999999999998</v>
      </c>
      <c r="G13" s="1849"/>
      <c r="H13" s="1327">
        <v>2</v>
      </c>
      <c r="I13" s="1328" t="s">
        <v>1410</v>
      </c>
      <c r="J13" s="1288">
        <f ca="1">ROUND(J14*J15,0)</f>
        <v>7865</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701</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11.8</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2131</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32160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17854</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232.9</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67.099999999999994</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20.399999999999999</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46.7</v>
      </c>
      <c r="D33" s="3013"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14.1</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7.8</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156.20000000000002</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1158</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555</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12645</v>
      </c>
      <c r="D46" s="1870" t="str">
        <f>C2</f>
        <v>万元</v>
      </c>
      <c r="E46" s="1864"/>
      <c r="F46" s="1864"/>
      <c r="I46" s="1871" t="s">
        <v>1517</v>
      </c>
      <c r="J46" s="1872"/>
      <c r="K46" s="1873"/>
      <c r="L46" s="1874">
        <f ca="1">IF(M47="住宅",0,IF(L48&gt;J51,L60,J60))</f>
        <v>236</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19012</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236</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019">
        <v>2016</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58</v>
      </c>
      <c r="K51" s="1898" t="s">
        <v>1537</v>
      </c>
      <c r="L51" s="1899">
        <f ca="1">ROUND(-PV(INDIRECT("'数据-取费表'!h"&amp;$G$1),L48,(C39-C13*C76),0),0)</f>
        <v>-9081</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020" t="s">
        <v>4123</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29" t="s">
        <v>1544</v>
      </c>
      <c r="L53" s="3330"/>
      <c r="O53" s="1882" t="s">
        <v>1043</v>
      </c>
      <c r="P53" s="1883" t="s">
        <v>1545</v>
      </c>
      <c r="Q53" s="1884">
        <f ca="1">Q47+Q48</f>
        <v>19248</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0.39700000000000002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9390</v>
      </c>
      <c r="D56" s="1912"/>
      <c r="E56" s="1913"/>
      <c r="F56" s="1905"/>
      <c r="I56" s="1914" t="s">
        <v>1550</v>
      </c>
      <c r="J56" s="1915" t="s">
        <v>3059</v>
      </c>
      <c r="K56" s="1885" t="s">
        <v>1551</v>
      </c>
      <c r="L56" s="1888" t="str">
        <f ca="1">IF(L48&lt;J51,"——",L48-J53)</f>
        <v>——</v>
      </c>
      <c r="O56" s="1882" t="s">
        <v>1037</v>
      </c>
      <c r="P56" s="1883" t="s">
        <v>1524</v>
      </c>
      <c r="Q56" s="1884">
        <f ca="1">C40+J29</f>
        <v>19012</v>
      </c>
      <c r="R56" s="1884" t="s">
        <v>1525</v>
      </c>
    </row>
    <row r="57" spans="1:18" s="1840" customFormat="1" ht="24.75" thickBot="1">
      <c r="A57" s="1916"/>
      <c r="B57" s="1167" t="s">
        <v>1474</v>
      </c>
      <c r="C57" s="281">
        <f ca="1">C29</f>
        <v>9591</v>
      </c>
      <c r="D57" s="1917"/>
      <c r="E57" s="1918"/>
      <c r="F57" s="1919"/>
      <c r="I57" s="1920" t="s">
        <v>1552</v>
      </c>
      <c r="J57" s="1921">
        <f ca="1">IF(OR(M47="住宅",J51&lt;L48,J56="是"),"——",J51-L48)</f>
        <v>23.840000000000003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604</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3836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236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19012</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14.1</v>
      </c>
      <c r="D65" s="1181" t="s">
        <v>1450</v>
      </c>
      <c r="E65" s="1167" t="s">
        <v>1418</v>
      </c>
      <c r="F65" s="375">
        <f t="shared" ca="1" si="0"/>
        <v>1.5E-3</v>
      </c>
      <c r="I65" s="1927" t="s">
        <v>1575</v>
      </c>
      <c r="J65" s="1928">
        <v>40</v>
      </c>
      <c r="K65" s="1928">
        <v>30</v>
      </c>
      <c r="L65" s="1928">
        <v>50</v>
      </c>
      <c r="M65" s="1930">
        <v>0.02</v>
      </c>
      <c r="O65" s="1882" t="s">
        <v>1037</v>
      </c>
      <c r="P65" s="1883" t="s">
        <v>1524</v>
      </c>
      <c r="Q65" s="1884">
        <f ca="1">C40+J29</f>
        <v>19012</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1715</v>
      </c>
      <c r="D67" s="1180" t="s">
        <v>1460</v>
      </c>
      <c r="E67" s="1185"/>
      <c r="F67" s="1186"/>
      <c r="O67" s="1892" t="s">
        <v>1039</v>
      </c>
      <c r="P67" s="1883" t="s">
        <v>1558</v>
      </c>
      <c r="Q67" s="1931">
        <f ca="1">L51</f>
        <v>-9081</v>
      </c>
      <c r="R67" s="1884" t="s">
        <v>1578</v>
      </c>
    </row>
    <row r="68" spans="1:18" s="1840" customFormat="1" ht="16.5" thickBot="1">
      <c r="A68" s="1164" t="s">
        <v>1029</v>
      </c>
      <c r="B68" s="1165" t="s">
        <v>1481</v>
      </c>
      <c r="C68" s="345">
        <f ca="1">ROUND(C67*(1-((1+F70)/(1+F68))^F69)/(F68-F70),0)</f>
        <v>13803</v>
      </c>
      <c r="D68" s="1182" t="s">
        <v>1465</v>
      </c>
      <c r="E68" s="1167" t="s">
        <v>1466</v>
      </c>
      <c r="F68" s="356">
        <f ca="1">F40</f>
        <v>0.06</v>
      </c>
      <c r="O68" s="1892" t="s">
        <v>1040</v>
      </c>
      <c r="P68" s="1932" t="s">
        <v>1579</v>
      </c>
      <c r="Q68" s="1884">
        <f ca="1">ROUND(Q69-Q70*Q71,0)</f>
        <v>-595</v>
      </c>
      <c r="R68" s="1884" t="s">
        <v>1048</v>
      </c>
    </row>
    <row r="69" spans="1:18" s="1840" customFormat="1" ht="13.5" thickBot="1">
      <c r="A69" s="1168"/>
      <c r="B69" s="1169"/>
      <c r="C69" s="350"/>
      <c r="D69" s="1187" t="s">
        <v>1469</v>
      </c>
      <c r="E69" s="1167" t="s">
        <v>1470</v>
      </c>
      <c r="F69" s="378">
        <f ca="1">F41</f>
        <v>10.1</v>
      </c>
      <c r="O69" s="1892" t="s">
        <v>1045</v>
      </c>
      <c r="P69" s="1932" t="s">
        <v>1580</v>
      </c>
      <c r="Q69" s="1884">
        <f ca="1">C39</f>
        <v>156.20000000000002</v>
      </c>
      <c r="R69" s="1884" t="s">
        <v>1525</v>
      </c>
    </row>
    <row r="70" spans="1:18" s="1840" customFormat="1" ht="13.5" thickBot="1">
      <c r="A70" s="1171"/>
      <c r="B70" s="1172"/>
      <c r="C70" s="354"/>
      <c r="D70" s="1183"/>
      <c r="E70" s="1167" t="s">
        <v>1473</v>
      </c>
      <c r="F70" s="1273">
        <f>'数据-取费表'!V6</f>
        <v>0.02</v>
      </c>
      <c r="O70" s="1892" t="s">
        <v>1046</v>
      </c>
      <c r="P70" s="1932" t="s">
        <v>1581</v>
      </c>
      <c r="Q70" s="1884">
        <f ca="1">C13</f>
        <v>9390</v>
      </c>
      <c r="R70" s="1884" t="s">
        <v>1525</v>
      </c>
    </row>
    <row r="71" spans="1:18" s="1840" customFormat="1" ht="13.5" thickBot="1">
      <c r="A71" s="1188" t="s">
        <v>1030</v>
      </c>
      <c r="B71" s="1189" t="s">
        <v>1483</v>
      </c>
      <c r="C71" s="381">
        <f ca="1">ROUND(C68*10000/F71,0)</f>
        <v>6620</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751</v>
      </c>
      <c r="D75" s="1840"/>
      <c r="E75" s="1840"/>
      <c r="F75" s="1840"/>
      <c r="K75" s="1866"/>
      <c r="L75" s="1840"/>
      <c r="O75" s="1882" t="s">
        <v>1043</v>
      </c>
      <c r="P75" s="1883" t="s">
        <v>1545</v>
      </c>
      <c r="Q75" s="1884">
        <f ca="1">Q65+Q66</f>
        <v>19012</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-3.8079999999999998</v>
      </c>
    </row>
    <row r="80" spans="1:18">
      <c r="B80" s="385" t="s">
        <v>1507</v>
      </c>
      <c r="C80" s="317">
        <f ca="1">ROUND(C75/C39,3)</f>
        <v>4.8079999999999998</v>
      </c>
    </row>
    <row r="81" spans="2:3">
      <c r="B81" s="313" t="s">
        <v>1508</v>
      </c>
      <c r="C81" s="281"/>
    </row>
    <row r="82" spans="2:3">
      <c r="B82" s="316" t="s">
        <v>1509</v>
      </c>
      <c r="C82" s="318">
        <f ca="1">1-C83</f>
        <v>-7.109</v>
      </c>
    </row>
    <row r="83" spans="2:3">
      <c r="B83" s="316" t="s">
        <v>1510</v>
      </c>
      <c r="C83" s="317">
        <f ca="1">ROUND(C13/C40,3)</f>
        <v>8.109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J34" zoomScale="90" zoomScaleNormal="90" zoomScaleSheetLayoutView="90" workbookViewId="0">
      <selection activeCell="C5" sqref="C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326" t="s">
        <v>1399</v>
      </c>
      <c r="C6" s="3018">
        <f ca="1">ROUND(F6*F8*F7*(1-F9)/10000,1)</f>
        <v>5961.4</v>
      </c>
      <c r="D6" s="163" t="s">
        <v>3027</v>
      </c>
      <c r="E6" s="346" t="s">
        <v>1401</v>
      </c>
      <c r="F6" s="347">
        <f ca="1">INDIRECT("'数据-取费表'!u"&amp;$G$1)</f>
        <v>4.3</v>
      </c>
      <c r="G6" s="1849"/>
      <c r="H6" s="1289" t="s">
        <v>1032</v>
      </c>
      <c r="I6" s="3326" t="s">
        <v>1399</v>
      </c>
      <c r="J6" s="345">
        <f ca="1">ROUND(M6*M8*M7*(1-M9)/10000,0)</f>
        <v>0</v>
      </c>
      <c r="K6" s="163" t="s">
        <v>3026</v>
      </c>
      <c r="L6" s="346" t="s">
        <v>1401</v>
      </c>
      <c r="M6" s="347">
        <f ca="1">INDIRECT("'数据-取费表'!z"&amp;$G$1)</f>
        <v>0</v>
      </c>
    </row>
    <row r="7" spans="1:37" ht="18" customHeight="1">
      <c r="A7" s="1293"/>
      <c r="B7" s="3327"/>
      <c r="C7" s="1295"/>
      <c r="D7" s="351"/>
      <c r="E7" s="1296" t="s">
        <v>1402</v>
      </c>
      <c r="F7" s="347">
        <f ca="1">IF(INDIRECT("'数据-取费表'!ah"&amp;$G$1)="",INDIRECT("'数据-取费表'!k"&amp;$G$1),INDIRECT("'数据-取费表'!ah"&amp;$G$1))</f>
        <v>47478.82</v>
      </c>
      <c r="G7" s="1849"/>
      <c r="H7" s="348"/>
      <c r="I7" s="3327"/>
      <c r="J7" s="350"/>
      <c r="K7" s="351"/>
      <c r="L7" s="346" t="s">
        <v>1402</v>
      </c>
      <c r="M7" s="347">
        <f ca="1">F7</f>
        <v>47478.82</v>
      </c>
    </row>
    <row r="8" spans="1:37" ht="18" customHeight="1">
      <c r="A8" s="348"/>
      <c r="B8" s="3327"/>
      <c r="C8" s="350"/>
      <c r="D8" s="351"/>
      <c r="E8" s="346" t="s">
        <v>1403</v>
      </c>
      <c r="F8" s="347">
        <f ca="1">INDIRECT("'数据-取费表'!ai"&amp;$G$1)</f>
        <v>365</v>
      </c>
      <c r="G8" s="1849"/>
      <c r="H8" s="348"/>
      <c r="I8" s="3327"/>
      <c r="J8" s="350"/>
      <c r="K8" s="351"/>
      <c r="L8" s="346" t="s">
        <v>1403</v>
      </c>
      <c r="M8" s="347">
        <f ca="1">INDIRECT("'数据-取费表'!ai"&amp;$G$1)</f>
        <v>365</v>
      </c>
    </row>
    <row r="9" spans="1:37" ht="18" customHeight="1">
      <c r="A9" s="348"/>
      <c r="B9" s="3328"/>
      <c r="C9" s="350"/>
      <c r="D9" s="351"/>
      <c r="E9" s="346" t="s">
        <v>1404</v>
      </c>
      <c r="F9" s="356">
        <f ca="1">INDIRECT("'数据-取费表'!w"&amp;$G$1)</f>
        <v>0.2</v>
      </c>
      <c r="G9" s="1849"/>
      <c r="H9" s="348"/>
      <c r="I9" s="3328"/>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4123</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21490</v>
      </c>
      <c r="D13" s="1329" t="s">
        <v>1411</v>
      </c>
      <c r="E13" s="1329" t="s">
        <v>1412</v>
      </c>
      <c r="F13" s="1330">
        <f ca="1">INDIRECT("'数据-取费表'!y"&amp;$G$1)</f>
        <v>0.98399999999999999</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013"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32.200000000000003</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4466.7999999999993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81660</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17199</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-113230</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81660</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41934</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29" t="s">
        <v>1544</v>
      </c>
      <c r="L53" s="3330"/>
      <c r="O53" s="1882" t="s">
        <v>1043</v>
      </c>
      <c r="P53" s="1883" t="s">
        <v>1545</v>
      </c>
      <c r="Q53" s="1884">
        <f ca="1">Q47+Q48</f>
        <v>82217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21490</v>
      </c>
      <c r="D56" s="1912"/>
      <c r="E56" s="1913"/>
      <c r="F56" s="1905"/>
      <c r="I56" s="1914" t="s">
        <v>1550</v>
      </c>
      <c r="J56" s="1915" t="s">
        <v>3059</v>
      </c>
      <c r="K56" s="1885" t="s">
        <v>1551</v>
      </c>
      <c r="L56" s="1888" t="str">
        <f ca="1">IF(L48&lt;J51,"——",L48-J53)</f>
        <v>——</v>
      </c>
      <c r="O56" s="1882" t="s">
        <v>1037</v>
      </c>
      <c r="P56" s="1883" t="s">
        <v>1524</v>
      </c>
      <c r="Q56" s="1884">
        <f ca="1">C40+J29</f>
        <v>81660</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32.200000000000003</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81660</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41934</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2748</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4466.7999999999993</v>
      </c>
      <c r="R69" s="1884" t="s">
        <v>1525</v>
      </c>
    </row>
    <row r="70" spans="1:18" s="1840" customFormat="1" ht="13.5" thickBot="1">
      <c r="A70" s="1171"/>
      <c r="B70" s="1172"/>
      <c r="C70" s="354"/>
      <c r="D70" s="1183"/>
      <c r="E70" s="1167" t="s">
        <v>1473</v>
      </c>
      <c r="F70" s="1273"/>
      <c r="O70" s="1892" t="s">
        <v>1046</v>
      </c>
      <c r="P70" s="1932" t="s">
        <v>1581</v>
      </c>
      <c r="Q70" s="1884">
        <f ca="1">C13</f>
        <v>21490</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1719</v>
      </c>
      <c r="D75" s="1840"/>
      <c r="E75" s="1840"/>
      <c r="F75" s="1840"/>
      <c r="K75" s="1866"/>
      <c r="L75" s="1840"/>
      <c r="O75" s="1882" t="s">
        <v>1043</v>
      </c>
      <c r="P75" s="1883" t="s">
        <v>1545</v>
      </c>
      <c r="Q75" s="1884">
        <f ca="1">Q65+Q66</f>
        <v>81660</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0.61499999999999999</v>
      </c>
    </row>
    <row r="80" spans="1:18">
      <c r="B80" s="385" t="s">
        <v>1507</v>
      </c>
      <c r="C80" s="317">
        <f ca="1">ROUND(C75/C39,3)</f>
        <v>0.38500000000000001</v>
      </c>
    </row>
    <row r="81" spans="2:3">
      <c r="B81" s="313" t="s">
        <v>1508</v>
      </c>
      <c r="C81" s="281"/>
    </row>
    <row r="82" spans="2:3">
      <c r="B82" s="316" t="s">
        <v>1509</v>
      </c>
      <c r="C82" s="318">
        <f ca="1">1-C83</f>
        <v>0.73699999999999999</v>
      </c>
    </row>
    <row r="83" spans="2:3">
      <c r="B83" s="316" t="s">
        <v>1510</v>
      </c>
      <c r="C83" s="317">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35" t="s">
        <v>2640</v>
      </c>
      <c r="D4" s="3348"/>
      <c r="E4" s="3349" t="s">
        <v>2641</v>
      </c>
      <c r="F4" s="3350"/>
      <c r="G4" s="3335" t="s">
        <v>2642</v>
      </c>
      <c r="H4" s="3348"/>
      <c r="I4" s="3335" t="s">
        <v>2643</v>
      </c>
      <c r="J4" s="3348"/>
      <c r="K4" s="609" t="s">
        <v>2644</v>
      </c>
      <c r="L4" s="1128"/>
      <c r="M4" s="1129"/>
      <c r="N4" s="1129"/>
      <c r="O4" s="1129"/>
      <c r="P4" s="3351" t="s">
        <v>2645</v>
      </c>
      <c r="Q4" s="3352"/>
      <c r="R4" s="3357" t="s">
        <v>2641</v>
      </c>
      <c r="S4" s="3358"/>
      <c r="T4" s="3357" t="s">
        <v>2642</v>
      </c>
      <c r="U4" s="3358"/>
      <c r="V4" s="3344" t="s">
        <v>2643</v>
      </c>
      <c r="W4" s="3344"/>
      <c r="X4" s="1811"/>
      <c r="Y4" s="3357" t="s">
        <v>2645</v>
      </c>
      <c r="Z4" s="3358"/>
      <c r="AA4" s="3345" t="s">
        <v>2641</v>
      </c>
      <c r="AB4" s="3346" t="s">
        <v>2642</v>
      </c>
      <c r="AC4" s="3345" t="s">
        <v>2643</v>
      </c>
    </row>
    <row r="5" spans="1:29" ht="15">
      <c r="A5" s="403"/>
      <c r="B5" s="404"/>
      <c r="C5" s="3365" t="s">
        <v>2536</v>
      </c>
      <c r="D5" s="3366"/>
      <c r="E5" s="3407" t="s">
        <v>2537</v>
      </c>
      <c r="F5" s="3375"/>
      <c r="G5" s="3365" t="s">
        <v>2538</v>
      </c>
      <c r="H5" s="3366"/>
      <c r="I5" s="3365" t="s">
        <v>2539</v>
      </c>
      <c r="J5" s="3366"/>
      <c r="K5" s="609"/>
      <c r="L5" s="1128"/>
      <c r="M5" s="1129"/>
      <c r="N5" s="1129"/>
      <c r="O5" s="1129"/>
      <c r="P5" s="3353"/>
      <c r="Q5" s="3354"/>
      <c r="R5" s="3359"/>
      <c r="S5" s="3360"/>
      <c r="T5" s="3359"/>
      <c r="U5" s="3360"/>
      <c r="V5" s="3344"/>
      <c r="W5" s="3344"/>
      <c r="X5" s="1811"/>
      <c r="Y5" s="3359"/>
      <c r="Z5" s="3360"/>
      <c r="AA5" s="3346"/>
      <c r="AB5" s="3346"/>
      <c r="AC5" s="3346"/>
    </row>
    <row r="6" spans="1:29" ht="15.75" thickBot="1">
      <c r="A6" s="405"/>
      <c r="B6" s="406"/>
      <c r="C6" s="3423" t="s">
        <v>2791</v>
      </c>
      <c r="D6" s="3424"/>
      <c r="E6" s="3425" t="s">
        <v>2791</v>
      </c>
      <c r="F6" s="3426"/>
      <c r="G6" s="3423" t="s">
        <v>2791</v>
      </c>
      <c r="H6" s="3424"/>
      <c r="I6" s="3423" t="s">
        <v>2791</v>
      </c>
      <c r="J6" s="3424"/>
      <c r="K6" s="609" t="s">
        <v>2541</v>
      </c>
      <c r="L6" s="1128"/>
      <c r="M6" s="1129"/>
      <c r="N6" s="1129"/>
      <c r="O6" s="1129"/>
      <c r="P6" s="3355"/>
      <c r="Q6" s="3356"/>
      <c r="R6" s="3359"/>
      <c r="S6" s="3360"/>
      <c r="T6" s="3361"/>
      <c r="U6" s="3362"/>
      <c r="V6" s="3344"/>
      <c r="W6" s="3344"/>
      <c r="X6" s="1811"/>
      <c r="Y6" s="3361"/>
      <c r="Z6" s="3362"/>
      <c r="AA6" s="3347"/>
      <c r="AB6" s="3347"/>
      <c r="AC6" s="3347"/>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367" t="s">
        <v>2543</v>
      </c>
      <c r="Q7" s="3369"/>
      <c r="R7" s="768" t="s">
        <v>17</v>
      </c>
      <c r="S7" s="769">
        <f t="shared" ref="S7:S15" si="0">F7</f>
        <v>0</v>
      </c>
      <c r="T7" s="768" t="s">
        <v>17</v>
      </c>
      <c r="U7" s="769">
        <f t="shared" ref="U7:U15" si="1">H7</f>
        <v>0</v>
      </c>
      <c r="V7" s="768" t="s">
        <v>17</v>
      </c>
      <c r="W7" s="769">
        <f t="shared" ref="W7:W15" si="2">J7</f>
        <v>0</v>
      </c>
      <c r="X7" s="770"/>
      <c r="Y7" s="3367" t="s">
        <v>2543</v>
      </c>
      <c r="Z7" s="3368"/>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67" t="s">
        <v>2546</v>
      </c>
      <c r="Q8" s="3368"/>
      <c r="R8" s="768" t="s">
        <v>17</v>
      </c>
      <c r="S8" s="769">
        <f t="shared" si="0"/>
        <v>0</v>
      </c>
      <c r="T8" s="768" t="s">
        <v>17</v>
      </c>
      <c r="U8" s="769">
        <f t="shared" si="1"/>
        <v>0</v>
      </c>
      <c r="V8" s="768" t="s">
        <v>17</v>
      </c>
      <c r="W8" s="769">
        <f t="shared" si="2"/>
        <v>0</v>
      </c>
      <c r="X8" s="770"/>
      <c r="Y8" s="3367" t="s">
        <v>2546</v>
      </c>
      <c r="Z8" s="3368"/>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338" t="s">
        <v>2549</v>
      </c>
      <c r="Q9" s="1793" t="str">
        <f t="shared" ref="Q9:Q15" si="6">B9</f>
        <v>用途</v>
      </c>
      <c r="R9" s="768" t="s">
        <v>17</v>
      </c>
      <c r="S9" s="769">
        <f t="shared" si="0"/>
        <v>100</v>
      </c>
      <c r="T9" s="768" t="s">
        <v>17</v>
      </c>
      <c r="U9" s="769">
        <f t="shared" si="1"/>
        <v>100</v>
      </c>
      <c r="V9" s="768" t="s">
        <v>17</v>
      </c>
      <c r="W9" s="769">
        <f t="shared" si="2"/>
        <v>100</v>
      </c>
      <c r="X9" s="770"/>
      <c r="Y9" s="3181"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338"/>
      <c r="Q10" s="1793" t="str">
        <f t="shared" si="6"/>
        <v>土地使用年限（年）</v>
      </c>
      <c r="R10" s="768" t="s">
        <v>17</v>
      </c>
      <c r="S10" s="769">
        <f t="shared" si="0"/>
        <v>105</v>
      </c>
      <c r="T10" s="768" t="s">
        <v>17</v>
      </c>
      <c r="U10" s="769">
        <f t="shared" si="1"/>
        <v>105</v>
      </c>
      <c r="V10" s="768" t="s">
        <v>17</v>
      </c>
      <c r="W10" s="769">
        <f t="shared" si="2"/>
        <v>105</v>
      </c>
      <c r="X10" s="770"/>
      <c r="Y10" s="3181"/>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38"/>
      <c r="Q11" s="1793" t="str">
        <f t="shared" si="6"/>
        <v>容积率</v>
      </c>
      <c r="R11" s="768" t="s">
        <v>17</v>
      </c>
      <c r="S11" s="769" t="e">
        <f t="shared" si="0"/>
        <v>#N/A</v>
      </c>
      <c r="T11" s="768" t="s">
        <v>17</v>
      </c>
      <c r="U11" s="769" t="e">
        <f t="shared" si="1"/>
        <v>#N/A</v>
      </c>
      <c r="V11" s="768" t="s">
        <v>17</v>
      </c>
      <c r="W11" s="769" t="e">
        <f t="shared" si="2"/>
        <v>#N/A</v>
      </c>
      <c r="X11" s="770"/>
      <c r="Y11" s="3181"/>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38"/>
      <c r="Q12" s="1793">
        <f t="shared" si="6"/>
        <v>111</v>
      </c>
      <c r="R12" s="768" t="s">
        <v>17</v>
      </c>
      <c r="S12" s="769">
        <f t="shared" si="0"/>
        <v>100</v>
      </c>
      <c r="T12" s="768" t="s">
        <v>17</v>
      </c>
      <c r="U12" s="769">
        <f t="shared" si="1"/>
        <v>100</v>
      </c>
      <c r="V12" s="768" t="s">
        <v>17</v>
      </c>
      <c r="W12" s="769">
        <f t="shared" si="2"/>
        <v>100</v>
      </c>
      <c r="X12" s="770"/>
      <c r="Y12" s="3181"/>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38"/>
      <c r="Q13" s="1793">
        <f t="shared" si="6"/>
        <v>111</v>
      </c>
      <c r="R13" s="768" t="s">
        <v>17</v>
      </c>
      <c r="S13" s="769">
        <f t="shared" si="0"/>
        <v>100</v>
      </c>
      <c r="T13" s="768" t="s">
        <v>17</v>
      </c>
      <c r="U13" s="769">
        <f t="shared" si="1"/>
        <v>100</v>
      </c>
      <c r="V13" s="768" t="s">
        <v>17</v>
      </c>
      <c r="W13" s="769">
        <f t="shared" si="2"/>
        <v>100</v>
      </c>
      <c r="X13" s="770"/>
      <c r="Y13" s="3181"/>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38"/>
      <c r="Q14" s="1793">
        <f t="shared" si="6"/>
        <v>111</v>
      </c>
      <c r="R14" s="768" t="s">
        <v>17</v>
      </c>
      <c r="S14" s="769">
        <f t="shared" si="0"/>
        <v>100</v>
      </c>
      <c r="T14" s="768" t="s">
        <v>17</v>
      </c>
      <c r="U14" s="769">
        <f t="shared" si="1"/>
        <v>100</v>
      </c>
      <c r="V14" s="768" t="s">
        <v>17</v>
      </c>
      <c r="W14" s="769">
        <f t="shared" si="2"/>
        <v>100</v>
      </c>
      <c r="X14" s="770"/>
      <c r="Y14" s="3181"/>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40" t="s">
        <v>2554</v>
      </c>
      <c r="Q15" s="1808" t="str">
        <f t="shared" si="6"/>
        <v>产业集聚程度</v>
      </c>
      <c r="R15" s="772" t="s">
        <v>17</v>
      </c>
      <c r="S15" s="773">
        <f t="shared" si="0"/>
        <v>100</v>
      </c>
      <c r="T15" s="772" t="s">
        <v>17</v>
      </c>
      <c r="U15" s="773">
        <f t="shared" si="1"/>
        <v>100</v>
      </c>
      <c r="V15" s="772" t="s">
        <v>17</v>
      </c>
      <c r="W15" s="773">
        <f t="shared" si="2"/>
        <v>100</v>
      </c>
      <c r="X15" s="1811"/>
      <c r="Y15" s="3340"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41"/>
      <c r="Q16" s="1808"/>
      <c r="R16" s="772"/>
      <c r="S16" s="773"/>
      <c r="T16" s="772"/>
      <c r="U16" s="773"/>
      <c r="V16" s="772"/>
      <c r="W16" s="773"/>
      <c r="X16" s="1811"/>
      <c r="Y16" s="3341"/>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41"/>
      <c r="Q17" s="1808" t="str">
        <f>B17</f>
        <v>交通便捷度</v>
      </c>
      <c r="R17" s="772" t="s">
        <v>17</v>
      </c>
      <c r="S17" s="773">
        <f>F17</f>
        <v>100</v>
      </c>
      <c r="T17" s="772" t="s">
        <v>17</v>
      </c>
      <c r="U17" s="773">
        <f>H17</f>
        <v>100</v>
      </c>
      <c r="V17" s="772" t="s">
        <v>17</v>
      </c>
      <c r="W17" s="773">
        <f>J17</f>
        <v>100</v>
      </c>
      <c r="X17" s="1811"/>
      <c r="Y17" s="3341"/>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41"/>
      <c r="Q18" s="1808"/>
      <c r="R18" s="772"/>
      <c r="S18" s="773"/>
      <c r="T18" s="772"/>
      <c r="U18" s="773"/>
      <c r="V18" s="772"/>
      <c r="W18" s="773"/>
      <c r="X18" s="1811"/>
      <c r="Y18" s="3341"/>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41"/>
      <c r="Q19" s="1808" t="str">
        <f t="shared" ref="Q19:Q33" si="8">B19</f>
        <v>区域土地利用方向</v>
      </c>
      <c r="R19" s="772" t="s">
        <v>17</v>
      </c>
      <c r="S19" s="773">
        <f>F19</f>
        <v>100</v>
      </c>
      <c r="T19" s="772" t="s">
        <v>17</v>
      </c>
      <c r="U19" s="773">
        <f>H19</f>
        <v>100</v>
      </c>
      <c r="V19" s="772" t="s">
        <v>17</v>
      </c>
      <c r="W19" s="773">
        <f>J19</f>
        <v>100</v>
      </c>
      <c r="X19" s="1811"/>
      <c r="Y19" s="3341"/>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41"/>
      <c r="Q20" s="1808"/>
      <c r="R20" s="772"/>
      <c r="S20" s="773"/>
      <c r="T20" s="772"/>
      <c r="U20" s="773"/>
      <c r="V20" s="772"/>
      <c r="W20" s="773"/>
      <c r="X20" s="1811"/>
      <c r="Y20" s="3341"/>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41"/>
      <c r="Q21" s="1808" t="str">
        <f t="shared" si="8"/>
        <v>环境状况</v>
      </c>
      <c r="R21" s="772" t="s">
        <v>17</v>
      </c>
      <c r="S21" s="773">
        <f>F21</f>
        <v>100</v>
      </c>
      <c r="T21" s="772" t="s">
        <v>17</v>
      </c>
      <c r="U21" s="773">
        <f>H21</f>
        <v>100</v>
      </c>
      <c r="V21" s="772" t="s">
        <v>17</v>
      </c>
      <c r="W21" s="773">
        <f>J21</f>
        <v>100</v>
      </c>
      <c r="X21" s="1811"/>
      <c r="Y21" s="3341"/>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41"/>
      <c r="Q22" s="1808"/>
      <c r="R22" s="772"/>
      <c r="S22" s="773"/>
      <c r="T22" s="772"/>
      <c r="U22" s="773"/>
      <c r="V22" s="772"/>
      <c r="W22" s="773"/>
      <c r="X22" s="1811"/>
      <c r="Y22" s="3341"/>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41"/>
      <c r="Q23" s="1793" t="str">
        <f t="shared" si="8"/>
        <v>公共配套设施</v>
      </c>
      <c r="R23" s="768" t="s">
        <v>17</v>
      </c>
      <c r="S23" s="769">
        <f>F23</f>
        <v>100</v>
      </c>
      <c r="T23" s="768" t="s">
        <v>17</v>
      </c>
      <c r="U23" s="769">
        <f>H23</f>
        <v>100</v>
      </c>
      <c r="V23" s="768" t="s">
        <v>17</v>
      </c>
      <c r="W23" s="769">
        <f>J23</f>
        <v>100</v>
      </c>
      <c r="X23" s="770"/>
      <c r="Y23" s="3341"/>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341"/>
      <c r="Q24" s="1793"/>
      <c r="R24" s="768"/>
      <c r="S24" s="769"/>
      <c r="T24" s="768"/>
      <c r="U24" s="769"/>
      <c r="V24" s="768"/>
      <c r="W24" s="769"/>
      <c r="X24" s="770"/>
      <c r="Y24" s="3341"/>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41"/>
      <c r="Q25" s="1793" t="str">
        <f t="shared" ref="Q25" si="9">B25</f>
        <v>基础设施水平</v>
      </c>
      <c r="R25" s="768" t="s">
        <v>17</v>
      </c>
      <c r="S25" s="769">
        <f>F25</f>
        <v>100</v>
      </c>
      <c r="T25" s="768" t="s">
        <v>17</v>
      </c>
      <c r="U25" s="769">
        <f>H25</f>
        <v>100</v>
      </c>
      <c r="V25" s="768" t="s">
        <v>17</v>
      </c>
      <c r="W25" s="769">
        <f>J25</f>
        <v>100</v>
      </c>
      <c r="X25" s="770"/>
      <c r="Y25" s="3341"/>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341"/>
      <c r="Q26" s="1793"/>
      <c r="R26" s="768"/>
      <c r="S26" s="769"/>
      <c r="T26" s="768"/>
      <c r="U26" s="769"/>
      <c r="V26" s="768"/>
      <c r="W26" s="769"/>
      <c r="X26" s="770"/>
      <c r="Y26" s="3341"/>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4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41"/>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41"/>
      <c r="Q28" s="1808" t="str">
        <f t="shared" si="8"/>
        <v>毗邻道路的类型与等级</v>
      </c>
      <c r="R28" s="772" t="s">
        <v>17</v>
      </c>
      <c r="S28" s="773">
        <f t="shared" si="10"/>
        <v>100</v>
      </c>
      <c r="T28" s="772" t="s">
        <v>17</v>
      </c>
      <c r="U28" s="773">
        <f t="shared" si="11"/>
        <v>100</v>
      </c>
      <c r="V28" s="772" t="s">
        <v>17</v>
      </c>
      <c r="W28" s="773">
        <f t="shared" si="12"/>
        <v>100</v>
      </c>
      <c r="X28" s="1811"/>
      <c r="Y28" s="3341"/>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41"/>
      <c r="Q29" s="1808"/>
      <c r="R29" s="772"/>
      <c r="S29" s="773"/>
      <c r="T29" s="772"/>
      <c r="U29" s="773"/>
      <c r="V29" s="772"/>
      <c r="W29" s="773"/>
      <c r="X29" s="1811"/>
      <c r="Y29" s="3341"/>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41"/>
      <c r="Q30" s="1808" t="str">
        <f t="shared" si="8"/>
        <v>土地级别</v>
      </c>
      <c r="R30" s="772" t="s">
        <v>17</v>
      </c>
      <c r="S30" s="773">
        <f t="shared" si="10"/>
        <v>100</v>
      </c>
      <c r="T30" s="772" t="s">
        <v>17</v>
      </c>
      <c r="U30" s="773">
        <f t="shared" si="11"/>
        <v>100</v>
      </c>
      <c r="V30" s="772" t="s">
        <v>17</v>
      </c>
      <c r="W30" s="773">
        <f t="shared" si="12"/>
        <v>100</v>
      </c>
      <c r="X30" s="1811"/>
      <c r="Y30" s="3341"/>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41"/>
      <c r="Q31" s="1808">
        <f t="shared" si="8"/>
        <v>111</v>
      </c>
      <c r="R31" s="772" t="s">
        <v>17</v>
      </c>
      <c r="S31" s="773">
        <f t="shared" si="10"/>
        <v>100</v>
      </c>
      <c r="T31" s="772" t="s">
        <v>17</v>
      </c>
      <c r="U31" s="773">
        <f t="shared" si="11"/>
        <v>100</v>
      </c>
      <c r="V31" s="772" t="s">
        <v>17</v>
      </c>
      <c r="W31" s="773">
        <f t="shared" si="12"/>
        <v>100</v>
      </c>
      <c r="X31" s="1811"/>
      <c r="Y31" s="3341"/>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42" t="s">
        <v>2559</v>
      </c>
      <c r="Q32" s="1808">
        <f t="shared" si="8"/>
        <v>111</v>
      </c>
      <c r="R32" s="772" t="s">
        <v>17</v>
      </c>
      <c r="S32" s="773">
        <f t="shared" si="10"/>
        <v>100</v>
      </c>
      <c r="T32" s="772" t="s">
        <v>17</v>
      </c>
      <c r="U32" s="773">
        <f t="shared" si="11"/>
        <v>100</v>
      </c>
      <c r="V32" s="772" t="s">
        <v>17</v>
      </c>
      <c r="W32" s="773">
        <f t="shared" si="12"/>
        <v>100</v>
      </c>
      <c r="X32" s="1811"/>
      <c r="Y32" s="3343"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43"/>
      <c r="Q33" s="1808">
        <f t="shared" si="8"/>
        <v>111</v>
      </c>
      <c r="R33" s="775" t="s">
        <v>17</v>
      </c>
      <c r="S33" s="776">
        <f t="shared" si="10"/>
        <v>100</v>
      </c>
      <c r="T33" s="775" t="s">
        <v>17</v>
      </c>
      <c r="U33" s="776">
        <f t="shared" si="11"/>
        <v>100</v>
      </c>
      <c r="V33" s="775" t="s">
        <v>17</v>
      </c>
      <c r="W33" s="776">
        <f t="shared" si="12"/>
        <v>100</v>
      </c>
      <c r="X33" s="777"/>
      <c r="Y33" s="3343"/>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43"/>
      <c r="Q34" s="1808" t="str">
        <f>B34</f>
        <v>宗地面积</v>
      </c>
      <c r="R34" s="772" t="s">
        <v>17</v>
      </c>
      <c r="S34" s="773" t="e">
        <f t="shared" si="10"/>
        <v>#N/A</v>
      </c>
      <c r="T34" s="772" t="s">
        <v>17</v>
      </c>
      <c r="U34" s="773" t="e">
        <f t="shared" si="11"/>
        <v>#N/A</v>
      </c>
      <c r="V34" s="772" t="s">
        <v>17</v>
      </c>
      <c r="W34" s="773" t="e">
        <f t="shared" si="12"/>
        <v>#N/A</v>
      </c>
      <c r="X34" s="1811"/>
      <c r="Y34" s="3343"/>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43"/>
      <c r="Q35" s="1808" t="str">
        <f t="shared" ref="Q35:Q40" si="14">B35</f>
        <v>宗地形状</v>
      </c>
      <c r="R35" s="772" t="s">
        <v>17</v>
      </c>
      <c r="S35" s="773">
        <f t="shared" si="10"/>
        <v>100</v>
      </c>
      <c r="T35" s="772" t="s">
        <v>17</v>
      </c>
      <c r="U35" s="773">
        <f t="shared" si="11"/>
        <v>100</v>
      </c>
      <c r="V35" s="772" t="s">
        <v>17</v>
      </c>
      <c r="W35" s="773">
        <f t="shared" si="12"/>
        <v>100</v>
      </c>
      <c r="X35" s="1811"/>
      <c r="Y35" s="3343"/>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343"/>
      <c r="Q36" s="1808" t="str">
        <f t="shared" si="14"/>
        <v>宗地开发程度</v>
      </c>
      <c r="R36" s="768" t="s">
        <v>17</v>
      </c>
      <c r="S36" s="769">
        <f t="shared" si="10"/>
        <v>100</v>
      </c>
      <c r="T36" s="768" t="s">
        <v>17</v>
      </c>
      <c r="U36" s="769">
        <f t="shared" si="11"/>
        <v>100</v>
      </c>
      <c r="V36" s="768" t="s">
        <v>17</v>
      </c>
      <c r="W36" s="769">
        <f t="shared" si="12"/>
        <v>100</v>
      </c>
      <c r="X36" s="770"/>
      <c r="Y36" s="3343"/>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43" t="s">
        <v>2559</v>
      </c>
      <c r="Q37" s="1808" t="str">
        <f t="shared" si="14"/>
        <v>工程地质条件</v>
      </c>
      <c r="R37" s="772" t="s">
        <v>17</v>
      </c>
      <c r="S37" s="773">
        <f t="shared" si="10"/>
        <v>100</v>
      </c>
      <c r="T37" s="772" t="s">
        <v>17</v>
      </c>
      <c r="U37" s="773">
        <f t="shared" si="11"/>
        <v>100</v>
      </c>
      <c r="V37" s="772" t="s">
        <v>17</v>
      </c>
      <c r="W37" s="773">
        <f t="shared" si="12"/>
        <v>100</v>
      </c>
      <c r="X37" s="1811"/>
      <c r="Y37" s="3343"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43"/>
      <c r="Q38" s="1808">
        <f t="shared" si="14"/>
        <v>111</v>
      </c>
      <c r="R38" s="772" t="s">
        <v>17</v>
      </c>
      <c r="S38" s="773">
        <f t="shared" si="10"/>
        <v>100</v>
      </c>
      <c r="T38" s="772" t="s">
        <v>17</v>
      </c>
      <c r="U38" s="773">
        <f t="shared" si="11"/>
        <v>100</v>
      </c>
      <c r="V38" s="772" t="s">
        <v>17</v>
      </c>
      <c r="W38" s="773">
        <f t="shared" si="12"/>
        <v>100</v>
      </c>
      <c r="X38" s="1811"/>
      <c r="Y38" s="3343"/>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43"/>
      <c r="Q39" s="1808">
        <f t="shared" si="14"/>
        <v>111</v>
      </c>
      <c r="R39" s="772" t="s">
        <v>17</v>
      </c>
      <c r="S39" s="773">
        <f t="shared" si="10"/>
        <v>100</v>
      </c>
      <c r="T39" s="772" t="s">
        <v>17</v>
      </c>
      <c r="U39" s="773">
        <f t="shared" si="11"/>
        <v>100</v>
      </c>
      <c r="V39" s="772" t="s">
        <v>17</v>
      </c>
      <c r="W39" s="773">
        <f t="shared" si="12"/>
        <v>100</v>
      </c>
      <c r="X39" s="1811"/>
      <c r="Y39" s="3343"/>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43"/>
      <c r="Q40" s="1808">
        <f t="shared" si="14"/>
        <v>111</v>
      </c>
      <c r="R40" s="775" t="s">
        <v>17</v>
      </c>
      <c r="S40" s="776">
        <f t="shared" si="10"/>
        <v>100</v>
      </c>
      <c r="T40" s="775" t="s">
        <v>17</v>
      </c>
      <c r="U40" s="776">
        <f t="shared" si="11"/>
        <v>100</v>
      </c>
      <c r="V40" s="775" t="s">
        <v>17</v>
      </c>
      <c r="W40" s="776">
        <f t="shared" si="12"/>
        <v>100</v>
      </c>
      <c r="X40" s="777"/>
      <c r="Y40" s="3343"/>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338" t="str">
        <f>A41</f>
        <v>成交单价</v>
      </c>
      <c r="Q41" s="3338"/>
      <c r="R41" s="3344">
        <f>E41</f>
        <v>0</v>
      </c>
      <c r="S41" s="3344"/>
      <c r="T41" s="3344">
        <f>G41</f>
        <v>0</v>
      </c>
      <c r="U41" s="3344"/>
      <c r="V41" s="3344">
        <f>I41</f>
        <v>0</v>
      </c>
      <c r="W41" s="3344"/>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338" t="str">
        <f>A42</f>
        <v>比较价值（元/平方米）</v>
      </c>
      <c r="Q42" s="3338"/>
      <c r="R42" s="3331" t="e">
        <f>ROUND(PRODUCT(R41,AA7:AA40),0)</f>
        <v>#DIV/0!</v>
      </c>
      <c r="S42" s="3331"/>
      <c r="T42" s="3331" t="e">
        <f>ROUND(PRODUCT(T41,AB7:AB40),0)</f>
        <v>#DIV/0!</v>
      </c>
      <c r="U42" s="3331"/>
      <c r="V42" s="3331" t="e">
        <f>ROUND(PRODUCT(V41,AC7:AC40),0)</f>
        <v>#DIV/0!</v>
      </c>
      <c r="W42" s="3331"/>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332" t="str">
        <f>A43</f>
        <v>估价对象XX用房的比较价值（楼面单价，元/平方米）</v>
      </c>
      <c r="Q43" s="3333"/>
      <c r="R43" s="3334" t="e">
        <f>ROUND(AVERAGE(R42:V42),0)</f>
        <v>#DIV/0!</v>
      </c>
      <c r="S43" s="3334"/>
      <c r="T43" s="3334"/>
      <c r="U43" s="3334"/>
      <c r="V43" s="3334"/>
      <c r="W43" s="333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335" t="s">
        <v>2758</v>
      </c>
      <c r="H50" s="3336"/>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337"/>
      <c r="H51" s="3338"/>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339"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339"/>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339"/>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339"/>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30"/>
      <c r="B4" s="3431"/>
      <c r="C4" s="3431"/>
      <c r="D4" s="3432"/>
      <c r="E4" s="3432"/>
      <c r="F4" s="3432"/>
      <c r="G4" s="3432"/>
      <c r="H4" s="3432"/>
      <c r="I4" s="3432"/>
      <c r="J4" s="3433"/>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434"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435"/>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27" t="s">
        <v>2834</v>
      </c>
      <c r="X8" s="3428"/>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435"/>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29"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35"/>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2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35"/>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29"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34"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29"/>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36"/>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42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36"/>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37"/>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34" t="s">
        <v>2877</v>
      </c>
      <c r="B16" s="2741" t="s">
        <v>2878</v>
      </c>
      <c r="C16" s="2931" t="e">
        <f>ROUND(IF(F17="与级别开发程度一致",0,(G17-E17)/C17),0)</f>
        <v>#DIV/0!</v>
      </c>
      <c r="D16" s="3448" t="s">
        <v>2882</v>
      </c>
      <c r="E16" s="3449"/>
      <c r="F16" s="3448" t="s">
        <v>2879</v>
      </c>
      <c r="G16" s="3449"/>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38"/>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445"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46"/>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46"/>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447"/>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439" t="s">
        <v>2967</v>
      </c>
      <c r="B90" s="3439"/>
      <c r="C90" s="3439"/>
      <c r="D90" s="3439"/>
      <c r="E90" s="3439"/>
      <c r="F90" s="3439"/>
      <c r="G90" s="3439"/>
      <c r="H90" s="3439"/>
      <c r="I90" s="3439"/>
      <c r="J90" s="3439"/>
      <c r="K90" s="2880"/>
      <c r="L90" s="2880"/>
      <c r="M90" s="2880"/>
      <c r="N90" s="2880"/>
    </row>
    <row r="91" spans="1:37">
      <c r="A91" s="3441" t="s">
        <v>2968</v>
      </c>
      <c r="B91" s="3441" t="s">
        <v>2969</v>
      </c>
      <c r="C91" s="2834" t="s">
        <v>2970</v>
      </c>
      <c r="D91" s="2835"/>
      <c r="E91" s="2835"/>
      <c r="F91" s="2835"/>
      <c r="G91" s="2835"/>
      <c r="H91" s="2835"/>
      <c r="I91" s="2835"/>
      <c r="J91" s="2881"/>
      <c r="K91" s="2882"/>
      <c r="L91" s="2882"/>
      <c r="M91" s="2882"/>
      <c r="N91" s="2882"/>
    </row>
    <row r="92" spans="1:37">
      <c r="A92" s="3441"/>
      <c r="B92" s="3441"/>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442"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44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44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44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44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44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443"/>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444"/>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442"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443"/>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443"/>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443"/>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443"/>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443"/>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443"/>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443"/>
      <c r="B108" s="3296"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444"/>
      <c r="B109" s="3297"/>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440" t="s">
        <v>2975</v>
      </c>
      <c r="B110" s="3440"/>
      <c r="C110" s="3440"/>
      <c r="D110" s="3440"/>
      <c r="E110" s="3440"/>
      <c r="F110" s="3440"/>
      <c r="G110" s="3440"/>
      <c r="H110" s="3440"/>
      <c r="I110" s="3440"/>
      <c r="J110" s="3440"/>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0" t="s">
        <v>183</v>
      </c>
      <c r="B18" s="880" t="s">
        <v>560</v>
      </c>
      <c r="C18" s="881" t="s">
        <v>561</v>
      </c>
      <c r="D18" s="882"/>
      <c r="E18" s="880">
        <v>1</v>
      </c>
      <c r="F18" s="883" t="s">
        <v>562</v>
      </c>
      <c r="G18" s="884"/>
      <c r="H18" s="876"/>
      <c r="I18" s="876"/>
    </row>
    <row r="19" spans="1:9" s="885" customFormat="1" ht="19.5" customHeight="1">
      <c r="A19" s="3450"/>
      <c r="B19" s="3450" t="s">
        <v>563</v>
      </c>
      <c r="C19" s="881" t="s">
        <v>564</v>
      </c>
      <c r="D19" s="882"/>
      <c r="E19" s="880">
        <v>0.9</v>
      </c>
      <c r="F19" s="883" t="s">
        <v>565</v>
      </c>
      <c r="G19" s="884"/>
      <c r="H19" s="876"/>
      <c r="I19" s="876"/>
    </row>
    <row r="20" spans="1:9" s="885" customFormat="1" ht="19.5" customHeight="1">
      <c r="A20" s="3450"/>
      <c r="B20" s="3450"/>
      <c r="C20" s="881" t="s">
        <v>566</v>
      </c>
      <c r="D20" s="882"/>
      <c r="E20" s="880">
        <v>1.1000000000000001</v>
      </c>
      <c r="F20" s="883" t="s">
        <v>567</v>
      </c>
      <c r="G20" s="884"/>
      <c r="H20" s="876"/>
      <c r="I20" s="876"/>
    </row>
    <row r="21" spans="1:9" s="885" customFormat="1" ht="19.5" customHeight="1">
      <c r="A21" s="3450"/>
      <c r="B21" s="3450"/>
      <c r="C21" s="881" t="s">
        <v>568</v>
      </c>
      <c r="D21" s="882"/>
      <c r="E21" s="880">
        <v>0.8</v>
      </c>
      <c r="F21" s="883" t="s">
        <v>569</v>
      </c>
      <c r="G21" s="884"/>
      <c r="H21" s="876"/>
      <c r="I21" s="876"/>
    </row>
    <row r="22" spans="1:9" s="885" customFormat="1" ht="19.5" customHeight="1">
      <c r="A22" s="3450"/>
      <c r="B22" s="3450"/>
      <c r="C22" s="881" t="s">
        <v>570</v>
      </c>
      <c r="D22" s="882"/>
      <c r="E22" s="880">
        <v>0.5</v>
      </c>
      <c r="F22" s="883"/>
      <c r="G22" s="884"/>
      <c r="H22" s="876"/>
      <c r="I22" s="876"/>
    </row>
    <row r="23" spans="1:9" s="885" customFormat="1" ht="19.5" customHeight="1">
      <c r="A23" s="3450" t="s">
        <v>184</v>
      </c>
      <c r="B23" s="880" t="s">
        <v>560</v>
      </c>
      <c r="C23" s="881" t="s">
        <v>571</v>
      </c>
      <c r="D23" s="882"/>
      <c r="E23" s="880">
        <v>1</v>
      </c>
      <c r="F23" s="883" t="s">
        <v>572</v>
      </c>
      <c r="G23" s="884"/>
      <c r="H23" s="876"/>
      <c r="I23" s="876"/>
    </row>
    <row r="24" spans="1:9" s="885" customFormat="1" ht="19.5" customHeight="1">
      <c r="A24" s="3450"/>
      <c r="B24" s="3450" t="s">
        <v>563</v>
      </c>
      <c r="C24" s="881" t="s">
        <v>573</v>
      </c>
      <c r="D24" s="882"/>
      <c r="E24" s="880">
        <v>0.5</v>
      </c>
      <c r="F24" s="883"/>
      <c r="G24" s="884"/>
      <c r="H24" s="876"/>
      <c r="I24" s="876"/>
    </row>
    <row r="25" spans="1:9" s="885" customFormat="1" ht="19.5" customHeight="1">
      <c r="A25" s="3450"/>
      <c r="B25" s="3450"/>
      <c r="C25" s="881" t="s">
        <v>574</v>
      </c>
      <c r="D25" s="882"/>
      <c r="E25" s="880">
        <v>1.1000000000000001</v>
      </c>
      <c r="F25" s="883"/>
      <c r="G25" s="884"/>
      <c r="H25" s="876"/>
      <c r="I25" s="876"/>
    </row>
    <row r="26" spans="1:9" s="885" customFormat="1" ht="19.5" customHeight="1">
      <c r="A26" s="3450"/>
      <c r="B26" s="3450"/>
      <c r="C26" s="881" t="s">
        <v>575</v>
      </c>
      <c r="D26" s="882"/>
      <c r="E26" s="880">
        <v>1.1000000000000001</v>
      </c>
      <c r="F26" s="883"/>
      <c r="G26" s="884"/>
      <c r="H26" s="876"/>
      <c r="I26" s="876"/>
    </row>
    <row r="27" spans="1:9" s="885" customFormat="1" ht="19.5" customHeight="1">
      <c r="A27" s="3450"/>
      <c r="B27" s="3450"/>
      <c r="C27" s="881" t="s">
        <v>576</v>
      </c>
      <c r="D27" s="882"/>
      <c r="E27" s="880">
        <v>0.9</v>
      </c>
      <c r="F27" s="883" t="s">
        <v>577</v>
      </c>
      <c r="G27" s="884"/>
      <c r="H27" s="876"/>
      <c r="I27" s="876"/>
    </row>
    <row r="28" spans="1:9" s="885" customFormat="1" ht="19.5" customHeight="1">
      <c r="A28" s="3450"/>
      <c r="B28" s="3450"/>
      <c r="C28" s="881" t="s">
        <v>578</v>
      </c>
      <c r="D28" s="882"/>
      <c r="E28" s="880">
        <v>0.9</v>
      </c>
      <c r="F28" s="883" t="s">
        <v>579</v>
      </c>
      <c r="G28" s="884"/>
      <c r="H28" s="876"/>
      <c r="I28" s="876"/>
    </row>
    <row r="29" spans="1:9" s="885" customFormat="1" ht="19.5" customHeight="1">
      <c r="A29" s="3450"/>
      <c r="B29" s="3450"/>
      <c r="C29" s="881" t="s">
        <v>580</v>
      </c>
      <c r="D29" s="882"/>
      <c r="E29" s="880">
        <v>0.9</v>
      </c>
      <c r="F29" s="883" t="s">
        <v>581</v>
      </c>
      <c r="G29" s="884"/>
      <c r="H29" s="876"/>
      <c r="I29" s="876"/>
    </row>
    <row r="30" spans="1:9" s="885" customFormat="1" ht="19.5" customHeight="1">
      <c r="A30" s="3450"/>
      <c r="B30" s="3450"/>
      <c r="C30" s="881" t="s">
        <v>582</v>
      </c>
      <c r="D30" s="882"/>
      <c r="E30" s="880">
        <v>0.9</v>
      </c>
      <c r="F30" s="883" t="s">
        <v>583</v>
      </c>
      <c r="G30" s="884"/>
      <c r="H30" s="876"/>
      <c r="I30" s="876"/>
    </row>
    <row r="31" spans="1:9" s="885" customFormat="1" ht="19.5" customHeight="1">
      <c r="A31" s="3450"/>
      <c r="B31" s="3450"/>
      <c r="C31" s="881" t="s">
        <v>584</v>
      </c>
      <c r="D31" s="882"/>
      <c r="E31" s="880">
        <v>0.8</v>
      </c>
      <c r="F31" s="883" t="s">
        <v>585</v>
      </c>
      <c r="G31" s="884"/>
      <c r="H31" s="876"/>
      <c r="I31" s="876"/>
    </row>
    <row r="32" spans="1:9" s="885" customFormat="1" ht="19.5" customHeight="1">
      <c r="A32" s="3450"/>
      <c r="B32" s="3450"/>
      <c r="C32" s="881" t="s">
        <v>586</v>
      </c>
      <c r="D32" s="882"/>
      <c r="E32" s="880">
        <v>0.8</v>
      </c>
      <c r="F32" s="883" t="s">
        <v>587</v>
      </c>
      <c r="G32" s="884"/>
      <c r="H32" s="876"/>
      <c r="I32" s="876"/>
    </row>
    <row r="33" spans="1:9" s="885" customFormat="1" ht="19.5" customHeight="1">
      <c r="A33" s="3450" t="s">
        <v>185</v>
      </c>
      <c r="B33" s="880" t="s">
        <v>560</v>
      </c>
      <c r="C33" s="881" t="s">
        <v>588</v>
      </c>
      <c r="D33" s="882"/>
      <c r="E33" s="880">
        <v>1</v>
      </c>
      <c r="F33" s="883" t="s">
        <v>589</v>
      </c>
      <c r="G33" s="884"/>
      <c r="H33" s="876"/>
      <c r="I33" s="876"/>
    </row>
    <row r="34" spans="1:9" s="885" customFormat="1" ht="19.5" customHeight="1">
      <c r="A34" s="3450"/>
      <c r="B34" s="880" t="s">
        <v>563</v>
      </c>
      <c r="C34" s="881" t="s">
        <v>590</v>
      </c>
      <c r="D34" s="882"/>
      <c r="E34" s="880">
        <v>1.5</v>
      </c>
      <c r="F34" s="883" t="s">
        <v>591</v>
      </c>
      <c r="G34" s="884"/>
      <c r="H34" s="876"/>
      <c r="I34" s="876"/>
    </row>
    <row r="35" spans="1:9" s="885" customFormat="1" ht="19.5" customHeight="1">
      <c r="A35" s="3450" t="s">
        <v>186</v>
      </c>
      <c r="B35" s="880" t="s">
        <v>560</v>
      </c>
      <c r="C35" s="881" t="s">
        <v>592</v>
      </c>
      <c r="D35" s="882"/>
      <c r="E35" s="880">
        <v>1</v>
      </c>
      <c r="F35" s="883" t="s">
        <v>593</v>
      </c>
      <c r="G35" s="884"/>
      <c r="H35" s="876"/>
      <c r="I35" s="876"/>
    </row>
    <row r="36" spans="1:9" s="885" customFormat="1" ht="19.5" customHeight="1">
      <c r="A36" s="3450"/>
      <c r="B36" s="3450" t="s">
        <v>563</v>
      </c>
      <c r="C36" s="881" t="s">
        <v>594</v>
      </c>
      <c r="D36" s="882"/>
      <c r="E36" s="880">
        <v>1</v>
      </c>
      <c r="F36" s="883" t="s">
        <v>595</v>
      </c>
      <c r="G36" s="884"/>
      <c r="H36" s="876"/>
      <c r="I36" s="876"/>
    </row>
    <row r="37" spans="1:9" s="885" customFormat="1" ht="19.5" customHeight="1">
      <c r="A37" s="3450"/>
      <c r="B37" s="3450"/>
      <c r="C37" s="881" t="s">
        <v>596</v>
      </c>
      <c r="D37" s="882"/>
      <c r="E37" s="880">
        <v>1.5</v>
      </c>
      <c r="F37" s="883" t="s">
        <v>597</v>
      </c>
      <c r="G37" s="884"/>
      <c r="H37" s="876"/>
      <c r="I37" s="876"/>
    </row>
    <row r="38" spans="1:9" s="885" customFormat="1" ht="19.5" customHeight="1">
      <c r="A38" s="3450"/>
      <c r="B38" s="3450"/>
      <c r="C38" s="881" t="s">
        <v>598</v>
      </c>
      <c r="D38" s="882"/>
      <c r="E38" s="880">
        <v>1</v>
      </c>
      <c r="F38" s="883" t="s">
        <v>599</v>
      </c>
      <c r="G38" s="884"/>
      <c r="H38" s="876"/>
      <c r="I38" s="876"/>
    </row>
    <row r="39" spans="1:9" s="885" customFormat="1" ht="19.5" customHeight="1">
      <c r="A39" s="3450"/>
      <c r="B39" s="345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0" t="s">
        <v>614</v>
      </c>
      <c r="C61" s="816" t="s">
        <v>615</v>
      </c>
      <c r="D61" s="816" t="s">
        <v>616</v>
      </c>
      <c r="E61" s="893">
        <v>0.5</v>
      </c>
      <c r="F61" s="880">
        <v>80</v>
      </c>
    </row>
    <row r="62" spans="1:8" s="876" customFormat="1" ht="24">
      <c r="A62" s="880">
        <v>2</v>
      </c>
      <c r="B62" s="3450"/>
      <c r="C62" s="816" t="s">
        <v>617</v>
      </c>
      <c r="D62" s="816" t="s">
        <v>618</v>
      </c>
      <c r="E62" s="893">
        <v>0.5</v>
      </c>
      <c r="F62" s="880">
        <v>80</v>
      </c>
    </row>
    <row r="63" spans="1:8" s="876" customFormat="1" ht="36">
      <c r="A63" s="880">
        <v>3</v>
      </c>
      <c r="B63" s="3450"/>
      <c r="C63" s="816" t="s">
        <v>619</v>
      </c>
      <c r="D63" s="816" t="s">
        <v>620</v>
      </c>
      <c r="E63" s="893">
        <v>0.5</v>
      </c>
      <c r="F63" s="880">
        <v>80</v>
      </c>
    </row>
    <row r="64" spans="1:8" s="876" customFormat="1" ht="36">
      <c r="A64" s="880">
        <v>4</v>
      </c>
      <c r="B64" s="3450"/>
      <c r="C64" s="816" t="s">
        <v>621</v>
      </c>
      <c r="D64" s="816" t="s">
        <v>622</v>
      </c>
      <c r="E64" s="893">
        <v>0.4</v>
      </c>
      <c r="F64" s="880">
        <v>60</v>
      </c>
    </row>
    <row r="65" spans="1:6" s="876" customFormat="1" ht="36">
      <c r="A65" s="880">
        <v>5</v>
      </c>
      <c r="B65" s="3450"/>
      <c r="C65" s="816" t="s">
        <v>623</v>
      </c>
      <c r="D65" s="816" t="s">
        <v>624</v>
      </c>
      <c r="E65" s="893">
        <v>0.2</v>
      </c>
      <c r="F65" s="880">
        <v>30</v>
      </c>
    </row>
    <row r="66" spans="1:6" s="876" customFormat="1" ht="36">
      <c r="A66" s="880">
        <v>6</v>
      </c>
      <c r="B66" s="3450"/>
      <c r="C66" s="816" t="s">
        <v>625</v>
      </c>
      <c r="D66" s="816" t="s">
        <v>626</v>
      </c>
      <c r="E66" s="893">
        <v>0.3</v>
      </c>
      <c r="F66" s="880">
        <v>50</v>
      </c>
    </row>
    <row r="67" spans="1:6" s="876" customFormat="1" ht="36">
      <c r="A67" s="880">
        <v>7</v>
      </c>
      <c r="B67" s="3450"/>
      <c r="C67" s="816" t="s">
        <v>627</v>
      </c>
      <c r="D67" s="816" t="s">
        <v>628</v>
      </c>
      <c r="E67" s="893">
        <v>0.2</v>
      </c>
      <c r="F67" s="880">
        <v>30</v>
      </c>
    </row>
    <row r="68" spans="1:6" s="876" customFormat="1" ht="36">
      <c r="A68" s="880">
        <v>8</v>
      </c>
      <c r="B68" s="3450"/>
      <c r="C68" s="816" t="s">
        <v>629</v>
      </c>
      <c r="D68" s="816" t="s">
        <v>630</v>
      </c>
      <c r="E68" s="893">
        <v>0.2</v>
      </c>
      <c r="F68" s="880">
        <v>30</v>
      </c>
    </row>
    <row r="69" spans="1:6" s="876" customFormat="1" ht="36">
      <c r="A69" s="880">
        <v>9</v>
      </c>
      <c r="B69" s="3450"/>
      <c r="C69" s="816" t="s">
        <v>631</v>
      </c>
      <c r="D69" s="816" t="s">
        <v>632</v>
      </c>
      <c r="E69" s="893">
        <v>0.2</v>
      </c>
      <c r="F69" s="880">
        <v>30</v>
      </c>
    </row>
    <row r="70" spans="1:6" s="876" customFormat="1" ht="48">
      <c r="A70" s="880">
        <v>10</v>
      </c>
      <c r="B70" s="3450"/>
      <c r="C70" s="816" t="s">
        <v>633</v>
      </c>
      <c r="D70" s="816" t="s">
        <v>634</v>
      </c>
      <c r="E70" s="893">
        <v>0.2</v>
      </c>
      <c r="F70" s="880">
        <v>30</v>
      </c>
    </row>
    <row r="71" spans="1:6" s="876" customFormat="1" ht="48">
      <c r="A71" s="880">
        <v>11</v>
      </c>
      <c r="B71" s="3450"/>
      <c r="C71" s="816" t="s">
        <v>635</v>
      </c>
      <c r="D71" s="816" t="s">
        <v>636</v>
      </c>
      <c r="E71" s="893">
        <v>0.2</v>
      </c>
      <c r="F71" s="880">
        <v>30</v>
      </c>
    </row>
    <row r="72" spans="1:6" s="876" customFormat="1" ht="36">
      <c r="A72" s="880">
        <v>12</v>
      </c>
      <c r="B72" s="3450"/>
      <c r="C72" s="816" t="s">
        <v>637</v>
      </c>
      <c r="D72" s="816" t="s">
        <v>638</v>
      </c>
      <c r="E72" s="893">
        <v>0.5</v>
      </c>
      <c r="F72" s="880">
        <v>80</v>
      </c>
    </row>
    <row r="73" spans="1:6" s="876" customFormat="1" ht="24">
      <c r="A73" s="880">
        <v>13</v>
      </c>
      <c r="B73" s="3450"/>
      <c r="C73" s="816" t="s">
        <v>639</v>
      </c>
      <c r="D73" s="816" t="s">
        <v>640</v>
      </c>
      <c r="E73" s="893">
        <v>0.4</v>
      </c>
      <c r="F73" s="880">
        <v>60</v>
      </c>
    </row>
    <row r="74" spans="1:6" s="876" customFormat="1" ht="24">
      <c r="A74" s="880">
        <v>14</v>
      </c>
      <c r="B74" s="3450"/>
      <c r="C74" s="816" t="s">
        <v>641</v>
      </c>
      <c r="D74" s="816" t="s">
        <v>642</v>
      </c>
      <c r="E74" s="893">
        <v>0.2</v>
      </c>
      <c r="F74" s="880">
        <v>30</v>
      </c>
    </row>
    <row r="75" spans="1:6" s="876" customFormat="1" ht="24">
      <c r="A75" s="880">
        <v>15</v>
      </c>
      <c r="B75" s="3450"/>
      <c r="C75" s="816" t="s">
        <v>643</v>
      </c>
      <c r="D75" s="816" t="s">
        <v>644</v>
      </c>
      <c r="E75" s="893">
        <v>0.2</v>
      </c>
      <c r="F75" s="880">
        <v>30</v>
      </c>
    </row>
    <row r="76" spans="1:6" s="876" customFormat="1" ht="24">
      <c r="A76" s="880">
        <v>16</v>
      </c>
      <c r="B76" s="3450" t="s">
        <v>645</v>
      </c>
      <c r="C76" s="816" t="s">
        <v>646</v>
      </c>
      <c r="D76" s="816" t="s">
        <v>647</v>
      </c>
      <c r="E76" s="893">
        <v>0.5</v>
      </c>
      <c r="F76" s="880">
        <v>80</v>
      </c>
    </row>
    <row r="77" spans="1:6" s="876" customFormat="1" ht="24">
      <c r="A77" s="880">
        <v>17</v>
      </c>
      <c r="B77" s="3450"/>
      <c r="C77" s="816" t="s">
        <v>648</v>
      </c>
      <c r="D77" s="816" t="s">
        <v>649</v>
      </c>
      <c r="E77" s="893">
        <v>0.5</v>
      </c>
      <c r="F77" s="880">
        <v>80</v>
      </c>
    </row>
    <row r="78" spans="1:6" s="876" customFormat="1" ht="24">
      <c r="A78" s="880">
        <v>18</v>
      </c>
      <c r="B78" s="3450"/>
      <c r="C78" s="816" t="s">
        <v>650</v>
      </c>
      <c r="D78" s="816" t="s">
        <v>651</v>
      </c>
      <c r="E78" s="893">
        <v>0.2</v>
      </c>
      <c r="F78" s="880">
        <v>30</v>
      </c>
    </row>
    <row r="79" spans="1:6" s="876" customFormat="1" ht="24">
      <c r="A79" s="880">
        <v>19</v>
      </c>
      <c r="B79" s="3450"/>
      <c r="C79" s="816" t="s">
        <v>652</v>
      </c>
      <c r="D79" s="816" t="s">
        <v>653</v>
      </c>
      <c r="E79" s="893">
        <v>0.5</v>
      </c>
      <c r="F79" s="880">
        <v>80</v>
      </c>
    </row>
    <row r="80" spans="1:6" s="876" customFormat="1" ht="36">
      <c r="A80" s="880">
        <v>20</v>
      </c>
      <c r="B80" s="3450"/>
      <c r="C80" s="816" t="s">
        <v>654</v>
      </c>
      <c r="D80" s="816" t="s">
        <v>655</v>
      </c>
      <c r="E80" s="893">
        <v>0.2</v>
      </c>
      <c r="F80" s="880">
        <v>30</v>
      </c>
    </row>
    <row r="81" spans="1:6" s="876" customFormat="1" ht="36">
      <c r="A81" s="880">
        <v>21</v>
      </c>
      <c r="B81" s="3450"/>
      <c r="C81" s="816" t="s">
        <v>656</v>
      </c>
      <c r="D81" s="816" t="s">
        <v>657</v>
      </c>
      <c r="E81" s="893">
        <v>0.2</v>
      </c>
      <c r="F81" s="880">
        <v>30</v>
      </c>
    </row>
    <row r="82" spans="1:6" s="876" customFormat="1" ht="48">
      <c r="A82" s="880">
        <v>22</v>
      </c>
      <c r="B82" s="3450"/>
      <c r="C82" s="816" t="s">
        <v>658</v>
      </c>
      <c r="D82" s="816" t="s">
        <v>659</v>
      </c>
      <c r="E82" s="893">
        <v>0.2</v>
      </c>
      <c r="F82" s="880">
        <v>30</v>
      </c>
    </row>
    <row r="83" spans="1:6" s="876" customFormat="1" ht="48">
      <c r="A83" s="880">
        <v>23</v>
      </c>
      <c r="B83" s="3450"/>
      <c r="C83" s="816" t="s">
        <v>660</v>
      </c>
      <c r="D83" s="816" t="s">
        <v>661</v>
      </c>
      <c r="E83" s="893">
        <v>0.2</v>
      </c>
      <c r="F83" s="880">
        <v>30</v>
      </c>
    </row>
    <row r="84" spans="1:6" s="876" customFormat="1" ht="36">
      <c r="A84" s="880">
        <v>24</v>
      </c>
      <c r="B84" s="3450"/>
      <c r="C84" s="816" t="s">
        <v>662</v>
      </c>
      <c r="D84" s="816" t="s">
        <v>663</v>
      </c>
      <c r="E84" s="893">
        <v>0.2</v>
      </c>
      <c r="F84" s="880">
        <v>30</v>
      </c>
    </row>
    <row r="85" spans="1:6" s="876" customFormat="1" ht="36">
      <c r="A85" s="880">
        <v>25</v>
      </c>
      <c r="B85" s="3450"/>
      <c r="C85" s="816" t="s">
        <v>664</v>
      </c>
      <c r="D85" s="816" t="s">
        <v>665</v>
      </c>
      <c r="E85" s="893">
        <v>0.5</v>
      </c>
      <c r="F85" s="880">
        <v>80</v>
      </c>
    </row>
    <row r="86" spans="1:6" s="876" customFormat="1" ht="36">
      <c r="A86" s="880">
        <v>26</v>
      </c>
      <c r="B86" s="3450"/>
      <c r="C86" s="816" t="s">
        <v>666</v>
      </c>
      <c r="D86" s="816" t="s">
        <v>667</v>
      </c>
      <c r="E86" s="893">
        <v>0.2</v>
      </c>
      <c r="F86" s="880">
        <v>30</v>
      </c>
    </row>
    <row r="87" spans="1:6" s="876" customFormat="1" ht="36">
      <c r="A87" s="880">
        <v>27</v>
      </c>
      <c r="B87" s="3450"/>
      <c r="C87" s="816" t="s">
        <v>668</v>
      </c>
      <c r="D87" s="816" t="s">
        <v>669</v>
      </c>
      <c r="E87" s="893">
        <v>0.2</v>
      </c>
      <c r="F87" s="880">
        <v>30</v>
      </c>
    </row>
    <row r="88" spans="1:6" s="876" customFormat="1" ht="36">
      <c r="A88" s="880">
        <v>28</v>
      </c>
      <c r="B88" s="3450"/>
      <c r="C88" s="816" t="s">
        <v>670</v>
      </c>
      <c r="D88" s="816" t="s">
        <v>671</v>
      </c>
      <c r="E88" s="893">
        <v>0.2</v>
      </c>
      <c r="F88" s="880">
        <v>30</v>
      </c>
    </row>
    <row r="89" spans="1:6" s="876" customFormat="1" ht="24">
      <c r="A89" s="880">
        <v>29</v>
      </c>
      <c r="B89" s="3450"/>
      <c r="C89" s="816" t="s">
        <v>672</v>
      </c>
      <c r="D89" s="816" t="s">
        <v>673</v>
      </c>
      <c r="E89" s="893">
        <v>0.2</v>
      </c>
      <c r="F89" s="880">
        <v>30</v>
      </c>
    </row>
    <row r="90" spans="1:6" s="876" customFormat="1" ht="24">
      <c r="A90" s="880">
        <v>30</v>
      </c>
      <c r="B90" s="3450"/>
      <c r="C90" s="816" t="s">
        <v>674</v>
      </c>
      <c r="D90" s="816" t="s">
        <v>675</v>
      </c>
      <c r="E90" s="893">
        <v>0.2</v>
      </c>
      <c r="F90" s="880">
        <v>30</v>
      </c>
    </row>
    <row r="91" spans="1:6" s="876" customFormat="1" ht="36">
      <c r="A91" s="880">
        <v>31</v>
      </c>
      <c r="B91" s="3450"/>
      <c r="C91" s="816" t="s">
        <v>676</v>
      </c>
      <c r="D91" s="816" t="s">
        <v>677</v>
      </c>
      <c r="E91" s="893">
        <v>0.2</v>
      </c>
      <c r="F91" s="880">
        <v>30</v>
      </c>
    </row>
    <row r="92" spans="1:6" s="876" customFormat="1" ht="24">
      <c r="A92" s="880">
        <v>32</v>
      </c>
      <c r="B92" s="3450" t="s">
        <v>678</v>
      </c>
      <c r="C92" s="880" t="s">
        <v>679</v>
      </c>
      <c r="D92" s="816" t="s">
        <v>680</v>
      </c>
      <c r="E92" s="893">
        <v>0.2</v>
      </c>
      <c r="F92" s="880">
        <v>30</v>
      </c>
    </row>
    <row r="93" spans="1:6" s="876" customFormat="1" ht="36">
      <c r="A93" s="880">
        <v>33</v>
      </c>
      <c r="B93" s="3450"/>
      <c r="C93" s="880" t="s">
        <v>681</v>
      </c>
      <c r="D93" s="816" t="s">
        <v>682</v>
      </c>
      <c r="E93" s="893">
        <v>0.2</v>
      </c>
      <c r="F93" s="880">
        <v>30</v>
      </c>
    </row>
    <row r="94" spans="1:6" s="876" customFormat="1" ht="48">
      <c r="A94" s="880">
        <v>34</v>
      </c>
      <c r="B94" s="3450"/>
      <c r="C94" s="880" t="s">
        <v>683</v>
      </c>
      <c r="D94" s="816" t="s">
        <v>684</v>
      </c>
      <c r="E94" s="893">
        <v>0.2</v>
      </c>
      <c r="F94" s="880">
        <v>30</v>
      </c>
    </row>
    <row r="95" spans="1:6" s="876" customFormat="1" ht="36">
      <c r="A95" s="880">
        <v>35</v>
      </c>
      <c r="B95" s="3450"/>
      <c r="C95" s="880" t="s">
        <v>685</v>
      </c>
      <c r="D95" s="816" t="s">
        <v>686</v>
      </c>
      <c r="E95" s="893">
        <v>0.2</v>
      </c>
      <c r="F95" s="880">
        <v>30</v>
      </c>
    </row>
    <row r="96" spans="1:6" s="876" customFormat="1" ht="48">
      <c r="A96" s="880">
        <v>36</v>
      </c>
      <c r="B96" s="3450"/>
      <c r="C96" s="816" t="s">
        <v>687</v>
      </c>
      <c r="D96" s="816" t="s">
        <v>688</v>
      </c>
      <c r="E96" s="893">
        <v>0.2</v>
      </c>
      <c r="F96" s="880">
        <v>30</v>
      </c>
    </row>
    <row r="97" spans="1:6" s="876" customFormat="1" ht="36">
      <c r="A97" s="880">
        <v>37</v>
      </c>
      <c r="B97" s="3450"/>
      <c r="C97" s="880" t="s">
        <v>689</v>
      </c>
      <c r="D97" s="816" t="s">
        <v>690</v>
      </c>
      <c r="E97" s="893">
        <v>0.2</v>
      </c>
      <c r="F97" s="880">
        <v>30</v>
      </c>
    </row>
    <row r="98" spans="1:6" s="876" customFormat="1" ht="36">
      <c r="A98" s="880">
        <v>38</v>
      </c>
      <c r="B98" s="3450"/>
      <c r="C98" s="880" t="s">
        <v>691</v>
      </c>
      <c r="D98" s="816" t="s">
        <v>692</v>
      </c>
      <c r="E98" s="893">
        <v>0.2</v>
      </c>
      <c r="F98" s="880">
        <v>30</v>
      </c>
    </row>
    <row r="99" spans="1:6" s="876" customFormat="1" ht="36">
      <c r="A99" s="880">
        <v>39</v>
      </c>
      <c r="B99" s="3450" t="s">
        <v>693</v>
      </c>
      <c r="C99" s="880" t="s">
        <v>694</v>
      </c>
      <c r="D99" s="816" t="s">
        <v>695</v>
      </c>
      <c r="E99" s="893">
        <v>0.3</v>
      </c>
      <c r="F99" s="880">
        <v>50</v>
      </c>
    </row>
    <row r="100" spans="1:6" s="876" customFormat="1" ht="24">
      <c r="A100" s="880">
        <v>40</v>
      </c>
      <c r="B100" s="3450"/>
      <c r="C100" s="880" t="s">
        <v>696</v>
      </c>
      <c r="D100" s="816" t="s">
        <v>697</v>
      </c>
      <c r="E100" s="893">
        <v>0.2</v>
      </c>
      <c r="F100" s="880">
        <v>30</v>
      </c>
    </row>
    <row r="101" spans="1:6" s="876" customFormat="1" ht="36">
      <c r="A101" s="880">
        <v>41</v>
      </c>
      <c r="B101" s="345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0" t="s">
        <v>708</v>
      </c>
      <c r="C105" s="880" t="s">
        <v>709</v>
      </c>
      <c r="D105" s="816" t="s">
        <v>710</v>
      </c>
      <c r="E105" s="893">
        <v>0.2</v>
      </c>
      <c r="F105" s="880">
        <v>30</v>
      </c>
    </row>
    <row r="106" spans="1:6" s="876" customFormat="1" ht="36">
      <c r="A106" s="880">
        <v>46</v>
      </c>
      <c r="B106" s="3450"/>
      <c r="C106" s="880" t="s">
        <v>711</v>
      </c>
      <c r="D106" s="816" t="s">
        <v>712</v>
      </c>
      <c r="E106" s="893">
        <v>0.2</v>
      </c>
      <c r="F106" s="880">
        <v>30</v>
      </c>
    </row>
    <row r="107" spans="1:6" s="876" customFormat="1" ht="36">
      <c r="A107" s="880">
        <v>47</v>
      </c>
      <c r="B107" s="3450" t="s">
        <v>713</v>
      </c>
      <c r="C107" s="880" t="s">
        <v>714</v>
      </c>
      <c r="D107" s="816" t="s">
        <v>715</v>
      </c>
      <c r="E107" s="893">
        <v>0.3</v>
      </c>
      <c r="F107" s="880">
        <v>50</v>
      </c>
    </row>
    <row r="108" spans="1:6" s="876" customFormat="1" ht="36">
      <c r="A108" s="880">
        <v>48</v>
      </c>
      <c r="B108" s="345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0" t="s">
        <v>724</v>
      </c>
      <c r="C111" s="880" t="s">
        <v>725</v>
      </c>
      <c r="D111" s="816" t="s">
        <v>726</v>
      </c>
      <c r="E111" s="893">
        <v>0.2</v>
      </c>
      <c r="F111" s="880">
        <v>30</v>
      </c>
    </row>
    <row r="112" spans="1:6" s="876" customFormat="1" ht="24">
      <c r="A112" s="880">
        <v>52</v>
      </c>
      <c r="B112" s="3450"/>
      <c r="C112" s="880" t="s">
        <v>727</v>
      </c>
      <c r="D112" s="816" t="s">
        <v>728</v>
      </c>
      <c r="E112" s="893">
        <v>0.2</v>
      </c>
      <c r="F112" s="880">
        <v>30</v>
      </c>
    </row>
    <row r="113" spans="1:6" s="876" customFormat="1" ht="24">
      <c r="A113" s="880">
        <v>53</v>
      </c>
      <c r="B113" s="345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0" t="s">
        <v>737</v>
      </c>
      <c r="C116" s="880" t="s">
        <v>738</v>
      </c>
      <c r="D116" s="816" t="s">
        <v>739</v>
      </c>
      <c r="E116" s="893">
        <v>0.2</v>
      </c>
      <c r="F116" s="880">
        <v>30</v>
      </c>
    </row>
    <row r="117" spans="1:6" ht="36">
      <c r="A117" s="880">
        <v>57</v>
      </c>
      <c r="B117" s="345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56" t="s">
        <v>1146</v>
      </c>
      <c r="C1" s="3456"/>
      <c r="D1" s="3456"/>
      <c r="E1" s="3456"/>
      <c r="F1" s="3456"/>
      <c r="G1" s="3455" t="s">
        <v>1147</v>
      </c>
      <c r="H1" s="3455"/>
      <c r="I1" s="3455"/>
      <c r="J1" s="3455"/>
      <c r="K1" s="3455"/>
      <c r="L1" s="3455"/>
      <c r="N1" s="3455" t="s">
        <v>1148</v>
      </c>
      <c r="O1" s="3455"/>
      <c r="P1" s="3455"/>
      <c r="Q1" s="3455"/>
      <c r="R1" s="1444"/>
      <c r="S1" s="3455" t="s">
        <v>1149</v>
      </c>
      <c r="T1" s="3455"/>
      <c r="U1" s="3455"/>
      <c r="V1" s="3455"/>
      <c r="X1" s="3454" t="s">
        <v>1150</v>
      </c>
      <c r="Y1" s="3455"/>
      <c r="Z1" s="3455"/>
      <c r="AA1" s="3455"/>
      <c r="AB1" s="3455"/>
      <c r="AD1" s="3454" t="s">
        <v>1151</v>
      </c>
      <c r="AE1" s="3455"/>
      <c r="AF1" s="3455"/>
      <c r="AG1" s="3455"/>
      <c r="AH1" s="345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452">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452"/>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452"/>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61"/>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457">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452"/>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452"/>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61"/>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457">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452"/>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452"/>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453"/>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451">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452"/>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452"/>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453"/>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451">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452"/>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452"/>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453"/>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458">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459"/>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459"/>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60"/>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451">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452"/>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452"/>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453"/>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451">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452">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452">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453">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451">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452">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452">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453">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451">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452">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452">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453">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451">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452">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452">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453">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451">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452">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452">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453">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451">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452">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452">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453">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451">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452">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452">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453">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451">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452">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452">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453">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451">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452">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452">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453">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451">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452">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452">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453">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959"/>
      <c r="B4" s="3141" t="s">
        <v>1626</v>
      </c>
      <c r="C4" s="3141"/>
      <c r="D4" s="3141"/>
      <c r="E4" s="1959"/>
    </row>
    <row r="5" spans="1:5" ht="16.5" thickTop="1">
      <c r="A5" s="1957"/>
      <c r="B5" s="3139" t="s">
        <v>1618</v>
      </c>
      <c r="C5" s="1960" t="s">
        <v>1619</v>
      </c>
      <c r="D5" s="1038">
        <f ca="1">结果表!H101</f>
        <v>80630</v>
      </c>
      <c r="E5" s="1957"/>
    </row>
    <row r="6" spans="1:5" ht="15.75">
      <c r="A6" s="1957"/>
      <c r="B6" s="3139"/>
      <c r="C6" s="1960" t="s">
        <v>1620</v>
      </c>
      <c r="D6" s="1038" t="str">
        <f ca="1">NUMBERSTRING(INT(D5*10000),2)&amp;"元整"</f>
        <v>捌亿零陆佰叁拾万元整</v>
      </c>
      <c r="E6" s="1957"/>
    </row>
    <row r="7" spans="1:5" ht="15.75">
      <c r="A7" s="1957"/>
      <c r="B7" s="3144"/>
      <c r="C7" s="1961" t="s">
        <v>1621</v>
      </c>
      <c r="D7" s="1039">
        <f ca="1">结果表!H102</f>
        <v>11800</v>
      </c>
      <c r="E7" s="1957"/>
    </row>
    <row r="8" spans="1:5" ht="15.75">
      <c r="A8" s="1957"/>
      <c r="B8" s="3145" t="str">
        <f>结果表!E103</f>
        <v>2.估价师知悉的法定优先受偿款</v>
      </c>
      <c r="C8" s="1962" t="s">
        <v>1622</v>
      </c>
      <c r="D8" s="1039">
        <f>结果表!H103</f>
        <v>0</v>
      </c>
      <c r="E8" s="1957"/>
    </row>
    <row r="9" spans="1:5" ht="15.75">
      <c r="A9" s="1957"/>
      <c r="B9" s="3147"/>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138" t="str">
        <f>结果表!E107</f>
        <v>3.房地产抵押价值</v>
      </c>
      <c r="C13" s="1965" t="s">
        <v>1619</v>
      </c>
      <c r="D13" s="1041">
        <f ca="1">结果表!H107</f>
        <v>80630</v>
      </c>
      <c r="E13" s="1957"/>
    </row>
    <row r="14" spans="1:5" ht="15.75">
      <c r="A14" s="1957"/>
      <c r="B14" s="3139"/>
      <c r="C14" s="1960" t="s">
        <v>1620</v>
      </c>
      <c r="D14" s="1038" t="str">
        <f ca="1">NUMBERSTRING(INT(D13*10000),2)&amp;"元整"</f>
        <v>捌亿零陆佰叁拾万元整</v>
      </c>
      <c r="E14" s="1957"/>
    </row>
    <row r="15" spans="1:5" ht="15">
      <c r="A15" s="1957"/>
      <c r="B15" s="3144"/>
      <c r="C15" s="1961" t="s">
        <v>1630</v>
      </c>
      <c r="D15" s="1050">
        <f ca="1">结果表!H108</f>
        <v>11800</v>
      </c>
      <c r="E15" s="1957"/>
    </row>
    <row r="16" spans="1:5" ht="15">
      <c r="A16" s="1957"/>
      <c r="B16" s="3145" t="str">
        <f>结果表!E109</f>
        <v>——</v>
      </c>
      <c r="C16" s="1965" t="s">
        <v>1631</v>
      </c>
      <c r="D16" s="1966" t="str">
        <f>结果表!H109</f>
        <v>——</v>
      </c>
      <c r="E16" s="1957"/>
    </row>
    <row r="17" spans="1:5" ht="15.75">
      <c r="A17" s="1957"/>
      <c r="B17" s="3146"/>
      <c r="C17" s="1960" t="s">
        <v>1632</v>
      </c>
      <c r="D17" s="1038" t="e">
        <f>NUMBERSTRING(INT(D16*10000),2)&amp;"元整"</f>
        <v>#VALUE!</v>
      </c>
      <c r="E17" s="1957"/>
    </row>
    <row r="18" spans="1:5" ht="15">
      <c r="A18" s="1957"/>
      <c r="B18" s="3147"/>
      <c r="C18" s="1961" t="s">
        <v>1621</v>
      </c>
      <c r="D18" s="1050" t="str">
        <f>结果表!H110</f>
        <v>——</v>
      </c>
      <c r="E18" s="1957"/>
    </row>
    <row r="19" spans="1:5" ht="15.75">
      <c r="A19" s="1957"/>
      <c r="B19" s="3138" t="str">
        <f>结果表!E111</f>
        <v>4.抵押净值</v>
      </c>
      <c r="C19" s="1965" t="s">
        <v>1619</v>
      </c>
      <c r="D19" s="1039">
        <f ca="1">结果表!H111</f>
        <v>69397</v>
      </c>
      <c r="E19" s="1957"/>
    </row>
    <row r="20" spans="1:5" ht="15.75">
      <c r="A20" s="1957"/>
      <c r="B20" s="3139"/>
      <c r="C20" s="1960" t="s">
        <v>1632</v>
      </c>
      <c r="D20" s="1038" t="str">
        <f ca="1">NUMBERSTRING(INT(D19*10000),2)&amp;"元整"</f>
        <v>陆亿玖仟叁佰玖拾柒万元整</v>
      </c>
      <c r="E20" s="1957"/>
    </row>
    <row r="21" spans="1:5" ht="15.75" thickBot="1">
      <c r="A21" s="1957"/>
      <c r="B21" s="3140"/>
      <c r="C21" s="1967" t="s">
        <v>1630</v>
      </c>
      <c r="D21" s="1051">
        <f ca="1">结果表!H112</f>
        <v>10156</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463" t="s">
        <v>3001</v>
      </c>
      <c r="D1" s="3464"/>
      <c r="E1" s="3464"/>
      <c r="F1" s="3464"/>
      <c r="G1" s="3464"/>
      <c r="H1" s="3464"/>
      <c r="I1" s="3464"/>
      <c r="J1" s="3464"/>
      <c r="K1" s="3464"/>
      <c r="L1" s="3464"/>
      <c r="M1" s="3464"/>
      <c r="N1" s="3464"/>
      <c r="O1" s="3464"/>
      <c r="P1" s="3464"/>
      <c r="Q1" s="3464"/>
      <c r="R1" s="3464"/>
      <c r="S1" s="3465"/>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318" t="s">
        <v>33</v>
      </c>
      <c r="D22" s="3319"/>
      <c r="E22" s="3319"/>
      <c r="F22" s="3319"/>
      <c r="G22" s="3319"/>
      <c r="H22" s="3319"/>
      <c r="I22" s="3319"/>
      <c r="J22" s="3319"/>
      <c r="K22" s="3319"/>
      <c r="L22" s="3319"/>
      <c r="M22" s="3319"/>
      <c r="N22" s="3319"/>
      <c r="O22" s="3319"/>
      <c r="P22" s="3319"/>
      <c r="Q22" s="3462"/>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62358</v>
      </c>
      <c r="C2" s="2" t="s">
        <v>133</v>
      </c>
      <c r="D2" s="242"/>
      <c r="E2" s="242"/>
      <c r="F2" s="242"/>
      <c r="G2" s="242"/>
    </row>
    <row r="3" spans="1:7" s="243" customFormat="1" ht="18" customHeight="1" thickBot="1">
      <c r="A3" s="246" t="s">
        <v>85</v>
      </c>
      <c r="B3" s="247">
        <f ca="1">ROUND(B2*10000/'数据-汇总表'!E3,0)</f>
        <v>9126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323" t="s">
        <v>121</v>
      </c>
    </row>
    <row r="43" spans="1:7" ht="13.5" customHeight="1">
      <c r="A43" s="949" t="s">
        <v>792</v>
      </c>
      <c r="B43" s="258" t="s">
        <v>1061</v>
      </c>
      <c r="C43" s="281">
        <f ca="1">ROUND(IF('数据-取费表'!B22&lt;=1,C39*F22*'数据-取费表'!B21/2,C39*(POWER((1+F22),'数据-取费表'!B21/2)-1)),0)</f>
        <v>22</v>
      </c>
      <c r="D43" s="281"/>
      <c r="E43" s="281"/>
      <c r="F43" s="282"/>
      <c r="G43" s="3324"/>
    </row>
    <row r="44" spans="1:7" ht="13.5" customHeight="1">
      <c r="A44" s="949" t="s">
        <v>793</v>
      </c>
      <c r="B44" s="258" t="s">
        <v>1063</v>
      </c>
      <c r="C44" s="281">
        <f ca="1">ROUND(IF('数据-取费表'!B22&lt;=1,C40*F22*'数据-取费表'!B21/2,C40*(POWER((1+F22),'数据-取费表'!B21/2)-1)),4)</f>
        <v>1E-3</v>
      </c>
      <c r="D44" s="281"/>
      <c r="E44" s="281"/>
      <c r="F44" s="282"/>
      <c r="G44" s="3325"/>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0.98199999999999998</v>
      </c>
      <c r="G50" s="290" t="s">
        <v>125</v>
      </c>
    </row>
    <row r="51" spans="1:7" ht="16.5" customHeight="1">
      <c r="A51" s="946" t="s">
        <v>790</v>
      </c>
      <c r="B51" s="253" t="s">
        <v>132</v>
      </c>
      <c r="C51" s="275">
        <f ca="1">ROUND(C49*F50,0)</f>
        <v>30863</v>
      </c>
      <c r="D51" s="275"/>
      <c r="E51" s="275"/>
      <c r="F51" s="307"/>
      <c r="G51" s="277" t="s">
        <v>64</v>
      </c>
    </row>
    <row r="52" spans="1:7" s="251" customFormat="1" ht="16.5" thickBot="1">
      <c r="A52" s="308" t="s">
        <v>65</v>
      </c>
      <c r="B52" s="309"/>
      <c r="C52" s="310">
        <f ca="1">C31+C51</f>
        <v>62358</v>
      </c>
      <c r="D52" s="309"/>
      <c r="E52" s="309"/>
      <c r="F52" s="309"/>
      <c r="G52" s="311"/>
    </row>
    <row r="55" spans="1:7" ht="15">
      <c r="B55" s="313" t="s">
        <v>66</v>
      </c>
      <c r="C55" s="314"/>
    </row>
    <row r="56" spans="1:7">
      <c r="B56" s="316" t="s">
        <v>67</v>
      </c>
      <c r="C56" s="317">
        <f ca="1">ROUND(C51/C52,3)</f>
        <v>0.495</v>
      </c>
    </row>
    <row r="57" spans="1:7">
      <c r="B57" s="316" t="s">
        <v>68</v>
      </c>
      <c r="C57" s="318">
        <f ca="1">1-C56</f>
        <v>0.505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6" t="s">
        <v>156</v>
      </c>
      <c r="B1" s="3466"/>
      <c r="C1" s="3466"/>
      <c r="D1" s="3466"/>
      <c r="E1" s="3466"/>
      <c r="F1" s="346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7" t="s">
        <v>169</v>
      </c>
      <c r="B2" s="3467"/>
      <c r="C2" s="3467"/>
      <c r="D2" s="3467"/>
      <c r="E2" s="3467"/>
      <c r="F2" s="346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6" t="s">
        <v>868</v>
      </c>
      <c r="B1" s="346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topLeftCell="D34" workbookViewId="0">
      <selection activeCell="M53" sqref="M53"/>
    </sheetView>
  </sheetViews>
  <sheetFormatPr defaultRowHeight="13.5"/>
  <cols>
    <col min="1" max="1" width="50.625" customWidth="1"/>
    <col min="2" max="3" width="11.625" customWidth="1"/>
    <col min="4" max="6" width="9" customWidth="1"/>
    <col min="7" max="7" width="9.5" customWidth="1"/>
    <col min="8"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4127</v>
      </c>
      <c r="K1" s="3000" t="s">
        <v>4126</v>
      </c>
    </row>
    <row r="2" spans="1:16">
      <c r="A2" s="2974" t="s">
        <v>3124</v>
      </c>
      <c r="B2" s="2975">
        <v>3</v>
      </c>
      <c r="C2" s="2976">
        <v>1631.58</v>
      </c>
      <c r="D2" s="2976">
        <v>1631.58</v>
      </c>
      <c r="E2" s="2977">
        <v>47.45</v>
      </c>
      <c r="F2" s="2977">
        <v>5</v>
      </c>
      <c r="G2" s="2975" t="s">
        <v>3125</v>
      </c>
      <c r="H2" s="2975">
        <v>2</v>
      </c>
      <c r="I2" s="2977"/>
      <c r="J2" s="3002">
        <v>43085</v>
      </c>
      <c r="K2" s="3001">
        <v>44910</v>
      </c>
      <c r="L2" s="3003">
        <f>(K2-J2)/365</f>
        <v>5</v>
      </c>
      <c r="M2" s="3017">
        <f>E2/30</f>
        <v>1.5816666666666668</v>
      </c>
      <c r="N2" s="2978"/>
      <c r="O2" s="2978"/>
      <c r="P2" s="2978"/>
    </row>
    <row r="3" spans="1:16">
      <c r="A3" s="2976" t="s">
        <v>3126</v>
      </c>
      <c r="B3" s="2975">
        <v>4</v>
      </c>
      <c r="C3" s="2977">
        <v>1593.95</v>
      </c>
      <c r="D3" s="2976">
        <v>1585.8</v>
      </c>
      <c r="E3" s="2977">
        <v>18</v>
      </c>
      <c r="F3" s="2977">
        <v>5</v>
      </c>
      <c r="G3" s="2975" t="s">
        <v>3127</v>
      </c>
      <c r="H3" s="2977">
        <v>4</v>
      </c>
      <c r="I3" s="2977"/>
      <c r="M3" s="3015">
        <f>E3/30</f>
        <v>0.6</v>
      </c>
      <c r="N3" s="2978"/>
      <c r="O3" s="2978"/>
      <c r="P3" s="2978"/>
    </row>
    <row r="4" spans="1:16">
      <c r="A4" s="2974" t="s">
        <v>3128</v>
      </c>
      <c r="B4" s="2977">
        <v>5</v>
      </c>
      <c r="C4" s="2977">
        <v>1596.34</v>
      </c>
      <c r="D4" s="2976">
        <v>1588.17</v>
      </c>
      <c r="E4" s="2977">
        <v>17</v>
      </c>
      <c r="F4" s="2977">
        <v>5</v>
      </c>
      <c r="G4" s="2975" t="s">
        <v>3129</v>
      </c>
      <c r="H4" s="2975">
        <v>3</v>
      </c>
      <c r="I4" s="2977"/>
      <c r="M4" s="2978">
        <f t="shared" ref="M4:M11" si="0">E4/30</f>
        <v>0.56666666666666665</v>
      </c>
      <c r="N4" s="2978"/>
      <c r="O4" s="2978"/>
      <c r="P4" s="2978"/>
    </row>
    <row r="5" spans="1:16">
      <c r="A5" s="2974" t="s">
        <v>3130</v>
      </c>
      <c r="B5" s="2977">
        <v>3</v>
      </c>
      <c r="C5" s="2977">
        <v>1605.78</v>
      </c>
      <c r="D5" s="2977">
        <v>1528.01</v>
      </c>
      <c r="E5" s="2977">
        <v>21</v>
      </c>
      <c r="F5" s="2977">
        <v>5</v>
      </c>
      <c r="G5" s="2975" t="s">
        <v>3131</v>
      </c>
      <c r="H5" s="2975">
        <v>2</v>
      </c>
      <c r="I5" s="2977"/>
      <c r="M5" s="2978">
        <f t="shared" si="0"/>
        <v>0.7</v>
      </c>
      <c r="N5" s="2978"/>
      <c r="O5" s="2978"/>
      <c r="P5" s="2978"/>
    </row>
    <row r="6" spans="1:16">
      <c r="A6" s="2976" t="s">
        <v>3132</v>
      </c>
      <c r="B6" s="2977">
        <v>4</v>
      </c>
      <c r="C6" s="2977">
        <v>2592.6999999999998</v>
      </c>
      <c r="D6" s="2976">
        <v>2592.6999999999998</v>
      </c>
      <c r="E6" s="2977">
        <v>15</v>
      </c>
      <c r="F6" s="2977">
        <v>5</v>
      </c>
      <c r="G6" s="2975" t="s">
        <v>3133</v>
      </c>
      <c r="H6" s="2975">
        <v>2</v>
      </c>
      <c r="I6" s="2977"/>
      <c r="M6" s="2978">
        <f t="shared" si="0"/>
        <v>0.5</v>
      </c>
      <c r="N6" s="2978"/>
      <c r="O6" s="2978"/>
      <c r="P6" s="2978"/>
    </row>
    <row r="7" spans="1:16">
      <c r="A7" s="2974" t="s">
        <v>3134</v>
      </c>
      <c r="B7" s="2977">
        <v>3</v>
      </c>
      <c r="C7" s="2977">
        <v>1480.57</v>
      </c>
      <c r="D7" s="2976">
        <v>1332.68</v>
      </c>
      <c r="E7" s="2977">
        <v>20.3</v>
      </c>
      <c r="F7" s="2977">
        <v>5</v>
      </c>
      <c r="G7" s="2975" t="s">
        <v>3131</v>
      </c>
      <c r="H7" s="2975">
        <v>2</v>
      </c>
      <c r="I7" s="2977"/>
      <c r="M7" s="2978">
        <f t="shared" si="0"/>
        <v>0.67666666666666664</v>
      </c>
      <c r="N7" s="2978"/>
      <c r="O7" s="2978"/>
      <c r="P7" s="2978"/>
    </row>
    <row r="8" spans="1:16">
      <c r="A8" s="2974" t="s">
        <v>3135</v>
      </c>
      <c r="B8" s="2975">
        <v>4</v>
      </c>
      <c r="C8" s="2977"/>
      <c r="D8" s="2977">
        <v>1174.06</v>
      </c>
      <c r="E8" s="2977"/>
      <c r="F8" s="2977"/>
      <c r="G8" s="2975"/>
      <c r="H8" s="2975"/>
      <c r="I8" s="2977"/>
      <c r="M8" s="3016"/>
      <c r="N8" s="2978"/>
      <c r="O8" s="2978"/>
      <c r="P8" s="2978"/>
    </row>
    <row r="9" spans="1:16">
      <c r="A9" s="2974" t="s">
        <v>3136</v>
      </c>
      <c r="B9" s="2975">
        <v>5</v>
      </c>
      <c r="C9" s="2977">
        <v>2265.36</v>
      </c>
      <c r="D9" s="2977">
        <v>1091.3</v>
      </c>
      <c r="E9" s="2977">
        <v>20</v>
      </c>
      <c r="F9" s="2977">
        <v>10</v>
      </c>
      <c r="G9" s="2975" t="s">
        <v>3137</v>
      </c>
      <c r="H9" s="2975">
        <v>1</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c r="I10" s="2977"/>
      <c r="M10" s="2978">
        <f t="shared" si="0"/>
        <v>0.7</v>
      </c>
    </row>
    <row r="11" spans="1:16">
      <c r="A11" s="2974" t="s">
        <v>3139</v>
      </c>
      <c r="B11" s="2977">
        <v>4</v>
      </c>
      <c r="C11" s="3470">
        <v>2265.36</v>
      </c>
      <c r="D11" s="2976">
        <v>1708</v>
      </c>
      <c r="E11" s="2977">
        <v>13</v>
      </c>
      <c r="F11" s="2977">
        <v>8</v>
      </c>
      <c r="G11" s="2975" t="s">
        <v>3140</v>
      </c>
      <c r="H11" s="2975">
        <v>2</v>
      </c>
      <c r="I11" s="2977"/>
      <c r="M11" s="2978">
        <f t="shared" si="0"/>
        <v>0.43333333333333335</v>
      </c>
    </row>
    <row r="12" spans="1:16">
      <c r="A12" s="2974" t="s">
        <v>3141</v>
      </c>
      <c r="B12" s="2977">
        <v>5</v>
      </c>
      <c r="C12" s="3471"/>
      <c r="D12" s="2976">
        <v>1361.36</v>
      </c>
      <c r="E12" s="2977">
        <v>13</v>
      </c>
      <c r="F12" s="2977">
        <v>8</v>
      </c>
      <c r="G12" s="2975" t="s">
        <v>3142</v>
      </c>
      <c r="H12" s="2977"/>
      <c r="I12" s="2975" t="s">
        <v>3143</v>
      </c>
      <c r="M12" s="2978">
        <f>E12/30</f>
        <v>0.43333333333333335</v>
      </c>
    </row>
    <row r="13" spans="1:16">
      <c r="A13" s="2974" t="s">
        <v>3144</v>
      </c>
      <c r="B13" s="2977">
        <v>3</v>
      </c>
      <c r="C13" s="2977">
        <v>2665.51</v>
      </c>
      <c r="D13" s="2977">
        <v>2648.79</v>
      </c>
      <c r="E13" s="2977">
        <v>20</v>
      </c>
      <c r="F13" s="2977">
        <v>5</v>
      </c>
      <c r="G13" s="2975" t="s">
        <v>3142</v>
      </c>
      <c r="H13" s="2977">
        <v>2</v>
      </c>
      <c r="I13" s="2977"/>
      <c r="M13" s="2978">
        <f>E13/30</f>
        <v>0.66666666666666663</v>
      </c>
    </row>
    <row r="14" spans="1:16">
      <c r="A14" s="2976" t="s">
        <v>3145</v>
      </c>
      <c r="B14" s="2977">
        <v>3</v>
      </c>
      <c r="C14" s="2977">
        <v>720.27</v>
      </c>
      <c r="D14" s="2976">
        <v>720.27</v>
      </c>
      <c r="E14" s="2977">
        <v>35.200000000000003</v>
      </c>
      <c r="F14" s="2977">
        <v>5</v>
      </c>
      <c r="G14" s="2975" t="s">
        <v>3125</v>
      </c>
      <c r="H14" s="2977">
        <v>2</v>
      </c>
      <c r="I14" s="2977"/>
      <c r="M14" s="2978">
        <f>E14/30</f>
        <v>1.1733333333333333</v>
      </c>
    </row>
    <row r="15" spans="1:16">
      <c r="D15">
        <f>D2+D3+D4+D5+D6+D7+D8+D9+D10+D11+D12+D13+D14</f>
        <v>20849.03</v>
      </c>
    </row>
    <row r="26" spans="1:16">
      <c r="C26">
        <v>0.6</v>
      </c>
      <c r="P26">
        <v>10.1</v>
      </c>
    </row>
    <row r="27" spans="1:16" s="2978" customFormat="1">
      <c r="A27" s="3002"/>
      <c r="B27" s="3001">
        <v>43391</v>
      </c>
      <c r="C27" s="3001">
        <v>43465</v>
      </c>
      <c r="D27" s="2987" t="s">
        <v>4112</v>
      </c>
      <c r="E27" s="2988" t="s">
        <v>4113</v>
      </c>
      <c r="F27" s="2988" t="s">
        <v>4114</v>
      </c>
      <c r="G27" s="2988" t="s">
        <v>4115</v>
      </c>
      <c r="H27" s="2988" t="s">
        <v>4116</v>
      </c>
      <c r="I27" s="2988" t="s">
        <v>4117</v>
      </c>
      <c r="J27" s="2987" t="s">
        <v>4118</v>
      </c>
      <c r="K27" s="2987" t="s">
        <v>4119</v>
      </c>
      <c r="L27" s="2987" t="s">
        <v>4120</v>
      </c>
      <c r="M27" s="2987" t="s">
        <v>4121</v>
      </c>
      <c r="O27" s="2997" t="s">
        <v>4132</v>
      </c>
    </row>
    <row r="28" spans="1:16" s="2978" customFormat="1">
      <c r="A28" s="2989" t="s">
        <v>4122</v>
      </c>
      <c r="C28" s="3014">
        <f>ROUND(195000/6.5*2.5,0)</f>
        <v>75000</v>
      </c>
      <c r="G28" s="2985">
        <f>2095550-175500-(195000-135000)+(262500/6*0.5)</f>
        <v>1881925</v>
      </c>
      <c r="H28" s="2978">
        <f>262500*2</f>
        <v>525000</v>
      </c>
      <c r="I28" s="2978">
        <v>525000</v>
      </c>
      <c r="J28" s="2978">
        <v>525000</v>
      </c>
      <c r="K28" s="2978">
        <v>525000</v>
      </c>
      <c r="L28" s="2978">
        <v>525000</v>
      </c>
      <c r="M28" s="2978">
        <v>525000</v>
      </c>
      <c r="N28" s="2978">
        <f>C28+G28+H28+I28+J28+K28+L28+M28</f>
        <v>5106925</v>
      </c>
      <c r="O28" s="2976">
        <v>1631.58</v>
      </c>
      <c r="P28" s="3017">
        <f>N28/$P$26/O28/365</f>
        <v>0.84905704246990343</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4093</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4094</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4095</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4096</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4097</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4098</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3145</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0.51</v>
      </c>
    </row>
    <row r="40" spans="1:17">
      <c r="A40" s="2978"/>
      <c r="B40" s="2978"/>
      <c r="C40" s="2978"/>
      <c r="D40" s="2978"/>
      <c r="E40" s="2978"/>
      <c r="F40" s="2978"/>
      <c r="G40" s="2978"/>
      <c r="H40" s="2978"/>
      <c r="I40" s="2978"/>
      <c r="J40" s="2978"/>
      <c r="K40" s="2978"/>
      <c r="L40" s="2978"/>
      <c r="M40" s="2987" t="s">
        <v>4099</v>
      </c>
      <c r="N40" s="2978">
        <f>SUM(N28:N38)</f>
        <v>38949941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4100</v>
      </c>
      <c r="C44" s="2987" t="s">
        <v>4101</v>
      </c>
      <c r="D44" s="2987" t="s">
        <v>4102</v>
      </c>
      <c r="E44" s="2987" t="s">
        <v>4103</v>
      </c>
      <c r="F44" s="2978"/>
      <c r="G44" s="2997" t="s">
        <v>4135</v>
      </c>
      <c r="H44" s="2978"/>
      <c r="I44" s="2987" t="s">
        <v>4140</v>
      </c>
      <c r="J44" s="2997" t="s">
        <v>4136</v>
      </c>
      <c r="K44" s="2997" t="s">
        <v>4137</v>
      </c>
      <c r="L44" s="2997" t="s">
        <v>4138</v>
      </c>
      <c r="M44" s="2978"/>
      <c r="N44" s="2978"/>
      <c r="O44" s="2978"/>
      <c r="P44" s="2978"/>
      <c r="Q44" s="2978"/>
    </row>
    <row r="45" spans="1:17">
      <c r="A45" s="2987"/>
      <c r="B45" s="2987" t="s">
        <v>4104</v>
      </c>
      <c r="C45" s="2978">
        <v>6973.34</v>
      </c>
      <c r="D45" s="2978">
        <f t="shared" ref="D45:E49" si="5">D55</f>
        <v>6</v>
      </c>
      <c r="E45" s="2978">
        <f t="shared" si="5"/>
        <v>1.5</v>
      </c>
      <c r="F45" s="2978"/>
      <c r="G45" s="2978">
        <f>C45*D45</f>
        <v>41840.04</v>
      </c>
      <c r="H45" s="2978"/>
      <c r="I45">
        <f ca="1">ROUND($I$47*E45,0)</f>
        <v>19113</v>
      </c>
      <c r="J45" s="2978">
        <f ca="1">结果表!G19</f>
        <v>80630</v>
      </c>
      <c r="K45" s="2978">
        <f ca="1">'收益法 (2)'!B2</f>
        <v>19248</v>
      </c>
      <c r="L45" s="2978">
        <f ca="1">收益法!B2</f>
        <v>82217</v>
      </c>
      <c r="M45" s="2978">
        <f ca="1">K45+L45</f>
        <v>101465</v>
      </c>
      <c r="N45" s="2978"/>
      <c r="O45" s="2978"/>
      <c r="P45" s="2978"/>
      <c r="Q45" s="2978"/>
    </row>
    <row r="46" spans="1:17">
      <c r="A46" s="2978">
        <v>16</v>
      </c>
      <c r="B46" s="2987" t="s">
        <v>4105</v>
      </c>
      <c r="C46" s="2978">
        <v>12616.62</v>
      </c>
      <c r="D46" s="2978">
        <f t="shared" si="5"/>
        <v>4.4000000000000004</v>
      </c>
      <c r="E46" s="2978">
        <f t="shared" si="5"/>
        <v>1.1000000000000001</v>
      </c>
      <c r="F46" s="2978"/>
      <c r="G46" s="2978">
        <f>C46*D46</f>
        <v>55513.128000000012</v>
      </c>
      <c r="H46" s="2978"/>
      <c r="I46">
        <f ca="1">ROUND($I$47*E46,0)</f>
        <v>14016</v>
      </c>
      <c r="J46" s="2987" t="s">
        <v>4139</v>
      </c>
      <c r="K46" s="2978">
        <f ca="1">ROUND(K45/$M$45*$J$45,0)</f>
        <v>15296</v>
      </c>
      <c r="L46" s="2978">
        <f ca="1">J45-K46</f>
        <v>65334</v>
      </c>
      <c r="M46" s="2978"/>
      <c r="N46" s="2978"/>
      <c r="O46" s="2978"/>
      <c r="P46" s="2978"/>
      <c r="Q46" s="2978"/>
    </row>
    <row r="47" spans="1:17">
      <c r="A47" s="2978"/>
      <c r="B47" s="2987" t="s">
        <v>4106</v>
      </c>
      <c r="C47" s="2978">
        <v>12369.81</v>
      </c>
      <c r="D47" s="2978">
        <f t="shared" si="5"/>
        <v>4</v>
      </c>
      <c r="E47" s="2978">
        <f t="shared" si="5"/>
        <v>1</v>
      </c>
      <c r="F47" s="2978"/>
      <c r="G47" s="2978">
        <f>C47*D47</f>
        <v>49479.24</v>
      </c>
      <c r="H47" s="2978"/>
      <c r="I47" s="2978">
        <f ca="1">ROUND(L46/(E45*C45+E46*C46+E47*C47+E48*C48+E49*C49)*10000,0)</f>
        <v>12742</v>
      </c>
      <c r="J47" s="2978"/>
      <c r="K47" s="2978">
        <f ca="1">ROUND(K46/K43*10000,0)</f>
        <v>7337</v>
      </c>
      <c r="L47" s="2978">
        <f ca="1">ROUND(L46/L43*10000,0)</f>
        <v>13761</v>
      </c>
      <c r="M47" s="2978"/>
      <c r="N47" s="2978"/>
      <c r="O47" s="2978"/>
      <c r="P47" s="2978"/>
      <c r="Q47" s="2978"/>
    </row>
    <row r="48" spans="1:17">
      <c r="A48" s="2978"/>
      <c r="B48" s="2987" t="s">
        <v>4107</v>
      </c>
      <c r="C48" s="2978">
        <v>11977.89</v>
      </c>
      <c r="D48" s="2978">
        <f t="shared" si="5"/>
        <v>3.8</v>
      </c>
      <c r="E48" s="2978">
        <f t="shared" si="5"/>
        <v>0.95</v>
      </c>
      <c r="F48" s="2978"/>
      <c r="G48" s="2978">
        <f>C48*D48</f>
        <v>45515.981999999996</v>
      </c>
      <c r="H48" s="2978"/>
      <c r="I48">
        <f ca="1">ROUND($I$47*E48,0)</f>
        <v>12105</v>
      </c>
      <c r="J48" s="2978"/>
      <c r="K48" s="2978"/>
      <c r="L48" s="2978"/>
      <c r="M48" s="2978"/>
      <c r="N48" s="2978"/>
      <c r="O48" s="2978"/>
      <c r="P48" s="2978"/>
      <c r="Q48" s="2978"/>
    </row>
    <row r="49" spans="1:17">
      <c r="A49" s="2978"/>
      <c r="B49" s="2987" t="s">
        <v>4108</v>
      </c>
      <c r="C49" s="2978">
        <v>3541.16</v>
      </c>
      <c r="D49" s="2978">
        <f t="shared" si="5"/>
        <v>3.6</v>
      </c>
      <c r="E49" s="2978">
        <f t="shared" si="5"/>
        <v>0.9</v>
      </c>
      <c r="F49" s="2978"/>
      <c r="G49" s="2978">
        <f>C49*D49</f>
        <v>12748.175999999999</v>
      </c>
      <c r="H49" s="2978"/>
      <c r="I49" s="2978"/>
      <c r="J49" s="2978"/>
      <c r="K49" s="2978"/>
      <c r="L49" s="2978"/>
      <c r="M49" s="2978"/>
      <c r="N49" s="2978"/>
      <c r="O49" s="2978"/>
      <c r="P49" s="2978"/>
      <c r="Q49" s="2978"/>
    </row>
    <row r="50" spans="1:17">
      <c r="A50" s="2978"/>
      <c r="B50" s="2997" t="s">
        <v>4109</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4110</v>
      </c>
      <c r="C54" s="2987" t="s">
        <v>4101</v>
      </c>
      <c r="D54" s="2987" t="s">
        <v>4102</v>
      </c>
      <c r="E54" s="2987" t="s">
        <v>4103</v>
      </c>
      <c r="F54" s="2978"/>
      <c r="G54" s="2997" t="s">
        <v>4135</v>
      </c>
      <c r="H54" s="2978"/>
      <c r="I54" s="2997" t="s">
        <v>4140</v>
      </c>
      <c r="J54" s="2978"/>
      <c r="K54" s="2978"/>
      <c r="L54" s="2978"/>
      <c r="M54" s="2978"/>
      <c r="N54" s="2978"/>
      <c r="O54" s="2978"/>
      <c r="P54" s="2978"/>
      <c r="Q54" s="2978"/>
    </row>
    <row r="55" spans="1:17">
      <c r="A55" s="2978"/>
      <c r="B55" s="2987" t="s">
        <v>4104</v>
      </c>
      <c r="C55" s="2978"/>
      <c r="D55" s="2978">
        <f>D57*E55</f>
        <v>6</v>
      </c>
      <c r="E55" s="2978">
        <v>1.5</v>
      </c>
      <c r="F55" s="2978"/>
      <c r="G55" s="2978"/>
      <c r="H55" s="2978"/>
      <c r="I55" s="2978"/>
      <c r="J55" s="2978"/>
      <c r="K55" s="2978"/>
      <c r="L55" s="2978"/>
      <c r="M55" s="2978"/>
      <c r="N55" s="2978"/>
      <c r="O55" s="2978"/>
      <c r="P55" s="2978"/>
      <c r="Q55" s="2978"/>
    </row>
    <row r="56" spans="1:17">
      <c r="A56" s="2987" t="s">
        <v>4111</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7638</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7256</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4109</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opLeftCell="A441" workbookViewId="0">
      <selection activeCell="G6" sqref="G6:G477"/>
    </sheetView>
  </sheetViews>
  <sheetFormatPr defaultRowHeight="13.5"/>
  <cols>
    <col min="1" max="1" width="33.5" style="2986" customWidth="1"/>
    <col min="2" max="2" width="15.375" style="2986" customWidth="1"/>
    <col min="3" max="3" width="38.875" style="2986" customWidth="1"/>
    <col min="4" max="4" width="9" style="2978"/>
    <col min="5" max="5" width="9" style="3024"/>
    <col min="6" max="16384" width="9" style="2978"/>
  </cols>
  <sheetData>
    <row r="4" spans="1:13">
      <c r="A4" s="2978"/>
      <c r="B4" s="2978"/>
      <c r="C4" s="2978"/>
    </row>
    <row r="5" spans="1:13">
      <c r="A5" s="2979" t="s">
        <v>3146</v>
      </c>
      <c r="B5" s="2979" t="s">
        <v>3147</v>
      </c>
      <c r="C5" s="2979" t="s">
        <v>3148</v>
      </c>
      <c r="D5" s="2973"/>
      <c r="E5" s="3025"/>
      <c r="F5" s="2980"/>
      <c r="G5" s="3022" t="s">
        <v>4133</v>
      </c>
      <c r="H5" s="2972" t="s">
        <v>4134</v>
      </c>
      <c r="I5" s="2973"/>
      <c r="J5" s="2987" t="s">
        <v>4142</v>
      </c>
      <c r="K5" s="2988" t="s">
        <v>4143</v>
      </c>
    </row>
    <row r="6" spans="1:13" s="2982" customFormat="1">
      <c r="A6" s="2976" t="s">
        <v>3149</v>
      </c>
      <c r="B6" s="2981">
        <v>1631.58</v>
      </c>
      <c r="C6" s="2976" t="s">
        <v>3150</v>
      </c>
      <c r="D6" s="3030">
        <v>1631.58</v>
      </c>
      <c r="E6" s="2974">
        <v>3</v>
      </c>
      <c r="F6" s="2977"/>
      <c r="G6" s="2975">
        <v>7638</v>
      </c>
      <c r="H6" s="2977">
        <v>1246</v>
      </c>
      <c r="I6" s="2977"/>
      <c r="J6" s="2978">
        <f>SUM(H6:H7)+SUM(H9:H47)+SUM(H49:H82)+H114</f>
        <v>12518</v>
      </c>
      <c r="K6" s="2978">
        <f>SUM(B6:B7)+SUM(B9:B47)+SUM(B49:B82)+B114</f>
        <v>16808.2</v>
      </c>
      <c r="L6" s="2978"/>
      <c r="M6" s="2978"/>
    </row>
    <row r="7" spans="1:13" s="2982" customFormat="1">
      <c r="A7" s="2976" t="s">
        <v>3151</v>
      </c>
      <c r="B7" s="2976">
        <v>1585.8</v>
      </c>
      <c r="C7" s="2976" t="s">
        <v>3152</v>
      </c>
      <c r="D7" s="3031">
        <v>1585.8</v>
      </c>
      <c r="E7" s="3026">
        <v>4</v>
      </c>
      <c r="F7" s="2976"/>
      <c r="G7" s="2975">
        <v>7256</v>
      </c>
      <c r="H7" s="2977">
        <v>1151</v>
      </c>
      <c r="I7" s="2977"/>
      <c r="J7" s="2978">
        <f ca="1">租约!K46-房产明细!J6</f>
        <v>2778</v>
      </c>
      <c r="K7" s="2978">
        <f>租约!C59</f>
        <v>4040.8300000000004</v>
      </c>
      <c r="L7" s="2978"/>
      <c r="M7" s="2978"/>
    </row>
    <row r="8" spans="1:13" s="2982" customFormat="1">
      <c r="A8" s="2976" t="s">
        <v>3153</v>
      </c>
      <c r="B8" s="2976">
        <v>1588.17</v>
      </c>
      <c r="C8" s="2976" t="s">
        <v>3154</v>
      </c>
      <c r="D8" s="3031">
        <v>1588.17</v>
      </c>
      <c r="E8" s="3022">
        <v>5</v>
      </c>
      <c r="F8" s="2977"/>
      <c r="G8" s="2975">
        <v>6876</v>
      </c>
      <c r="H8" s="2977">
        <v>1092</v>
      </c>
      <c r="I8" s="2977"/>
      <c r="J8" s="2978"/>
      <c r="K8" s="2978"/>
      <c r="L8" s="2978"/>
      <c r="M8" s="2978"/>
    </row>
    <row r="9" spans="1:13" s="2982" customFormat="1">
      <c r="A9" s="2976" t="s">
        <v>3155</v>
      </c>
      <c r="B9" s="2976">
        <v>1333.62</v>
      </c>
      <c r="C9" s="2976" t="s">
        <v>3156</v>
      </c>
      <c r="D9" s="3031">
        <v>1333.62</v>
      </c>
      <c r="E9" s="2974">
        <v>3</v>
      </c>
      <c r="F9" s="2977"/>
      <c r="G9" s="2975">
        <v>7638</v>
      </c>
      <c r="H9" s="2977">
        <v>1019</v>
      </c>
      <c r="I9" s="2977"/>
      <c r="J9" s="2978"/>
      <c r="K9" s="2978"/>
      <c r="L9" s="2978"/>
      <c r="M9" s="2978"/>
    </row>
    <row r="10" spans="1:13" s="2982" customFormat="1">
      <c r="A10" s="2976" t="s">
        <v>3157</v>
      </c>
      <c r="B10" s="2976">
        <v>1315.17</v>
      </c>
      <c r="C10" s="2976" t="s">
        <v>3158</v>
      </c>
      <c r="D10" s="3031">
        <v>1315.17</v>
      </c>
      <c r="E10" s="3026">
        <v>4</v>
      </c>
      <c r="F10" s="2976"/>
      <c r="G10" s="2975">
        <v>7256</v>
      </c>
      <c r="H10" s="2977">
        <v>954</v>
      </c>
      <c r="I10" s="2977"/>
      <c r="J10" s="2978"/>
      <c r="K10" s="2978"/>
      <c r="L10" s="2978"/>
      <c r="M10" s="2978"/>
    </row>
    <row r="11" spans="1:13" s="2982" customFormat="1">
      <c r="A11" s="2976" t="s">
        <v>3159</v>
      </c>
      <c r="B11" s="2976">
        <v>26.43</v>
      </c>
      <c r="C11" s="2976" t="s">
        <v>3160</v>
      </c>
      <c r="D11" s="3032"/>
      <c r="E11" s="3027">
        <v>3</v>
      </c>
      <c r="F11" s="2977"/>
      <c r="G11" s="2975">
        <v>7638</v>
      </c>
      <c r="H11" s="2977">
        <v>20</v>
      </c>
      <c r="I11" s="2977"/>
      <c r="J11" s="2978"/>
      <c r="K11" s="2978"/>
      <c r="L11" s="2978"/>
      <c r="M11" s="2978"/>
    </row>
    <row r="12" spans="1:13">
      <c r="A12" s="2979" t="s">
        <v>3161</v>
      </c>
      <c r="B12" s="2979">
        <v>37.799999999999997</v>
      </c>
      <c r="C12" s="2979" t="s">
        <v>3162</v>
      </c>
      <c r="D12" s="3032"/>
      <c r="E12" s="3028">
        <v>3</v>
      </c>
      <c r="F12" s="2973"/>
      <c r="G12" s="2975">
        <v>7638</v>
      </c>
      <c r="H12" s="2977">
        <v>29</v>
      </c>
      <c r="I12" s="2973"/>
    </row>
    <row r="13" spans="1:13">
      <c r="A13" s="2979" t="s">
        <v>3163</v>
      </c>
      <c r="B13" s="2979">
        <v>64.959999999999994</v>
      </c>
      <c r="C13" s="2979" t="s">
        <v>3164</v>
      </c>
      <c r="D13" s="3032"/>
      <c r="E13" s="3028">
        <v>3</v>
      </c>
      <c r="F13" s="2973"/>
      <c r="G13" s="2975">
        <v>7638</v>
      </c>
      <c r="H13" s="2977">
        <v>50</v>
      </c>
      <c r="I13" s="2973"/>
    </row>
    <row r="14" spans="1:13">
      <c r="A14" s="2979" t="s">
        <v>3165</v>
      </c>
      <c r="B14" s="2979">
        <v>27.01</v>
      </c>
      <c r="C14" s="2979" t="s">
        <v>3166</v>
      </c>
      <c r="D14" s="3032"/>
      <c r="E14" s="3028">
        <v>3</v>
      </c>
      <c r="F14" s="2973"/>
      <c r="G14" s="2975">
        <v>7638</v>
      </c>
      <c r="H14" s="2977">
        <v>21</v>
      </c>
      <c r="I14" s="2973"/>
    </row>
    <row r="15" spans="1:13">
      <c r="A15" s="2979" t="s">
        <v>3167</v>
      </c>
      <c r="B15" s="2979">
        <v>28.81</v>
      </c>
      <c r="C15" s="2979" t="s">
        <v>3168</v>
      </c>
      <c r="D15" s="3032"/>
      <c r="E15" s="3028">
        <v>3</v>
      </c>
      <c r="F15" s="2973"/>
      <c r="G15" s="2975">
        <v>7638</v>
      </c>
      <c r="H15" s="2977">
        <v>22</v>
      </c>
      <c r="I15" s="2973"/>
    </row>
    <row r="16" spans="1:13">
      <c r="A16" s="2979" t="s">
        <v>3169</v>
      </c>
      <c r="B16" s="2979">
        <v>50.99</v>
      </c>
      <c r="C16" s="2979" t="s">
        <v>3170</v>
      </c>
      <c r="D16" s="3032"/>
      <c r="E16" s="3028">
        <v>3</v>
      </c>
      <c r="F16" s="2973"/>
      <c r="G16" s="2975">
        <v>7638</v>
      </c>
      <c r="H16" s="2977">
        <v>39</v>
      </c>
      <c r="I16" s="2973"/>
    </row>
    <row r="17" spans="1:9">
      <c r="A17" s="2979" t="s">
        <v>3171</v>
      </c>
      <c r="B17" s="2979">
        <v>60.18</v>
      </c>
      <c r="C17" s="2979" t="s">
        <v>3172</v>
      </c>
      <c r="D17" s="3032"/>
      <c r="E17" s="3028">
        <v>3</v>
      </c>
      <c r="F17" s="2973"/>
      <c r="G17" s="2975">
        <v>7638</v>
      </c>
      <c r="H17" s="2977">
        <v>46</v>
      </c>
      <c r="I17" s="2973"/>
    </row>
    <row r="18" spans="1:9">
      <c r="A18" s="2979" t="s">
        <v>3173</v>
      </c>
      <c r="B18" s="2979">
        <v>22.6</v>
      </c>
      <c r="C18" s="2979" t="s">
        <v>3174</v>
      </c>
      <c r="D18" s="3032"/>
      <c r="E18" s="3028">
        <v>3</v>
      </c>
      <c r="F18" s="2973"/>
      <c r="G18" s="2975">
        <v>7638</v>
      </c>
      <c r="H18" s="2977">
        <v>17</v>
      </c>
      <c r="I18" s="2973"/>
    </row>
    <row r="19" spans="1:9">
      <c r="A19" s="2979" t="s">
        <v>3175</v>
      </c>
      <c r="B19" s="2979">
        <v>28.01</v>
      </c>
      <c r="C19" s="2979" t="s">
        <v>3176</v>
      </c>
      <c r="D19" s="3032"/>
      <c r="E19" s="3028">
        <v>3</v>
      </c>
      <c r="F19" s="2973"/>
      <c r="G19" s="2975">
        <v>7638</v>
      </c>
      <c r="H19" s="2977">
        <v>21</v>
      </c>
      <c r="I19" s="2973"/>
    </row>
    <row r="20" spans="1:9">
      <c r="A20" s="2979" t="s">
        <v>3177</v>
      </c>
      <c r="B20" s="2979">
        <v>48.52</v>
      </c>
      <c r="C20" s="2979" t="s">
        <v>3178</v>
      </c>
      <c r="D20" s="3032"/>
      <c r="E20" s="3028">
        <v>3</v>
      </c>
      <c r="F20" s="2973"/>
      <c r="G20" s="2975">
        <v>7638</v>
      </c>
      <c r="H20" s="2977">
        <v>37</v>
      </c>
      <c r="I20" s="2973"/>
    </row>
    <row r="21" spans="1:9">
      <c r="A21" s="2979" t="s">
        <v>3179</v>
      </c>
      <c r="B21" s="2979">
        <v>34.21</v>
      </c>
      <c r="C21" s="2979" t="s">
        <v>3180</v>
      </c>
      <c r="D21" s="3032"/>
      <c r="E21" s="3028">
        <v>3</v>
      </c>
      <c r="F21" s="2973"/>
      <c r="G21" s="2975">
        <v>7638</v>
      </c>
      <c r="H21" s="2977">
        <v>26</v>
      </c>
      <c r="I21" s="2973"/>
    </row>
    <row r="22" spans="1:9">
      <c r="A22" s="2979" t="s">
        <v>3181</v>
      </c>
      <c r="B22" s="2979">
        <v>42.45</v>
      </c>
      <c r="C22" s="2979" t="s">
        <v>3182</v>
      </c>
      <c r="D22" s="3032"/>
      <c r="E22" s="3028">
        <f t="shared" ref="E22:E40" si="0">E23</f>
        <v>3</v>
      </c>
      <c r="F22" s="2973"/>
      <c r="G22" s="2975">
        <v>7638</v>
      </c>
      <c r="H22" s="2977">
        <v>32</v>
      </c>
      <c r="I22" s="2973"/>
    </row>
    <row r="23" spans="1:9">
      <c r="A23" s="2979" t="s">
        <v>3183</v>
      </c>
      <c r="B23" s="2979">
        <v>42.45</v>
      </c>
      <c r="C23" s="2979" t="s">
        <v>3184</v>
      </c>
      <c r="D23" s="3032"/>
      <c r="E23" s="3028">
        <f t="shared" si="0"/>
        <v>3</v>
      </c>
      <c r="F23" s="2973"/>
      <c r="G23" s="2975">
        <v>7638</v>
      </c>
      <c r="H23" s="2977">
        <v>32</v>
      </c>
      <c r="I23" s="2973"/>
    </row>
    <row r="24" spans="1:9">
      <c r="A24" s="2979" t="s">
        <v>3185</v>
      </c>
      <c r="B24" s="2979">
        <v>42.45</v>
      </c>
      <c r="C24" s="2979" t="s">
        <v>3186</v>
      </c>
      <c r="D24" s="3032"/>
      <c r="E24" s="3028">
        <f t="shared" si="0"/>
        <v>3</v>
      </c>
      <c r="F24" s="2973"/>
      <c r="G24" s="2975">
        <v>7638</v>
      </c>
      <c r="H24" s="2977">
        <v>32</v>
      </c>
      <c r="I24" s="2973"/>
    </row>
    <row r="25" spans="1:9">
      <c r="A25" s="2979" t="s">
        <v>3187</v>
      </c>
      <c r="B25" s="2979">
        <v>41.81</v>
      </c>
      <c r="C25" s="2979" t="s">
        <v>3188</v>
      </c>
      <c r="D25" s="3032"/>
      <c r="E25" s="3028">
        <f t="shared" si="0"/>
        <v>3</v>
      </c>
      <c r="F25" s="2973"/>
      <c r="G25" s="2975">
        <v>7638</v>
      </c>
      <c r="H25" s="2977">
        <v>32</v>
      </c>
      <c r="I25" s="2973"/>
    </row>
    <row r="26" spans="1:9">
      <c r="A26" s="2979" t="s">
        <v>3189</v>
      </c>
      <c r="B26" s="2979">
        <v>25.88</v>
      </c>
      <c r="C26" s="2979" t="s">
        <v>3190</v>
      </c>
      <c r="D26" s="3032"/>
      <c r="E26" s="3028">
        <f t="shared" si="0"/>
        <v>3</v>
      </c>
      <c r="F26" s="2973"/>
      <c r="G26" s="2975">
        <v>7638</v>
      </c>
      <c r="H26" s="2977">
        <v>20</v>
      </c>
      <c r="I26" s="2973"/>
    </row>
    <row r="27" spans="1:9">
      <c r="A27" s="2979" t="s">
        <v>3191</v>
      </c>
      <c r="B27" s="2979">
        <v>39.04</v>
      </c>
      <c r="C27" s="2979" t="s">
        <v>3192</v>
      </c>
      <c r="D27" s="3032"/>
      <c r="E27" s="3028">
        <f t="shared" si="0"/>
        <v>3</v>
      </c>
      <c r="F27" s="2973"/>
      <c r="G27" s="2975">
        <v>7638</v>
      </c>
      <c r="H27" s="2977">
        <v>30</v>
      </c>
      <c r="I27" s="2973"/>
    </row>
    <row r="28" spans="1:9">
      <c r="A28" s="2979" t="s">
        <v>3193</v>
      </c>
      <c r="B28" s="2979">
        <v>77.22</v>
      </c>
      <c r="C28" s="2979" t="s">
        <v>3194</v>
      </c>
      <c r="D28" s="3032"/>
      <c r="E28" s="3028">
        <f t="shared" si="0"/>
        <v>3</v>
      </c>
      <c r="F28" s="2973"/>
      <c r="G28" s="2975">
        <v>7638</v>
      </c>
      <c r="H28" s="2977">
        <v>59</v>
      </c>
      <c r="I28" s="2973"/>
    </row>
    <row r="29" spans="1:9">
      <c r="A29" s="2979" t="s">
        <v>3195</v>
      </c>
      <c r="B29" s="2979">
        <v>70.98</v>
      </c>
      <c r="C29" s="2979" t="s">
        <v>3196</v>
      </c>
      <c r="D29" s="3032"/>
      <c r="E29" s="3028">
        <f t="shared" si="0"/>
        <v>3</v>
      </c>
      <c r="F29" s="2973"/>
      <c r="G29" s="2975">
        <v>7638</v>
      </c>
      <c r="H29" s="2977">
        <v>54</v>
      </c>
      <c r="I29" s="2973"/>
    </row>
    <row r="30" spans="1:9">
      <c r="A30" s="2979" t="s">
        <v>3197</v>
      </c>
      <c r="B30" s="2979">
        <v>69.91</v>
      </c>
      <c r="C30" s="2979" t="s">
        <v>3198</v>
      </c>
      <c r="D30" s="3032"/>
      <c r="E30" s="3028">
        <f t="shared" si="0"/>
        <v>3</v>
      </c>
      <c r="F30" s="2973"/>
      <c r="G30" s="2975">
        <v>7638</v>
      </c>
      <c r="H30" s="2977">
        <v>53</v>
      </c>
      <c r="I30" s="2973"/>
    </row>
    <row r="31" spans="1:9">
      <c r="A31" s="2979" t="s">
        <v>3199</v>
      </c>
      <c r="B31" s="2979">
        <v>71.180000000000007</v>
      </c>
      <c r="C31" s="2979" t="s">
        <v>3200</v>
      </c>
      <c r="D31" s="3032"/>
      <c r="E31" s="3028">
        <f t="shared" si="0"/>
        <v>3</v>
      </c>
      <c r="F31" s="2973"/>
      <c r="G31" s="2975">
        <v>7638</v>
      </c>
      <c r="H31" s="2977">
        <v>54</v>
      </c>
      <c r="I31" s="2973"/>
    </row>
    <row r="32" spans="1:9">
      <c r="A32" s="2979" t="s">
        <v>3201</v>
      </c>
      <c r="B32" s="2979">
        <v>114.79</v>
      </c>
      <c r="C32" s="2979" t="s">
        <v>3202</v>
      </c>
      <c r="D32" s="3032"/>
      <c r="E32" s="3028">
        <f t="shared" si="0"/>
        <v>3</v>
      </c>
      <c r="F32" s="2973"/>
      <c r="G32" s="2975">
        <v>7638</v>
      </c>
      <c r="H32" s="2977">
        <v>88</v>
      </c>
      <c r="I32" s="2973"/>
    </row>
    <row r="33" spans="1:9">
      <c r="A33" s="2979" t="s">
        <v>3203</v>
      </c>
      <c r="B33" s="2979">
        <v>37.21</v>
      </c>
      <c r="C33" s="2979" t="s">
        <v>3204</v>
      </c>
      <c r="D33" s="3032"/>
      <c r="E33" s="3028">
        <f t="shared" si="0"/>
        <v>3</v>
      </c>
      <c r="F33" s="2973"/>
      <c r="G33" s="2975">
        <v>7638</v>
      </c>
      <c r="H33" s="2977">
        <v>28</v>
      </c>
      <c r="I33" s="2973"/>
    </row>
    <row r="34" spans="1:9">
      <c r="A34" s="2979" t="s">
        <v>3205</v>
      </c>
      <c r="B34" s="2979">
        <v>38.590000000000003</v>
      </c>
      <c r="C34" s="2979" t="s">
        <v>3206</v>
      </c>
      <c r="D34" s="3032"/>
      <c r="E34" s="3028">
        <f t="shared" si="0"/>
        <v>3</v>
      </c>
      <c r="F34" s="2973"/>
      <c r="G34" s="2975">
        <v>7638</v>
      </c>
      <c r="H34" s="2977">
        <v>29</v>
      </c>
      <c r="I34" s="2973"/>
    </row>
    <row r="35" spans="1:9">
      <c r="A35" s="2979" t="s">
        <v>3207</v>
      </c>
      <c r="B35" s="2979">
        <v>37.9</v>
      </c>
      <c r="C35" s="2979" t="s">
        <v>3208</v>
      </c>
      <c r="D35" s="3032"/>
      <c r="E35" s="3028">
        <f t="shared" si="0"/>
        <v>3</v>
      </c>
      <c r="F35" s="2973"/>
      <c r="G35" s="2975">
        <v>7638</v>
      </c>
      <c r="H35" s="2977">
        <v>29</v>
      </c>
      <c r="I35" s="2973"/>
    </row>
    <row r="36" spans="1:9">
      <c r="A36" s="2979" t="s">
        <v>3209</v>
      </c>
      <c r="B36" s="2979">
        <v>38.590000000000003</v>
      </c>
      <c r="C36" s="2979" t="s">
        <v>3210</v>
      </c>
      <c r="D36" s="3032"/>
      <c r="E36" s="3028">
        <f t="shared" si="0"/>
        <v>3</v>
      </c>
      <c r="F36" s="2973"/>
      <c r="G36" s="2975">
        <v>7638</v>
      </c>
      <c r="H36" s="2977">
        <v>29</v>
      </c>
      <c r="I36" s="2973"/>
    </row>
    <row r="37" spans="1:9">
      <c r="A37" s="2979" t="s">
        <v>3211</v>
      </c>
      <c r="B37" s="2979">
        <v>45.48</v>
      </c>
      <c r="C37" s="2979" t="s">
        <v>3212</v>
      </c>
      <c r="D37" s="3032"/>
      <c r="E37" s="3028">
        <f t="shared" si="0"/>
        <v>3</v>
      </c>
      <c r="F37" s="2973"/>
      <c r="G37" s="2975">
        <v>7638</v>
      </c>
      <c r="H37" s="2977">
        <v>35</v>
      </c>
      <c r="I37" s="2973"/>
    </row>
    <row r="38" spans="1:9">
      <c r="A38" s="2979" t="s">
        <v>3213</v>
      </c>
      <c r="B38" s="2979">
        <v>46.17</v>
      </c>
      <c r="C38" s="2979" t="s">
        <v>3214</v>
      </c>
      <c r="D38" s="3032"/>
      <c r="E38" s="3028">
        <f t="shared" si="0"/>
        <v>3</v>
      </c>
      <c r="F38" s="2973"/>
      <c r="G38" s="2975">
        <v>7638</v>
      </c>
      <c r="H38" s="2977">
        <v>35</v>
      </c>
      <c r="I38" s="2973"/>
    </row>
    <row r="39" spans="1:9">
      <c r="A39" s="2979" t="s">
        <v>3215</v>
      </c>
      <c r="B39" s="2979">
        <v>46.17</v>
      </c>
      <c r="C39" s="2979" t="s">
        <v>3216</v>
      </c>
      <c r="D39" s="3032"/>
      <c r="E39" s="3028">
        <f t="shared" si="0"/>
        <v>3</v>
      </c>
      <c r="F39" s="2973"/>
      <c r="G39" s="2975">
        <v>7638</v>
      </c>
      <c r="H39" s="2977">
        <v>35</v>
      </c>
      <c r="I39" s="2973"/>
    </row>
    <row r="40" spans="1:9">
      <c r="A40" s="2979" t="s">
        <v>3217</v>
      </c>
      <c r="B40" s="2979">
        <v>46.17</v>
      </c>
      <c r="C40" s="2979" t="s">
        <v>3218</v>
      </c>
      <c r="D40" s="3032"/>
      <c r="E40" s="3028">
        <f t="shared" si="0"/>
        <v>3</v>
      </c>
      <c r="F40" s="2973"/>
      <c r="G40" s="2975">
        <v>7638</v>
      </c>
      <c r="H40" s="2977">
        <v>35</v>
      </c>
      <c r="I40" s="2973"/>
    </row>
    <row r="41" spans="1:9">
      <c r="A41" s="2979" t="s">
        <v>3219</v>
      </c>
      <c r="B41" s="2979">
        <v>41.35</v>
      </c>
      <c r="C41" s="2979" t="s">
        <v>3220</v>
      </c>
      <c r="D41" s="3032"/>
      <c r="E41" s="3028">
        <f>E42</f>
        <v>3</v>
      </c>
      <c r="F41" s="2973"/>
      <c r="G41" s="2975">
        <v>7638</v>
      </c>
      <c r="H41" s="2977">
        <v>32</v>
      </c>
      <c r="I41" s="2973"/>
    </row>
    <row r="42" spans="1:9">
      <c r="A42" s="2979" t="s">
        <v>3221</v>
      </c>
      <c r="B42" s="2979">
        <v>41.35</v>
      </c>
      <c r="C42" s="2979" t="s">
        <v>3222</v>
      </c>
      <c r="D42" s="3032"/>
      <c r="E42" s="3028">
        <f>E43</f>
        <v>3</v>
      </c>
      <c r="F42" s="2973"/>
      <c r="G42" s="2975">
        <v>7638</v>
      </c>
      <c r="H42" s="2977">
        <v>32</v>
      </c>
      <c r="I42" s="2973"/>
    </row>
    <row r="43" spans="1:9">
      <c r="A43" s="2979" t="s">
        <v>3223</v>
      </c>
      <c r="B43" s="2979">
        <v>41.35</v>
      </c>
      <c r="C43" s="2979" t="s">
        <v>3224</v>
      </c>
      <c r="D43" s="3032">
        <f>SUM(B11:B43)</f>
        <v>1528.01</v>
      </c>
      <c r="E43" s="2974">
        <v>3</v>
      </c>
      <c r="F43" s="2973"/>
      <c r="G43" s="2975">
        <v>7638</v>
      </c>
      <c r="H43" s="2977">
        <v>32</v>
      </c>
      <c r="I43" s="2973"/>
    </row>
    <row r="44" spans="1:9" s="2982" customFormat="1">
      <c r="A44" s="2976" t="s">
        <v>3225</v>
      </c>
      <c r="B44" s="2976">
        <v>2592.6999999999998</v>
      </c>
      <c r="C44" s="2976" t="s">
        <v>3226</v>
      </c>
      <c r="D44" s="3032">
        <v>2592.6999999999998</v>
      </c>
      <c r="E44" s="3026">
        <v>4</v>
      </c>
      <c r="F44" s="2976"/>
      <c r="G44" s="2975">
        <v>7256</v>
      </c>
      <c r="H44" s="2977">
        <v>1881</v>
      </c>
      <c r="I44" s="2977"/>
    </row>
    <row r="45" spans="1:9" s="2982" customFormat="1">
      <c r="A45" s="2976" t="s">
        <v>3227</v>
      </c>
      <c r="B45" s="2976">
        <v>34.630000000000003</v>
      </c>
      <c r="C45" s="2976" t="s">
        <v>3228</v>
      </c>
      <c r="D45" s="3032"/>
      <c r="E45" s="3027">
        <v>3</v>
      </c>
      <c r="F45" s="2977"/>
      <c r="G45" s="2975">
        <v>7638</v>
      </c>
      <c r="H45" s="2977">
        <v>26</v>
      </c>
      <c r="I45" s="2977"/>
    </row>
    <row r="46" spans="1:9" s="2982" customFormat="1">
      <c r="A46" s="2976" t="s">
        <v>3229</v>
      </c>
      <c r="B46" s="2976">
        <v>1298.05</v>
      </c>
      <c r="C46" s="2976" t="s">
        <v>3230</v>
      </c>
      <c r="D46" s="3032">
        <f>B45+B46</f>
        <v>1332.68</v>
      </c>
      <c r="E46" s="2974">
        <v>3</v>
      </c>
      <c r="F46" s="2977"/>
      <c r="G46" s="2975">
        <v>7638</v>
      </c>
      <c r="H46" s="2977">
        <v>991</v>
      </c>
      <c r="I46" s="2977"/>
    </row>
    <row r="47" spans="1:9" s="2982" customFormat="1">
      <c r="A47" s="2976" t="s">
        <v>3231</v>
      </c>
      <c r="B47" s="2976">
        <v>1174.06</v>
      </c>
      <c r="C47" s="2976" t="s">
        <v>3232</v>
      </c>
      <c r="D47" s="3032">
        <v>1174.06</v>
      </c>
      <c r="E47" s="3026">
        <v>4</v>
      </c>
      <c r="F47" s="2976"/>
      <c r="G47" s="2975">
        <v>7256</v>
      </c>
      <c r="H47" s="2977">
        <v>852</v>
      </c>
      <c r="I47" s="2977"/>
    </row>
    <row r="48" spans="1:9" s="2982" customFormat="1">
      <c r="A48" s="2976" t="s">
        <v>3233</v>
      </c>
      <c r="B48" s="2976">
        <v>1091.3</v>
      </c>
      <c r="C48" s="2976" t="s">
        <v>3234</v>
      </c>
      <c r="D48" s="3032">
        <v>1091.3</v>
      </c>
      <c r="E48" s="3026">
        <v>5</v>
      </c>
      <c r="F48" s="2976"/>
      <c r="G48" s="2975">
        <v>6873</v>
      </c>
      <c r="H48" s="2977">
        <v>750</v>
      </c>
      <c r="I48" s="2977"/>
    </row>
    <row r="49" spans="1:9" s="2982" customFormat="1">
      <c r="A49" s="2976" t="s">
        <v>3235</v>
      </c>
      <c r="B49" s="2976">
        <v>1886.31</v>
      </c>
      <c r="C49" s="2976" t="s">
        <v>3236</v>
      </c>
      <c r="D49" s="3032">
        <f>B49</f>
        <v>1886.31</v>
      </c>
      <c r="E49" s="2974">
        <v>3</v>
      </c>
      <c r="F49" s="2977"/>
      <c r="G49" s="2975">
        <v>7638</v>
      </c>
      <c r="H49" s="2977">
        <v>1441</v>
      </c>
      <c r="I49" s="2977"/>
    </row>
    <row r="50" spans="1:9" s="2982" customFormat="1">
      <c r="A50" s="2976" t="s">
        <v>3237</v>
      </c>
      <c r="B50" s="2976">
        <v>23.37</v>
      </c>
      <c r="C50" s="2976" t="s">
        <v>3238</v>
      </c>
      <c r="D50" s="3032"/>
      <c r="E50" s="3027">
        <v>4</v>
      </c>
      <c r="F50" s="2977"/>
      <c r="G50" s="2975">
        <v>7256</v>
      </c>
      <c r="H50" s="2977">
        <v>17</v>
      </c>
      <c r="I50" s="2977"/>
    </row>
    <row r="51" spans="1:9" s="2982" customFormat="1">
      <c r="A51" s="2976" t="s">
        <v>3239</v>
      </c>
      <c r="B51" s="2976">
        <v>42.37</v>
      </c>
      <c r="C51" s="2976" t="s">
        <v>3240</v>
      </c>
      <c r="D51" s="3032"/>
      <c r="E51" s="3027">
        <v>4</v>
      </c>
      <c r="F51" s="2977"/>
      <c r="G51" s="2975">
        <v>7256</v>
      </c>
      <c r="H51" s="2977">
        <v>31</v>
      </c>
      <c r="I51" s="2977"/>
    </row>
    <row r="52" spans="1:9" s="2982" customFormat="1">
      <c r="A52" s="2976" t="s">
        <v>3241</v>
      </c>
      <c r="B52" s="2976">
        <v>45.01</v>
      </c>
      <c r="C52" s="2976" t="s">
        <v>3242</v>
      </c>
      <c r="D52" s="3032"/>
      <c r="E52" s="3027">
        <v>4</v>
      </c>
      <c r="F52" s="2977"/>
      <c r="G52" s="2975">
        <v>7256</v>
      </c>
      <c r="H52" s="2977">
        <v>33</v>
      </c>
      <c r="I52" s="2977"/>
    </row>
    <row r="53" spans="1:9" s="2982" customFormat="1">
      <c r="A53" s="2976" t="s">
        <v>3243</v>
      </c>
      <c r="B53" s="2976">
        <v>47.94</v>
      </c>
      <c r="C53" s="2976" t="s">
        <v>3244</v>
      </c>
      <c r="D53" s="3032"/>
      <c r="E53" s="3027">
        <v>4</v>
      </c>
      <c r="F53" s="2977"/>
      <c r="G53" s="2975">
        <v>7256</v>
      </c>
      <c r="H53" s="2977">
        <v>35</v>
      </c>
      <c r="I53" s="2977"/>
    </row>
    <row r="54" spans="1:9" s="2982" customFormat="1">
      <c r="A54" s="2976" t="s">
        <v>3245</v>
      </c>
      <c r="B54" s="2976">
        <v>48.02</v>
      </c>
      <c r="C54" s="2976" t="s">
        <v>3246</v>
      </c>
      <c r="D54" s="3032"/>
      <c r="E54" s="3027">
        <v>4</v>
      </c>
      <c r="F54" s="2977"/>
      <c r="G54" s="2975">
        <v>7256</v>
      </c>
      <c r="H54" s="2977">
        <v>35</v>
      </c>
      <c r="I54" s="2977"/>
    </row>
    <row r="55" spans="1:9" s="2982" customFormat="1">
      <c r="A55" s="2974" t="s">
        <v>3247</v>
      </c>
      <c r="B55" s="2976">
        <v>45.01</v>
      </c>
      <c r="C55" s="2976" t="s">
        <v>3248</v>
      </c>
      <c r="D55" s="3032"/>
      <c r="E55" s="3027">
        <v>4</v>
      </c>
      <c r="F55" s="2977"/>
      <c r="G55" s="2975">
        <v>7256</v>
      </c>
      <c r="H55" s="2977">
        <v>33</v>
      </c>
      <c r="I55" s="2977"/>
    </row>
    <row r="56" spans="1:9" s="2982" customFormat="1">
      <c r="A56" s="2976" t="s">
        <v>3249</v>
      </c>
      <c r="B56" s="2976">
        <v>45.01</v>
      </c>
      <c r="C56" s="2976" t="s">
        <v>3250</v>
      </c>
      <c r="D56" s="3032"/>
      <c r="E56" s="3027">
        <v>4</v>
      </c>
      <c r="F56" s="2977"/>
      <c r="G56" s="2975">
        <v>7256</v>
      </c>
      <c r="H56" s="2977">
        <v>33</v>
      </c>
      <c r="I56" s="2977"/>
    </row>
    <row r="57" spans="1:9" s="2982" customFormat="1">
      <c r="A57" s="2976" t="s">
        <v>3251</v>
      </c>
      <c r="B57" s="2976">
        <v>45.01</v>
      </c>
      <c r="C57" s="2976" t="s">
        <v>3252</v>
      </c>
      <c r="D57" s="3032"/>
      <c r="E57" s="3027">
        <v>4</v>
      </c>
      <c r="F57" s="2977"/>
      <c r="G57" s="2975">
        <v>7256</v>
      </c>
      <c r="H57" s="2977">
        <v>33</v>
      </c>
      <c r="I57" s="2977"/>
    </row>
    <row r="58" spans="1:9" s="2982" customFormat="1">
      <c r="A58" s="2976" t="s">
        <v>3253</v>
      </c>
      <c r="B58" s="2976">
        <v>50.02</v>
      </c>
      <c r="C58" s="2976" t="s">
        <v>3254</v>
      </c>
      <c r="D58" s="3032"/>
      <c r="E58" s="3027">
        <v>4</v>
      </c>
      <c r="F58" s="2977"/>
      <c r="G58" s="2975">
        <v>7256</v>
      </c>
      <c r="H58" s="2977">
        <v>36</v>
      </c>
      <c r="I58" s="2977"/>
    </row>
    <row r="59" spans="1:9" s="2982" customFormat="1">
      <c r="A59" s="2976" t="s">
        <v>3255</v>
      </c>
      <c r="B59" s="2976">
        <v>45.01</v>
      </c>
      <c r="C59" s="2976" t="s">
        <v>3256</v>
      </c>
      <c r="D59" s="3032"/>
      <c r="E59" s="3027">
        <v>4</v>
      </c>
      <c r="F59" s="2977"/>
      <c r="G59" s="2975">
        <v>7256</v>
      </c>
      <c r="H59" s="2977">
        <v>33</v>
      </c>
      <c r="I59" s="2977"/>
    </row>
    <row r="60" spans="1:9" s="2982" customFormat="1">
      <c r="A60" s="2976" t="s">
        <v>3257</v>
      </c>
      <c r="B60" s="2976">
        <v>47.87</v>
      </c>
      <c r="C60" s="2976" t="s">
        <v>3258</v>
      </c>
      <c r="D60" s="3032"/>
      <c r="E60" s="3027">
        <v>4</v>
      </c>
      <c r="F60" s="2977"/>
      <c r="G60" s="2975">
        <v>7256</v>
      </c>
      <c r="H60" s="2977">
        <v>35</v>
      </c>
      <c r="I60" s="2977"/>
    </row>
    <row r="61" spans="1:9" s="2982" customFormat="1">
      <c r="A61" s="2976" t="s">
        <v>3259</v>
      </c>
      <c r="B61" s="2976">
        <v>45.01</v>
      </c>
      <c r="C61" s="2976" t="s">
        <v>3260</v>
      </c>
      <c r="D61" s="3032"/>
      <c r="E61" s="3027">
        <v>4</v>
      </c>
      <c r="F61" s="2977"/>
      <c r="G61" s="2975">
        <v>7256</v>
      </c>
      <c r="H61" s="2977">
        <v>33</v>
      </c>
      <c r="I61" s="2977"/>
    </row>
    <row r="62" spans="1:9" s="2982" customFormat="1">
      <c r="A62" s="2976" t="s">
        <v>3261</v>
      </c>
      <c r="B62" s="2976">
        <v>45.01</v>
      </c>
      <c r="C62" s="2976" t="s">
        <v>3262</v>
      </c>
      <c r="D62" s="3032"/>
      <c r="E62" s="3027">
        <v>4</v>
      </c>
      <c r="F62" s="2977"/>
      <c r="G62" s="2975">
        <v>7256</v>
      </c>
      <c r="H62" s="2977">
        <v>33</v>
      </c>
      <c r="I62" s="2977"/>
    </row>
    <row r="63" spans="1:9" s="2982" customFormat="1">
      <c r="A63" s="2976" t="s">
        <v>3263</v>
      </c>
      <c r="B63" s="2976">
        <v>45.01</v>
      </c>
      <c r="C63" s="2976" t="s">
        <v>3264</v>
      </c>
      <c r="D63" s="3032"/>
      <c r="E63" s="3027">
        <v>4</v>
      </c>
      <c r="F63" s="2977"/>
      <c r="G63" s="2975">
        <v>7256</v>
      </c>
      <c r="H63" s="2977">
        <v>33</v>
      </c>
      <c r="I63" s="2977"/>
    </row>
    <row r="64" spans="1:9" s="2982" customFormat="1">
      <c r="A64" s="2976" t="s">
        <v>3265</v>
      </c>
      <c r="B64" s="2976">
        <v>45.01</v>
      </c>
      <c r="C64" s="2976" t="s">
        <v>3266</v>
      </c>
      <c r="D64" s="3032"/>
      <c r="E64" s="3027">
        <v>4</v>
      </c>
      <c r="F64" s="2977"/>
      <c r="G64" s="2975">
        <v>7256</v>
      </c>
      <c r="H64" s="2977">
        <v>33</v>
      </c>
      <c r="I64" s="2977"/>
    </row>
    <row r="65" spans="1:9" s="2982" customFormat="1">
      <c r="A65" s="2976" t="s">
        <v>3267</v>
      </c>
      <c r="B65" s="2976">
        <v>45.83</v>
      </c>
      <c r="C65" s="2976" t="s">
        <v>3268</v>
      </c>
      <c r="D65" s="3032"/>
      <c r="E65" s="3027">
        <v>4</v>
      </c>
      <c r="F65" s="2977"/>
      <c r="G65" s="2975">
        <v>7256</v>
      </c>
      <c r="H65" s="2977">
        <v>33</v>
      </c>
      <c r="I65" s="2977"/>
    </row>
    <row r="66" spans="1:9" s="2982" customFormat="1">
      <c r="A66" s="2976" t="s">
        <v>3269</v>
      </c>
      <c r="B66" s="2976">
        <v>40.590000000000003</v>
      </c>
      <c r="C66" s="2976" t="s">
        <v>3270</v>
      </c>
      <c r="D66" s="3032"/>
      <c r="E66" s="3027">
        <v>4</v>
      </c>
      <c r="F66" s="2977"/>
      <c r="G66" s="2975">
        <v>7256</v>
      </c>
      <c r="H66" s="2977">
        <v>29</v>
      </c>
      <c r="I66" s="2977"/>
    </row>
    <row r="67" spans="1:9" s="2982" customFormat="1">
      <c r="A67" s="2976" t="s">
        <v>3271</v>
      </c>
      <c r="B67" s="2976">
        <v>83.05</v>
      </c>
      <c r="C67" s="2976" t="s">
        <v>3272</v>
      </c>
      <c r="D67" s="3032"/>
      <c r="E67" s="3027">
        <v>4</v>
      </c>
      <c r="F67" s="2977"/>
      <c r="G67" s="2975">
        <v>7256</v>
      </c>
      <c r="H67" s="2977">
        <v>60</v>
      </c>
      <c r="I67" s="2977"/>
    </row>
    <row r="68" spans="1:9" s="2982" customFormat="1">
      <c r="A68" s="2976" t="s">
        <v>3273</v>
      </c>
      <c r="B68" s="2976">
        <v>55.66</v>
      </c>
      <c r="C68" s="2976" t="s">
        <v>3274</v>
      </c>
      <c r="D68" s="3032"/>
      <c r="E68" s="3027">
        <v>4</v>
      </c>
      <c r="F68" s="2977"/>
      <c r="G68" s="2975">
        <v>7256</v>
      </c>
      <c r="H68" s="2977">
        <v>40</v>
      </c>
      <c r="I68" s="2977"/>
    </row>
    <row r="69" spans="1:9" s="2982" customFormat="1">
      <c r="A69" s="2976" t="s">
        <v>3275</v>
      </c>
      <c r="B69" s="2976">
        <v>55.95</v>
      </c>
      <c r="C69" s="2976" t="s">
        <v>3276</v>
      </c>
      <c r="D69" s="3032"/>
      <c r="E69" s="3027">
        <v>4</v>
      </c>
      <c r="F69" s="2977"/>
      <c r="G69" s="2975">
        <v>7256</v>
      </c>
      <c r="H69" s="2977">
        <v>41</v>
      </c>
      <c r="I69" s="2977"/>
    </row>
    <row r="70" spans="1:9" s="2982" customFormat="1">
      <c r="A70" s="2976" t="s">
        <v>3277</v>
      </c>
      <c r="B70" s="2976">
        <v>55.95</v>
      </c>
      <c r="C70" s="2976" t="s">
        <v>3278</v>
      </c>
      <c r="D70" s="3032"/>
      <c r="E70" s="3027">
        <v>4</v>
      </c>
      <c r="F70" s="2977"/>
      <c r="G70" s="2975">
        <v>7256</v>
      </c>
      <c r="H70" s="2977">
        <v>41</v>
      </c>
      <c r="I70" s="2977"/>
    </row>
    <row r="71" spans="1:9" s="2982" customFormat="1">
      <c r="A71" s="2976" t="s">
        <v>3279</v>
      </c>
      <c r="B71" s="2976">
        <v>55.66</v>
      </c>
      <c r="C71" s="2976" t="s">
        <v>3280</v>
      </c>
      <c r="D71" s="3032"/>
      <c r="E71" s="3027">
        <v>4</v>
      </c>
      <c r="F71" s="2977"/>
      <c r="G71" s="2975">
        <v>7256</v>
      </c>
      <c r="H71" s="2977">
        <v>40</v>
      </c>
      <c r="I71" s="2977"/>
    </row>
    <row r="72" spans="1:9" s="2982" customFormat="1">
      <c r="A72" s="2976" t="s">
        <v>3281</v>
      </c>
      <c r="B72" s="2976">
        <v>55.95</v>
      </c>
      <c r="C72" s="2976" t="s">
        <v>3282</v>
      </c>
      <c r="D72" s="3032"/>
      <c r="E72" s="3027">
        <v>4</v>
      </c>
      <c r="F72" s="2977"/>
      <c r="G72" s="2975">
        <v>7256</v>
      </c>
      <c r="H72" s="2977">
        <v>41</v>
      </c>
      <c r="I72" s="2977"/>
    </row>
    <row r="73" spans="1:9" s="2982" customFormat="1">
      <c r="A73" s="2976" t="s">
        <v>3283</v>
      </c>
      <c r="B73" s="2976">
        <v>55.95</v>
      </c>
      <c r="C73" s="2976" t="s">
        <v>3284</v>
      </c>
      <c r="D73" s="3032"/>
      <c r="E73" s="3027">
        <v>4</v>
      </c>
      <c r="F73" s="2977"/>
      <c r="G73" s="2975">
        <v>7256</v>
      </c>
      <c r="H73" s="2977">
        <v>41</v>
      </c>
      <c r="I73" s="2977"/>
    </row>
    <row r="74" spans="1:9" s="2982" customFormat="1">
      <c r="A74" s="2976" t="s">
        <v>3285</v>
      </c>
      <c r="B74" s="2976">
        <v>73.31</v>
      </c>
      <c r="C74" s="2976" t="s">
        <v>3286</v>
      </c>
      <c r="D74" s="3032"/>
      <c r="E74" s="3027">
        <v>4</v>
      </c>
      <c r="F74" s="2977"/>
      <c r="G74" s="2975">
        <v>7256</v>
      </c>
      <c r="H74" s="2977">
        <v>53</v>
      </c>
      <c r="I74" s="2977"/>
    </row>
    <row r="75" spans="1:9" s="2982" customFormat="1">
      <c r="A75" s="2976" t="s">
        <v>3287</v>
      </c>
      <c r="B75" s="2976">
        <v>39.26</v>
      </c>
      <c r="C75" s="2976" t="s">
        <v>3288</v>
      </c>
      <c r="D75" s="3032"/>
      <c r="E75" s="3027">
        <v>4</v>
      </c>
      <c r="F75" s="2977"/>
      <c r="G75" s="2975">
        <v>7256</v>
      </c>
      <c r="H75" s="2977">
        <v>28</v>
      </c>
      <c r="I75" s="2977"/>
    </row>
    <row r="76" spans="1:9" s="2982" customFormat="1">
      <c r="A76" s="2976" t="s">
        <v>3289</v>
      </c>
      <c r="B76" s="2976">
        <v>41.42</v>
      </c>
      <c r="C76" s="2976" t="s">
        <v>3290</v>
      </c>
      <c r="D76" s="3032"/>
      <c r="E76" s="3027">
        <v>4</v>
      </c>
      <c r="F76" s="2977"/>
      <c r="G76" s="2975">
        <v>7256</v>
      </c>
      <c r="H76" s="2977">
        <v>30</v>
      </c>
      <c r="I76" s="2977"/>
    </row>
    <row r="77" spans="1:9" s="2982" customFormat="1">
      <c r="A77" s="2976" t="s">
        <v>3291</v>
      </c>
      <c r="B77" s="2976">
        <v>57.01</v>
      </c>
      <c r="C77" s="2976" t="s">
        <v>3292</v>
      </c>
      <c r="D77" s="3032"/>
      <c r="E77" s="3027">
        <v>4</v>
      </c>
      <c r="F77" s="2977"/>
      <c r="G77" s="2975">
        <v>7256</v>
      </c>
      <c r="H77" s="2977">
        <v>41</v>
      </c>
      <c r="I77" s="2977"/>
    </row>
    <row r="78" spans="1:9" s="2982" customFormat="1">
      <c r="A78" s="2976" t="s">
        <v>3293</v>
      </c>
      <c r="B78" s="2976">
        <v>58.89</v>
      </c>
      <c r="C78" s="2976" t="s">
        <v>3294</v>
      </c>
      <c r="D78" s="3032"/>
      <c r="E78" s="3027">
        <v>4</v>
      </c>
      <c r="F78" s="2977"/>
      <c r="G78" s="2975">
        <v>7256</v>
      </c>
      <c r="H78" s="2977">
        <v>43</v>
      </c>
      <c r="I78" s="2977"/>
    </row>
    <row r="79" spans="1:9" s="2982" customFormat="1">
      <c r="A79" s="2976" t="s">
        <v>3295</v>
      </c>
      <c r="B79" s="2976">
        <v>58.67</v>
      </c>
      <c r="C79" s="2976" t="s">
        <v>3296</v>
      </c>
      <c r="D79" s="3032"/>
      <c r="E79" s="3027">
        <v>4</v>
      </c>
      <c r="F79" s="2977"/>
      <c r="G79" s="2975">
        <v>7256</v>
      </c>
      <c r="H79" s="2977">
        <v>43</v>
      </c>
      <c r="I79" s="2977"/>
    </row>
    <row r="80" spans="1:9" s="2982" customFormat="1">
      <c r="A80" s="2976" t="s">
        <v>3297</v>
      </c>
      <c r="B80" s="2976">
        <v>57.85</v>
      </c>
      <c r="C80" s="2976" t="s">
        <v>3298</v>
      </c>
      <c r="D80" s="3032"/>
      <c r="E80" s="3027">
        <v>4</v>
      </c>
      <c r="F80" s="2977"/>
      <c r="G80" s="2975">
        <v>7256</v>
      </c>
      <c r="H80" s="2977">
        <v>42</v>
      </c>
      <c r="I80" s="2977"/>
    </row>
    <row r="81" spans="1:9" s="2982" customFormat="1">
      <c r="A81" s="2976" t="s">
        <v>3299</v>
      </c>
      <c r="B81" s="2976">
        <v>55.66</v>
      </c>
      <c r="C81" s="2976" t="s">
        <v>3300</v>
      </c>
      <c r="D81" s="3032"/>
      <c r="E81" s="3027">
        <v>4</v>
      </c>
      <c r="F81" s="2977"/>
      <c r="G81" s="2975">
        <v>7256</v>
      </c>
      <c r="H81" s="2977">
        <v>40</v>
      </c>
      <c r="I81" s="2977"/>
    </row>
    <row r="82" spans="1:9" s="2982" customFormat="1">
      <c r="A82" s="2976" t="s">
        <v>3301</v>
      </c>
      <c r="B82" s="2976">
        <v>96.66</v>
      </c>
      <c r="C82" s="2976" t="s">
        <v>3302</v>
      </c>
      <c r="D82" s="3032">
        <f>SUM(B50:B82)</f>
        <v>1708.0000000000005</v>
      </c>
      <c r="E82" s="3027">
        <v>4</v>
      </c>
      <c r="F82" s="2977"/>
      <c r="G82" s="2975">
        <v>7256</v>
      </c>
      <c r="H82" s="2977">
        <v>70</v>
      </c>
      <c r="I82" s="2977"/>
    </row>
    <row r="83" spans="1:9" s="2982" customFormat="1">
      <c r="A83" s="3023" t="s">
        <v>3303</v>
      </c>
      <c r="B83" s="2976">
        <v>39.57</v>
      </c>
      <c r="C83" s="2976" t="s">
        <v>3304</v>
      </c>
      <c r="D83" s="3032"/>
      <c r="E83" s="3027">
        <v>5</v>
      </c>
      <c r="F83" s="2977"/>
      <c r="G83" s="2975">
        <v>6823</v>
      </c>
      <c r="H83" s="2977">
        <v>27</v>
      </c>
      <c r="I83" s="2977"/>
    </row>
    <row r="84" spans="1:9" s="2982" customFormat="1">
      <c r="A84" s="2976" t="s">
        <v>3305</v>
      </c>
      <c r="B84" s="2976">
        <v>42.13</v>
      </c>
      <c r="C84" s="2976" t="s">
        <v>3306</v>
      </c>
      <c r="D84" s="3032"/>
      <c r="E84" s="3027">
        <v>5</v>
      </c>
      <c r="F84" s="2977"/>
      <c r="G84" s="2975">
        <v>6883</v>
      </c>
      <c r="H84" s="2977">
        <v>29</v>
      </c>
      <c r="I84" s="2977"/>
    </row>
    <row r="85" spans="1:9" s="2982" customFormat="1">
      <c r="A85" s="2976" t="s">
        <v>3307</v>
      </c>
      <c r="B85" s="2976">
        <v>42.13</v>
      </c>
      <c r="C85" s="2976" t="s">
        <v>3308</v>
      </c>
      <c r="D85" s="3032"/>
      <c r="E85" s="3027">
        <v>5</v>
      </c>
      <c r="F85" s="2977"/>
      <c r="G85" s="2975">
        <v>6883</v>
      </c>
      <c r="H85" s="2977">
        <v>29</v>
      </c>
      <c r="I85" s="2977"/>
    </row>
    <row r="86" spans="1:9" s="2982" customFormat="1">
      <c r="A86" s="2976" t="s">
        <v>3309</v>
      </c>
      <c r="B86" s="2976">
        <v>42.13</v>
      </c>
      <c r="C86" s="2976" t="s">
        <v>3310</v>
      </c>
      <c r="D86" s="3032"/>
      <c r="E86" s="3027">
        <v>5</v>
      </c>
      <c r="F86" s="2977"/>
      <c r="G86" s="2975">
        <v>6883</v>
      </c>
      <c r="H86" s="2977">
        <v>29</v>
      </c>
      <c r="I86" s="2977"/>
    </row>
    <row r="87" spans="1:9" s="2982" customFormat="1">
      <c r="A87" s="2976" t="s">
        <v>3311</v>
      </c>
      <c r="B87" s="2976">
        <v>42.13</v>
      </c>
      <c r="C87" s="2976" t="s">
        <v>3312</v>
      </c>
      <c r="D87" s="3032"/>
      <c r="E87" s="3027">
        <v>5</v>
      </c>
      <c r="F87" s="2977"/>
      <c r="G87" s="2975">
        <v>6883</v>
      </c>
      <c r="H87" s="2977">
        <v>29</v>
      </c>
      <c r="I87" s="2977"/>
    </row>
    <row r="88" spans="1:9" s="2982" customFormat="1">
      <c r="A88" s="2976" t="s">
        <v>3313</v>
      </c>
      <c r="B88" s="2976">
        <v>42.13</v>
      </c>
      <c r="C88" s="2976" t="s">
        <v>3314</v>
      </c>
      <c r="D88" s="3032"/>
      <c r="E88" s="3027">
        <v>5</v>
      </c>
      <c r="F88" s="2977"/>
      <c r="G88" s="2975">
        <v>6883</v>
      </c>
      <c r="H88" s="2977">
        <v>29</v>
      </c>
      <c r="I88" s="2977"/>
    </row>
    <row r="89" spans="1:9" s="2982" customFormat="1">
      <c r="A89" s="2976" t="s">
        <v>3315</v>
      </c>
      <c r="B89" s="2976">
        <v>42.13</v>
      </c>
      <c r="C89" s="2976" t="s">
        <v>3316</v>
      </c>
      <c r="D89" s="3032"/>
      <c r="E89" s="3027">
        <v>5</v>
      </c>
      <c r="F89" s="2977"/>
      <c r="G89" s="2975">
        <v>6883</v>
      </c>
      <c r="H89" s="2977">
        <v>29</v>
      </c>
      <c r="I89" s="2977"/>
    </row>
    <row r="90" spans="1:9" s="2982" customFormat="1">
      <c r="A90" s="2976" t="s">
        <v>3317</v>
      </c>
      <c r="B90" s="2976">
        <v>50.52</v>
      </c>
      <c r="C90" s="2976" t="s">
        <v>3318</v>
      </c>
      <c r="D90" s="3032"/>
      <c r="E90" s="3027">
        <v>5</v>
      </c>
      <c r="F90" s="2977"/>
      <c r="G90" s="2975">
        <v>6928</v>
      </c>
      <c r="H90" s="2977">
        <v>35</v>
      </c>
      <c r="I90" s="2977"/>
    </row>
    <row r="91" spans="1:9" s="2982" customFormat="1">
      <c r="A91" s="2976" t="s">
        <v>3319</v>
      </c>
      <c r="B91" s="2976">
        <v>42.13</v>
      </c>
      <c r="C91" s="2976" t="s">
        <v>3320</v>
      </c>
      <c r="D91" s="3032"/>
      <c r="E91" s="3027">
        <v>5</v>
      </c>
      <c r="F91" s="2977"/>
      <c r="G91" s="2975">
        <v>6883</v>
      </c>
      <c r="H91" s="2977">
        <v>29</v>
      </c>
      <c r="I91" s="2977"/>
    </row>
    <row r="92" spans="1:9" s="2982" customFormat="1">
      <c r="A92" s="2976" t="s">
        <v>3321</v>
      </c>
      <c r="B92" s="2976">
        <v>42.13</v>
      </c>
      <c r="C92" s="2976" t="s">
        <v>3322</v>
      </c>
      <c r="D92" s="2977"/>
      <c r="E92" s="3027">
        <v>5</v>
      </c>
      <c r="F92" s="2977"/>
      <c r="G92" s="2975">
        <v>6883</v>
      </c>
      <c r="H92" s="2977">
        <v>29</v>
      </c>
      <c r="I92" s="2977"/>
    </row>
    <row r="93" spans="1:9" s="2982" customFormat="1">
      <c r="A93" s="2976" t="s">
        <v>3323</v>
      </c>
      <c r="B93" s="2976">
        <v>42.13</v>
      </c>
      <c r="C93" s="2976" t="s">
        <v>3324</v>
      </c>
      <c r="D93" s="2977"/>
      <c r="E93" s="3027">
        <v>5</v>
      </c>
      <c r="F93" s="2977"/>
      <c r="G93" s="2975">
        <v>6883</v>
      </c>
      <c r="H93" s="2977">
        <v>29</v>
      </c>
      <c r="I93" s="2977"/>
    </row>
    <row r="94" spans="1:9" s="2982" customFormat="1">
      <c r="A94" s="2976" t="s">
        <v>3325</v>
      </c>
      <c r="B94" s="2976">
        <v>42.13</v>
      </c>
      <c r="C94" s="2976" t="s">
        <v>3326</v>
      </c>
      <c r="D94" s="2977"/>
      <c r="E94" s="3027">
        <v>5</v>
      </c>
      <c r="F94" s="2977"/>
      <c r="G94" s="2975">
        <v>6883</v>
      </c>
      <c r="H94" s="2977">
        <v>29</v>
      </c>
      <c r="I94" s="2977"/>
    </row>
    <row r="95" spans="1:9" s="2982" customFormat="1">
      <c r="A95" s="2976" t="s">
        <v>3327</v>
      </c>
      <c r="B95" s="2976">
        <v>42.13</v>
      </c>
      <c r="C95" s="2976" t="s">
        <v>3328</v>
      </c>
      <c r="D95" s="2977"/>
      <c r="E95" s="3027">
        <v>5</v>
      </c>
      <c r="F95" s="2977"/>
      <c r="G95" s="2975">
        <v>6883</v>
      </c>
      <c r="H95" s="2977">
        <v>29</v>
      </c>
      <c r="I95" s="2977"/>
    </row>
    <row r="96" spans="1:9" s="2982" customFormat="1">
      <c r="A96" s="2976" t="s">
        <v>3329</v>
      </c>
      <c r="B96" s="2976">
        <v>42.13</v>
      </c>
      <c r="C96" s="2976" t="s">
        <v>3330</v>
      </c>
      <c r="D96" s="2977"/>
      <c r="E96" s="3027">
        <v>5</v>
      </c>
      <c r="F96" s="2977"/>
      <c r="G96" s="2975">
        <v>6883</v>
      </c>
      <c r="H96" s="2977">
        <v>29</v>
      </c>
      <c r="I96" s="2977"/>
    </row>
    <row r="97" spans="1:9" s="2982" customFormat="1">
      <c r="A97" s="2976" t="s">
        <v>3331</v>
      </c>
      <c r="B97" s="2976">
        <v>42.98</v>
      </c>
      <c r="C97" s="2976" t="s">
        <v>3332</v>
      </c>
      <c r="D97" s="2977"/>
      <c r="E97" s="3027">
        <v>5</v>
      </c>
      <c r="F97" s="2977"/>
      <c r="G97" s="2975">
        <v>6980</v>
      </c>
      <c r="H97" s="2977">
        <v>30</v>
      </c>
      <c r="I97" s="2977"/>
    </row>
    <row r="98" spans="1:9" s="2982" customFormat="1">
      <c r="A98" s="2976" t="s">
        <v>3333</v>
      </c>
      <c r="B98" s="2976">
        <v>35.65</v>
      </c>
      <c r="C98" s="2976" t="s">
        <v>3334</v>
      </c>
      <c r="D98" s="2977"/>
      <c r="E98" s="3027">
        <v>5</v>
      </c>
      <c r="F98" s="2977"/>
      <c r="G98" s="2975">
        <v>7013</v>
      </c>
      <c r="H98" s="2977">
        <v>25</v>
      </c>
      <c r="I98" s="2977"/>
    </row>
    <row r="99" spans="1:9" s="2982" customFormat="1">
      <c r="A99" s="2976" t="s">
        <v>3335</v>
      </c>
      <c r="B99" s="2976">
        <v>41.83</v>
      </c>
      <c r="C99" s="2976" t="s">
        <v>3336</v>
      </c>
      <c r="D99" s="2977"/>
      <c r="E99" s="3027">
        <v>5</v>
      </c>
      <c r="F99" s="2977"/>
      <c r="G99" s="2975">
        <v>6933</v>
      </c>
      <c r="H99" s="2977">
        <v>29</v>
      </c>
      <c r="I99" s="2977"/>
    </row>
    <row r="100" spans="1:9" s="2982" customFormat="1">
      <c r="A100" s="2976" t="s">
        <v>3337</v>
      </c>
      <c r="B100" s="2976">
        <v>42.13</v>
      </c>
      <c r="C100" s="2976" t="s">
        <v>3338</v>
      </c>
      <c r="D100" s="2977"/>
      <c r="E100" s="3027">
        <v>5</v>
      </c>
      <c r="F100" s="2977"/>
      <c r="G100" s="2975">
        <v>6883</v>
      </c>
      <c r="H100" s="2977">
        <v>29</v>
      </c>
      <c r="I100" s="2977"/>
    </row>
    <row r="101" spans="1:9" s="2982" customFormat="1">
      <c r="A101" s="2976" t="s">
        <v>3339</v>
      </c>
      <c r="B101" s="2976">
        <v>42.13</v>
      </c>
      <c r="C101" s="2976" t="s">
        <v>3340</v>
      </c>
      <c r="D101" s="2977"/>
      <c r="E101" s="3027">
        <v>5</v>
      </c>
      <c r="F101" s="2977"/>
      <c r="G101" s="2975">
        <v>6883</v>
      </c>
      <c r="H101" s="2977">
        <v>29</v>
      </c>
      <c r="I101" s="2977"/>
    </row>
    <row r="102" spans="1:9" s="2982" customFormat="1">
      <c r="A102" s="2976" t="s">
        <v>3341</v>
      </c>
      <c r="B102" s="2976">
        <v>41.83</v>
      </c>
      <c r="C102" s="2976" t="s">
        <v>3342</v>
      </c>
      <c r="D102" s="2977"/>
      <c r="E102" s="3027">
        <v>5</v>
      </c>
      <c r="F102" s="2977"/>
      <c r="G102" s="2975">
        <v>6933</v>
      </c>
      <c r="H102" s="2977">
        <v>29</v>
      </c>
      <c r="I102" s="2977"/>
    </row>
    <row r="103" spans="1:9" s="2982" customFormat="1">
      <c r="A103" s="2976" t="s">
        <v>3343</v>
      </c>
      <c r="B103" s="2976">
        <v>42.13</v>
      </c>
      <c r="C103" s="2976" t="s">
        <v>3344</v>
      </c>
      <c r="D103" s="2977"/>
      <c r="E103" s="3027">
        <v>5</v>
      </c>
      <c r="F103" s="2977"/>
      <c r="G103" s="2975">
        <v>6883</v>
      </c>
      <c r="H103" s="2977">
        <v>29</v>
      </c>
      <c r="I103" s="2977"/>
    </row>
    <row r="104" spans="1:9" s="2982" customFormat="1">
      <c r="A104" s="2976" t="s">
        <v>3345</v>
      </c>
      <c r="B104" s="2976">
        <v>42.13</v>
      </c>
      <c r="C104" s="2976" t="s">
        <v>3346</v>
      </c>
      <c r="D104" s="2977"/>
      <c r="E104" s="3027">
        <v>5</v>
      </c>
      <c r="F104" s="2977"/>
      <c r="G104" s="2975">
        <v>6883</v>
      </c>
      <c r="H104" s="2977">
        <v>29</v>
      </c>
      <c r="I104" s="2977"/>
    </row>
    <row r="105" spans="1:9" s="2982" customFormat="1">
      <c r="A105" s="2976" t="s">
        <v>3347</v>
      </c>
      <c r="B105" s="2976">
        <v>42.13</v>
      </c>
      <c r="C105" s="2976" t="s">
        <v>3348</v>
      </c>
      <c r="D105" s="2977"/>
      <c r="E105" s="3027">
        <v>5</v>
      </c>
      <c r="F105" s="2977"/>
      <c r="G105" s="2975">
        <v>6883</v>
      </c>
      <c r="H105" s="2977">
        <v>29</v>
      </c>
      <c r="I105" s="2977"/>
    </row>
    <row r="106" spans="1:9" s="2982" customFormat="1">
      <c r="A106" s="2976" t="s">
        <v>3349</v>
      </c>
      <c r="B106" s="2976">
        <v>63.28</v>
      </c>
      <c r="C106" s="2976" t="s">
        <v>3350</v>
      </c>
      <c r="D106" s="2977"/>
      <c r="E106" s="3027">
        <v>5</v>
      </c>
      <c r="F106" s="2977"/>
      <c r="G106" s="2975">
        <v>6953</v>
      </c>
      <c r="H106" s="2977">
        <v>44</v>
      </c>
      <c r="I106" s="2977"/>
    </row>
    <row r="107" spans="1:9" s="2982" customFormat="1">
      <c r="A107" s="2976" t="s">
        <v>3351</v>
      </c>
      <c r="B107" s="2976">
        <v>62.1</v>
      </c>
      <c r="C107" s="2976" t="s">
        <v>3352</v>
      </c>
      <c r="D107" s="2977"/>
      <c r="E107" s="3027">
        <v>5</v>
      </c>
      <c r="F107" s="2977"/>
      <c r="G107" s="2975">
        <v>6924</v>
      </c>
      <c r="H107" s="2977">
        <v>43</v>
      </c>
      <c r="I107" s="2977"/>
    </row>
    <row r="108" spans="1:9" s="2982" customFormat="1">
      <c r="A108" s="2976" t="s">
        <v>3353</v>
      </c>
      <c r="B108" s="2976">
        <v>42.13</v>
      </c>
      <c r="C108" s="2976" t="s">
        <v>3354</v>
      </c>
      <c r="D108" s="2977"/>
      <c r="E108" s="3027">
        <v>5</v>
      </c>
      <c r="F108" s="2977"/>
      <c r="G108" s="2975">
        <v>6883</v>
      </c>
      <c r="H108" s="2977">
        <v>29</v>
      </c>
      <c r="I108" s="2977"/>
    </row>
    <row r="109" spans="1:9" s="2982" customFormat="1">
      <c r="A109" s="2976" t="s">
        <v>3355</v>
      </c>
      <c r="B109" s="2976">
        <v>42.13</v>
      </c>
      <c r="C109" s="2976" t="s">
        <v>3356</v>
      </c>
      <c r="D109" s="2977"/>
      <c r="E109" s="3027">
        <v>5</v>
      </c>
      <c r="F109" s="2977"/>
      <c r="G109" s="2975">
        <v>6883</v>
      </c>
      <c r="H109" s="2977">
        <v>29</v>
      </c>
      <c r="I109" s="2977"/>
    </row>
    <row r="110" spans="1:9" s="2982" customFormat="1">
      <c r="A110" s="2976" t="s">
        <v>3357</v>
      </c>
      <c r="B110" s="2976">
        <v>41.83</v>
      </c>
      <c r="C110" s="2976" t="s">
        <v>3358</v>
      </c>
      <c r="D110" s="2977"/>
      <c r="E110" s="3027">
        <v>5</v>
      </c>
      <c r="F110" s="2977"/>
      <c r="G110" s="2975">
        <v>6933</v>
      </c>
      <c r="H110" s="2977">
        <v>29</v>
      </c>
      <c r="I110" s="2977"/>
    </row>
    <row r="111" spans="1:9" s="2982" customFormat="1">
      <c r="A111" s="2976" t="s">
        <v>3359</v>
      </c>
      <c r="B111" s="2976">
        <v>42.13</v>
      </c>
      <c r="C111" s="2976" t="s">
        <v>3360</v>
      </c>
      <c r="D111" s="2977"/>
      <c r="E111" s="3027">
        <v>5</v>
      </c>
      <c r="F111" s="2977"/>
      <c r="G111" s="2975">
        <v>6883</v>
      </c>
      <c r="H111" s="2977">
        <v>29</v>
      </c>
      <c r="I111" s="2977"/>
    </row>
    <row r="112" spans="1:9" s="2982" customFormat="1">
      <c r="A112" s="2976" t="s">
        <v>3361</v>
      </c>
      <c r="B112" s="2976">
        <v>41.83</v>
      </c>
      <c r="C112" s="2976" t="s">
        <v>3362</v>
      </c>
      <c r="D112" s="2977"/>
      <c r="E112" s="3027">
        <v>5</v>
      </c>
      <c r="F112" s="2977"/>
      <c r="G112" s="2975">
        <v>6933</v>
      </c>
      <c r="H112" s="2977">
        <v>29</v>
      </c>
      <c r="I112" s="2977"/>
    </row>
    <row r="113" spans="1:11" s="2982" customFormat="1">
      <c r="A113" s="2976" t="s">
        <v>3363</v>
      </c>
      <c r="B113" s="2976">
        <v>57.34</v>
      </c>
      <c r="C113" s="2976" t="s">
        <v>3364</v>
      </c>
      <c r="D113" s="2977">
        <f>SUM(B83:B113)</f>
        <v>1361.3600000000001</v>
      </c>
      <c r="E113" s="3027">
        <v>5</v>
      </c>
      <c r="F113" s="2977"/>
      <c r="G113" s="2975">
        <v>6278</v>
      </c>
      <c r="H113" s="2977">
        <v>36</v>
      </c>
      <c r="I113" s="2977"/>
    </row>
    <row r="114" spans="1:11" s="2982" customFormat="1">
      <c r="A114" s="2976" t="s">
        <v>3365</v>
      </c>
      <c r="B114" s="2976">
        <v>720.27</v>
      </c>
      <c r="C114" s="2976" t="s">
        <v>3366</v>
      </c>
      <c r="D114" s="2976">
        <v>720.27</v>
      </c>
      <c r="E114" s="2974">
        <v>3</v>
      </c>
      <c r="F114" s="2977"/>
      <c r="G114" s="2975">
        <v>7638</v>
      </c>
      <c r="H114" s="2977">
        <v>550</v>
      </c>
      <c r="I114" s="2977"/>
      <c r="J114" s="2982">
        <f>SUM(H6:H114)</f>
        <v>15296</v>
      </c>
      <c r="K114" s="2982">
        <f ca="1">租约!K46</f>
        <v>15296</v>
      </c>
    </row>
    <row r="115" spans="1:11" s="2985" customFormat="1">
      <c r="A115" s="2983" t="s">
        <v>3367</v>
      </c>
      <c r="B115" s="2983">
        <v>2406.44</v>
      </c>
      <c r="C115" s="2983" t="s">
        <v>3368</v>
      </c>
      <c r="D115" s="2984"/>
      <c r="E115" s="3029">
        <v>1</v>
      </c>
      <c r="F115" s="2984"/>
      <c r="G115" s="2975">
        <v>19113</v>
      </c>
      <c r="H115" s="2977">
        <v>4599</v>
      </c>
      <c r="I115" s="2984"/>
    </row>
    <row r="116" spans="1:11">
      <c r="A116" s="2979" t="s">
        <v>3369</v>
      </c>
      <c r="B116" s="2979">
        <v>123.82</v>
      </c>
      <c r="C116" s="2979" t="s">
        <v>3370</v>
      </c>
      <c r="D116" s="2973"/>
      <c r="E116" s="3028">
        <v>1</v>
      </c>
      <c r="F116" s="2973"/>
      <c r="G116" s="2975">
        <v>19113</v>
      </c>
      <c r="H116" s="2977">
        <v>237</v>
      </c>
      <c r="I116" s="2973"/>
    </row>
    <row r="117" spans="1:11">
      <c r="A117" s="2979" t="s">
        <v>3371</v>
      </c>
      <c r="B117" s="2979">
        <v>58.65</v>
      </c>
      <c r="C117" s="2979" t="s">
        <v>3372</v>
      </c>
      <c r="D117" s="2973"/>
      <c r="E117" s="3028">
        <v>1</v>
      </c>
      <c r="F117" s="2973"/>
      <c r="G117" s="2975">
        <v>19113</v>
      </c>
      <c r="H117" s="2977">
        <v>112</v>
      </c>
      <c r="I117" s="2973"/>
    </row>
    <row r="118" spans="1:11">
      <c r="A118" s="2979" t="s">
        <v>3373</v>
      </c>
      <c r="B118" s="2979">
        <v>58.65</v>
      </c>
      <c r="C118" s="2979" t="s">
        <v>3374</v>
      </c>
      <c r="D118" s="2973"/>
      <c r="E118" s="3028">
        <v>1</v>
      </c>
      <c r="F118" s="2973"/>
      <c r="G118" s="2975">
        <v>19113</v>
      </c>
      <c r="H118" s="2977">
        <v>112</v>
      </c>
      <c r="I118" s="2973"/>
    </row>
    <row r="119" spans="1:11">
      <c r="A119" s="2979" t="s">
        <v>3375</v>
      </c>
      <c r="B119" s="2979">
        <v>58.65</v>
      </c>
      <c r="C119" s="2979" t="s">
        <v>3376</v>
      </c>
      <c r="D119" s="2973"/>
      <c r="E119" s="3028">
        <v>1</v>
      </c>
      <c r="F119" s="2973"/>
      <c r="G119" s="2975">
        <v>19113</v>
      </c>
      <c r="H119" s="2977">
        <v>112</v>
      </c>
      <c r="I119" s="2973"/>
    </row>
    <row r="120" spans="1:11">
      <c r="A120" s="2979" t="s">
        <v>3377</v>
      </c>
      <c r="B120" s="2979">
        <v>58.65</v>
      </c>
      <c r="C120" s="2979" t="s">
        <v>3378</v>
      </c>
      <c r="D120" s="2973"/>
      <c r="E120" s="3028">
        <v>1</v>
      </c>
      <c r="F120" s="2973"/>
      <c r="G120" s="2975">
        <v>19113</v>
      </c>
      <c r="H120" s="2977">
        <v>112</v>
      </c>
      <c r="I120" s="2973"/>
    </row>
    <row r="121" spans="1:11">
      <c r="A121" s="2979" t="s">
        <v>3379</v>
      </c>
      <c r="B121" s="2979">
        <v>58.65</v>
      </c>
      <c r="C121" s="2979" t="s">
        <v>3380</v>
      </c>
      <c r="D121" s="2973"/>
      <c r="E121" s="3028">
        <v>1</v>
      </c>
      <c r="F121" s="2973"/>
      <c r="G121" s="2975">
        <v>19113</v>
      </c>
      <c r="H121" s="2977">
        <v>112</v>
      </c>
      <c r="I121" s="2973"/>
    </row>
    <row r="122" spans="1:11">
      <c r="A122" s="2979" t="s">
        <v>3381</v>
      </c>
      <c r="B122" s="2979">
        <v>58.65</v>
      </c>
      <c r="C122" s="2979" t="s">
        <v>3382</v>
      </c>
      <c r="D122" s="2973"/>
      <c r="E122" s="3028">
        <v>1</v>
      </c>
      <c r="F122" s="2973"/>
      <c r="G122" s="2975">
        <v>19113</v>
      </c>
      <c r="H122" s="2977">
        <v>112</v>
      </c>
      <c r="I122" s="2973"/>
    </row>
    <row r="123" spans="1:11">
      <c r="A123" s="2979" t="s">
        <v>3383</v>
      </c>
      <c r="B123" s="2979">
        <v>58.65</v>
      </c>
      <c r="C123" s="2979" t="s">
        <v>3384</v>
      </c>
      <c r="D123" s="2973"/>
      <c r="E123" s="3028">
        <v>1</v>
      </c>
      <c r="F123" s="2973"/>
      <c r="G123" s="2975">
        <v>19113</v>
      </c>
      <c r="H123" s="2977">
        <v>112</v>
      </c>
      <c r="I123" s="2973"/>
    </row>
    <row r="124" spans="1:11">
      <c r="A124" s="2979" t="s">
        <v>3385</v>
      </c>
      <c r="B124" s="2979">
        <v>58.65</v>
      </c>
      <c r="C124" s="2979" t="s">
        <v>3386</v>
      </c>
      <c r="D124" s="2973"/>
      <c r="E124" s="3028">
        <v>1</v>
      </c>
      <c r="F124" s="2973"/>
      <c r="G124" s="2975">
        <v>19113</v>
      </c>
      <c r="H124" s="2977">
        <v>112</v>
      </c>
      <c r="I124" s="2973"/>
    </row>
    <row r="125" spans="1:11">
      <c r="A125" s="2979" t="s">
        <v>3387</v>
      </c>
      <c r="B125" s="2979">
        <v>58.65</v>
      </c>
      <c r="C125" s="2979" t="s">
        <v>3388</v>
      </c>
      <c r="D125" s="2973"/>
      <c r="E125" s="3028">
        <v>1</v>
      </c>
      <c r="F125" s="2973"/>
      <c r="G125" s="2975">
        <v>19113</v>
      </c>
      <c r="H125" s="2977">
        <v>112</v>
      </c>
      <c r="I125" s="2973"/>
    </row>
    <row r="126" spans="1:11">
      <c r="A126" s="2979" t="s">
        <v>3389</v>
      </c>
      <c r="B126" s="2979">
        <v>58.65</v>
      </c>
      <c r="C126" s="2979" t="s">
        <v>3390</v>
      </c>
      <c r="D126" s="2973"/>
      <c r="E126" s="3028">
        <v>1</v>
      </c>
      <c r="F126" s="2973"/>
      <c r="G126" s="2975">
        <v>19113</v>
      </c>
      <c r="H126" s="2977">
        <v>112</v>
      </c>
      <c r="I126" s="2973"/>
    </row>
    <row r="127" spans="1:11">
      <c r="A127" s="2979" t="s">
        <v>3391</v>
      </c>
      <c r="B127" s="2979">
        <v>53.35</v>
      </c>
      <c r="C127" s="2979" t="s">
        <v>3392</v>
      </c>
      <c r="D127" s="2973"/>
      <c r="E127" s="3028">
        <v>1</v>
      </c>
      <c r="F127" s="2973"/>
      <c r="G127" s="2975">
        <v>19113</v>
      </c>
      <c r="H127" s="2977">
        <v>102</v>
      </c>
      <c r="I127" s="2973"/>
    </row>
    <row r="128" spans="1:11">
      <c r="A128" s="2979" t="s">
        <v>3393</v>
      </c>
      <c r="B128" s="2979">
        <v>122.69</v>
      </c>
      <c r="C128" s="2979" t="s">
        <v>3394</v>
      </c>
      <c r="D128" s="2973"/>
      <c r="E128" s="3028">
        <v>1</v>
      </c>
      <c r="F128" s="2973"/>
      <c r="G128" s="2975">
        <v>19113</v>
      </c>
      <c r="H128" s="2977">
        <v>234</v>
      </c>
      <c r="I128" s="2973"/>
    </row>
    <row r="129" spans="1:9">
      <c r="A129" s="2979" t="s">
        <v>3395</v>
      </c>
      <c r="B129" s="2979">
        <v>83.16</v>
      </c>
      <c r="C129" s="2979" t="s">
        <v>3396</v>
      </c>
      <c r="D129" s="2973"/>
      <c r="E129" s="3028">
        <v>1</v>
      </c>
      <c r="F129" s="2973"/>
      <c r="G129" s="2975">
        <v>19113</v>
      </c>
      <c r="H129" s="2977">
        <v>159</v>
      </c>
      <c r="I129" s="2973"/>
    </row>
    <row r="130" spans="1:9">
      <c r="A130" s="2979" t="s">
        <v>3397</v>
      </c>
      <c r="B130" s="2979">
        <v>89.03</v>
      </c>
      <c r="C130" s="2979" t="s">
        <v>3398</v>
      </c>
      <c r="D130" s="2973"/>
      <c r="E130" s="3028">
        <v>1</v>
      </c>
      <c r="F130" s="2973"/>
      <c r="G130" s="2975">
        <v>19113</v>
      </c>
      <c r="H130" s="2977">
        <v>170</v>
      </c>
      <c r="I130" s="2973"/>
    </row>
    <row r="131" spans="1:9">
      <c r="A131" s="2979" t="s">
        <v>3399</v>
      </c>
      <c r="B131" s="2979">
        <v>80.650000000000006</v>
      </c>
      <c r="C131" s="2979" t="s">
        <v>3400</v>
      </c>
      <c r="D131" s="2973"/>
      <c r="E131" s="3028">
        <v>1</v>
      </c>
      <c r="F131" s="2973"/>
      <c r="G131" s="2975">
        <v>19113</v>
      </c>
      <c r="H131" s="2977">
        <v>154</v>
      </c>
      <c r="I131" s="2973"/>
    </row>
    <row r="132" spans="1:9">
      <c r="A132" s="2979" t="s">
        <v>3401</v>
      </c>
      <c r="B132" s="2979">
        <v>127.75</v>
      </c>
      <c r="C132" s="2979" t="s">
        <v>3402</v>
      </c>
      <c r="D132" s="2973"/>
      <c r="E132" s="3028">
        <v>1</v>
      </c>
      <c r="F132" s="2973"/>
      <c r="G132" s="2975">
        <v>19113</v>
      </c>
      <c r="H132" s="2977">
        <v>244</v>
      </c>
      <c r="I132" s="2973"/>
    </row>
    <row r="133" spans="1:9">
      <c r="A133" s="2979" t="s">
        <v>3403</v>
      </c>
      <c r="B133" s="2979">
        <v>66.48</v>
      </c>
      <c r="C133" s="2979" t="s">
        <v>3404</v>
      </c>
      <c r="D133" s="2973"/>
      <c r="E133" s="3028">
        <v>1</v>
      </c>
      <c r="F133" s="2973"/>
      <c r="G133" s="2975">
        <v>19113</v>
      </c>
      <c r="H133" s="2977">
        <v>127</v>
      </c>
      <c r="I133" s="2973"/>
    </row>
    <row r="134" spans="1:9">
      <c r="A134" s="2979" t="s">
        <v>3405</v>
      </c>
      <c r="B134" s="2979">
        <v>67.680000000000007</v>
      </c>
      <c r="C134" s="2979" t="s">
        <v>3406</v>
      </c>
      <c r="D134" s="2973"/>
      <c r="E134" s="3028">
        <v>1</v>
      </c>
      <c r="F134" s="2973"/>
      <c r="G134" s="2975">
        <v>19113</v>
      </c>
      <c r="H134" s="2977">
        <v>129</v>
      </c>
      <c r="I134" s="2973"/>
    </row>
    <row r="135" spans="1:9">
      <c r="A135" s="2979" t="s">
        <v>3407</v>
      </c>
      <c r="B135" s="2979">
        <v>67.680000000000007</v>
      </c>
      <c r="C135" s="2979" t="s">
        <v>3408</v>
      </c>
      <c r="D135" s="2973"/>
      <c r="E135" s="3028">
        <v>1</v>
      </c>
      <c r="F135" s="2973"/>
      <c r="G135" s="2975">
        <v>19113</v>
      </c>
      <c r="H135" s="2977">
        <v>129</v>
      </c>
      <c r="I135" s="2973"/>
    </row>
    <row r="136" spans="1:9">
      <c r="A136" s="2979" t="s">
        <v>3409</v>
      </c>
      <c r="B136" s="2979">
        <v>63.87</v>
      </c>
      <c r="C136" s="2979" t="s">
        <v>3410</v>
      </c>
      <c r="D136" s="2973"/>
      <c r="E136" s="3028">
        <v>1</v>
      </c>
      <c r="F136" s="2973"/>
      <c r="G136" s="2975">
        <v>19113</v>
      </c>
      <c r="H136" s="2977">
        <v>122</v>
      </c>
      <c r="I136" s="2973"/>
    </row>
    <row r="137" spans="1:9">
      <c r="A137" s="2979" t="s">
        <v>3411</v>
      </c>
      <c r="B137" s="2979">
        <v>67.680000000000007</v>
      </c>
      <c r="C137" s="2979" t="s">
        <v>3412</v>
      </c>
      <c r="D137" s="2973"/>
      <c r="E137" s="3028">
        <v>1</v>
      </c>
      <c r="F137" s="2973"/>
      <c r="G137" s="2975">
        <v>19113</v>
      </c>
      <c r="H137" s="2977">
        <v>129</v>
      </c>
      <c r="I137" s="2973"/>
    </row>
    <row r="138" spans="1:9">
      <c r="A138" s="2979" t="s">
        <v>3413</v>
      </c>
      <c r="B138" s="2979">
        <v>67.680000000000007</v>
      </c>
      <c r="C138" s="2979" t="s">
        <v>3414</v>
      </c>
      <c r="D138" s="2973"/>
      <c r="E138" s="3028">
        <v>1</v>
      </c>
      <c r="F138" s="2973"/>
      <c r="G138" s="2975">
        <v>19113</v>
      </c>
      <c r="H138" s="2977">
        <v>129</v>
      </c>
      <c r="I138" s="2973"/>
    </row>
    <row r="139" spans="1:9">
      <c r="A139" s="2979" t="s">
        <v>3415</v>
      </c>
      <c r="B139" s="2979">
        <v>68.89</v>
      </c>
      <c r="C139" s="2979" t="s">
        <v>3416</v>
      </c>
      <c r="D139" s="2973"/>
      <c r="E139" s="3028">
        <v>1</v>
      </c>
      <c r="F139" s="2973"/>
      <c r="G139" s="2975">
        <v>19113</v>
      </c>
      <c r="H139" s="2977">
        <v>132</v>
      </c>
      <c r="I139" s="2973"/>
    </row>
    <row r="140" spans="1:9">
      <c r="A140" s="2979" t="s">
        <v>3417</v>
      </c>
      <c r="B140" s="2979">
        <v>44.18</v>
      </c>
      <c r="C140" s="2979" t="s">
        <v>3418</v>
      </c>
      <c r="D140" s="2973"/>
      <c r="E140" s="3028">
        <v>1</v>
      </c>
      <c r="F140" s="2973"/>
      <c r="G140" s="2975">
        <v>19113</v>
      </c>
      <c r="H140" s="2977">
        <v>84</v>
      </c>
      <c r="I140" s="2973"/>
    </row>
    <row r="141" spans="1:9">
      <c r="A141" s="2979" t="s">
        <v>3419</v>
      </c>
      <c r="B141" s="2979">
        <v>43.93</v>
      </c>
      <c r="C141" s="2979" t="s">
        <v>3420</v>
      </c>
      <c r="D141" s="2973"/>
      <c r="E141" s="3028">
        <v>1</v>
      </c>
      <c r="F141" s="2973"/>
      <c r="G141" s="2975">
        <v>19113</v>
      </c>
      <c r="H141" s="2977">
        <v>84</v>
      </c>
      <c r="I141" s="2973"/>
    </row>
    <row r="142" spans="1:9">
      <c r="A142" s="2979" t="s">
        <v>3421</v>
      </c>
      <c r="B142" s="2979">
        <v>42.05</v>
      </c>
      <c r="C142" s="2979" t="s">
        <v>3422</v>
      </c>
      <c r="D142" s="2973"/>
      <c r="E142" s="3028">
        <v>1</v>
      </c>
      <c r="F142" s="2973"/>
      <c r="G142" s="2975">
        <v>19113</v>
      </c>
      <c r="H142" s="2977">
        <v>80</v>
      </c>
      <c r="I142" s="2973"/>
    </row>
    <row r="143" spans="1:9">
      <c r="A143" s="2979" t="s">
        <v>3423</v>
      </c>
      <c r="B143" s="2979">
        <v>46.06</v>
      </c>
      <c r="C143" s="2979" t="s">
        <v>3424</v>
      </c>
      <c r="D143" s="2973"/>
      <c r="E143" s="3028">
        <v>1</v>
      </c>
      <c r="F143" s="2973"/>
      <c r="G143" s="2975">
        <v>19113</v>
      </c>
      <c r="H143" s="2977">
        <v>88</v>
      </c>
      <c r="I143" s="2973"/>
    </row>
    <row r="144" spans="1:9">
      <c r="A144" s="2979" t="s">
        <v>3425</v>
      </c>
      <c r="B144" s="2979">
        <v>68.89</v>
      </c>
      <c r="C144" s="2979" t="s">
        <v>3426</v>
      </c>
      <c r="D144" s="2973"/>
      <c r="E144" s="3028">
        <v>1</v>
      </c>
      <c r="F144" s="2973"/>
      <c r="G144" s="2975">
        <v>19113</v>
      </c>
      <c r="H144" s="2977">
        <v>132</v>
      </c>
      <c r="I144" s="2973"/>
    </row>
    <row r="145" spans="1:9">
      <c r="A145" s="2979" t="s">
        <v>3427</v>
      </c>
      <c r="B145" s="2979">
        <v>67.680000000000007</v>
      </c>
      <c r="C145" s="2979" t="s">
        <v>3428</v>
      </c>
      <c r="D145" s="2973"/>
      <c r="E145" s="3028">
        <v>1</v>
      </c>
      <c r="F145" s="2973"/>
      <c r="G145" s="2975">
        <v>19113</v>
      </c>
      <c r="H145" s="2977">
        <v>129</v>
      </c>
      <c r="I145" s="2973"/>
    </row>
    <row r="146" spans="1:9">
      <c r="A146" s="2979" t="s">
        <v>3429</v>
      </c>
      <c r="B146" s="2979">
        <v>67.680000000000007</v>
      </c>
      <c r="C146" s="2979" t="s">
        <v>3430</v>
      </c>
      <c r="D146" s="2973"/>
      <c r="E146" s="3028">
        <v>1</v>
      </c>
      <c r="F146" s="2973"/>
      <c r="G146" s="2975">
        <v>19113</v>
      </c>
      <c r="H146" s="2977">
        <v>129</v>
      </c>
      <c r="I146" s="2973"/>
    </row>
    <row r="147" spans="1:9">
      <c r="A147" s="2979" t="s">
        <v>3431</v>
      </c>
      <c r="B147" s="2979">
        <v>63.87</v>
      </c>
      <c r="C147" s="2979" t="s">
        <v>3432</v>
      </c>
      <c r="D147" s="2973"/>
      <c r="E147" s="3028">
        <v>1</v>
      </c>
      <c r="F147" s="2973"/>
      <c r="G147" s="2975">
        <v>19113</v>
      </c>
      <c r="H147" s="2977">
        <v>122</v>
      </c>
      <c r="I147" s="2973"/>
    </row>
    <row r="148" spans="1:9">
      <c r="A148" s="2979" t="s">
        <v>3433</v>
      </c>
      <c r="B148" s="2979">
        <v>67.680000000000007</v>
      </c>
      <c r="C148" s="2979" t="s">
        <v>3434</v>
      </c>
      <c r="D148" s="2973"/>
      <c r="E148" s="3028">
        <v>1</v>
      </c>
      <c r="F148" s="2973"/>
      <c r="G148" s="2975">
        <v>19113</v>
      </c>
      <c r="H148" s="2977">
        <v>129</v>
      </c>
      <c r="I148" s="2973"/>
    </row>
    <row r="149" spans="1:9">
      <c r="A149" s="2979" t="s">
        <v>3435</v>
      </c>
      <c r="B149" s="2979">
        <v>67.680000000000007</v>
      </c>
      <c r="C149" s="2979" t="s">
        <v>3436</v>
      </c>
      <c r="D149" s="2973"/>
      <c r="E149" s="3028">
        <v>1</v>
      </c>
      <c r="F149" s="2973"/>
      <c r="G149" s="2975">
        <v>19113</v>
      </c>
      <c r="H149" s="2977">
        <v>129</v>
      </c>
      <c r="I149" s="2973"/>
    </row>
    <row r="150" spans="1:9">
      <c r="A150" s="2979" t="s">
        <v>3437</v>
      </c>
      <c r="B150" s="2979">
        <v>83.4</v>
      </c>
      <c r="C150" s="2979" t="s">
        <v>3438</v>
      </c>
      <c r="D150" s="2973"/>
      <c r="E150" s="3028">
        <v>1</v>
      </c>
      <c r="F150" s="2973"/>
      <c r="G150" s="2975">
        <v>19113</v>
      </c>
      <c r="H150" s="2977">
        <v>159</v>
      </c>
      <c r="I150" s="2973"/>
    </row>
    <row r="151" spans="1:9">
      <c r="A151" s="2979" t="s">
        <v>3439</v>
      </c>
      <c r="B151" s="2979">
        <v>121.05</v>
      </c>
      <c r="C151" s="2979" t="s">
        <v>3440</v>
      </c>
      <c r="D151" s="2973"/>
      <c r="E151" s="3028">
        <v>1</v>
      </c>
      <c r="F151" s="2973"/>
      <c r="G151" s="2975">
        <v>19113</v>
      </c>
      <c r="H151" s="2977">
        <v>231</v>
      </c>
      <c r="I151" s="2973"/>
    </row>
    <row r="152" spans="1:9">
      <c r="A152" s="2979" t="s">
        <v>3441</v>
      </c>
      <c r="B152" s="2979">
        <v>71.489999999999995</v>
      </c>
      <c r="C152" s="2979" t="s">
        <v>3442</v>
      </c>
      <c r="D152" s="2973"/>
      <c r="E152" s="3028">
        <v>1</v>
      </c>
      <c r="F152" s="2973"/>
      <c r="G152" s="2975">
        <v>19113</v>
      </c>
      <c r="H152" s="2977">
        <v>137</v>
      </c>
      <c r="I152" s="2973"/>
    </row>
    <row r="153" spans="1:9">
      <c r="A153" s="2979" t="s">
        <v>3443</v>
      </c>
      <c r="B153" s="2979">
        <v>57.9</v>
      </c>
      <c r="C153" s="2979" t="s">
        <v>3444</v>
      </c>
      <c r="D153" s="2973"/>
      <c r="E153" s="3028">
        <v>1</v>
      </c>
      <c r="F153" s="2973"/>
      <c r="G153" s="2975">
        <v>19113</v>
      </c>
      <c r="H153" s="2977">
        <v>111</v>
      </c>
      <c r="I153" s="2973"/>
    </row>
    <row r="154" spans="1:9">
      <c r="A154" s="2979" t="s">
        <v>3445</v>
      </c>
      <c r="B154" s="2979">
        <v>57.9</v>
      </c>
      <c r="C154" s="2979" t="s">
        <v>3446</v>
      </c>
      <c r="D154" s="2973"/>
      <c r="E154" s="3028">
        <v>1</v>
      </c>
      <c r="F154" s="2973"/>
      <c r="G154" s="2975">
        <v>19113</v>
      </c>
      <c r="H154" s="2977">
        <v>111</v>
      </c>
      <c r="I154" s="2973"/>
    </row>
    <row r="155" spans="1:9">
      <c r="A155" s="2979" t="s">
        <v>3447</v>
      </c>
      <c r="B155" s="2979">
        <v>78.66</v>
      </c>
      <c r="C155" s="2979" t="s">
        <v>3448</v>
      </c>
      <c r="D155" s="2973"/>
      <c r="E155" s="3028">
        <v>1</v>
      </c>
      <c r="F155" s="2973"/>
      <c r="G155" s="2975">
        <v>19113</v>
      </c>
      <c r="H155" s="2977">
        <v>150</v>
      </c>
      <c r="I155" s="2973"/>
    </row>
    <row r="156" spans="1:9">
      <c r="A156" s="2979" t="s">
        <v>3449</v>
      </c>
      <c r="B156" s="2979">
        <v>120.98</v>
      </c>
      <c r="C156" s="2979" t="s">
        <v>3450</v>
      </c>
      <c r="D156" s="2973"/>
      <c r="E156" s="3028">
        <v>1</v>
      </c>
      <c r="F156" s="2973"/>
      <c r="G156" s="2975">
        <v>19113</v>
      </c>
      <c r="H156" s="2977">
        <v>231</v>
      </c>
      <c r="I156" s="2973"/>
    </row>
    <row r="157" spans="1:9">
      <c r="A157" s="2979" t="s">
        <v>3451</v>
      </c>
      <c r="B157" s="2979">
        <v>67.489999999999995</v>
      </c>
      <c r="C157" s="2979" t="s">
        <v>3452</v>
      </c>
      <c r="D157" s="2973"/>
      <c r="E157" s="3028">
        <v>1</v>
      </c>
      <c r="F157" s="2973"/>
      <c r="G157" s="2975">
        <v>19113</v>
      </c>
      <c r="H157" s="2977">
        <v>129</v>
      </c>
      <c r="I157" s="2973"/>
    </row>
    <row r="158" spans="1:9">
      <c r="A158" s="2979" t="s">
        <v>3453</v>
      </c>
      <c r="B158" s="2979">
        <v>61.8</v>
      </c>
      <c r="C158" s="2979" t="s">
        <v>3454</v>
      </c>
      <c r="D158" s="2973"/>
      <c r="E158" s="3028">
        <v>1</v>
      </c>
      <c r="F158" s="2973"/>
      <c r="G158" s="2975">
        <v>19113</v>
      </c>
      <c r="H158" s="2977">
        <v>118</v>
      </c>
      <c r="I158" s="2973"/>
    </row>
    <row r="159" spans="1:9">
      <c r="A159" s="2979" t="s">
        <v>3455</v>
      </c>
      <c r="B159" s="2979">
        <v>59.85</v>
      </c>
      <c r="C159" s="2979" t="s">
        <v>3456</v>
      </c>
      <c r="D159" s="2973"/>
      <c r="E159" s="3028">
        <v>1</v>
      </c>
      <c r="F159" s="2973"/>
      <c r="G159" s="2975">
        <v>19113</v>
      </c>
      <c r="H159" s="2977">
        <v>114</v>
      </c>
      <c r="I159" s="2973"/>
    </row>
    <row r="160" spans="1:9">
      <c r="A160" s="2979" t="s">
        <v>3457</v>
      </c>
      <c r="B160" s="2979">
        <v>31.18</v>
      </c>
      <c r="C160" s="2979" t="s">
        <v>3458</v>
      </c>
      <c r="D160" s="2973"/>
      <c r="E160" s="3028">
        <v>1</v>
      </c>
      <c r="F160" s="2973"/>
      <c r="G160" s="2975">
        <v>19113</v>
      </c>
      <c r="H160" s="2977">
        <v>60</v>
      </c>
      <c r="I160" s="2973"/>
    </row>
    <row r="161" spans="1:9">
      <c r="A161" s="2979" t="s">
        <v>3459</v>
      </c>
      <c r="B161" s="2979">
        <v>61.98</v>
      </c>
      <c r="C161" s="2979" t="s">
        <v>3460</v>
      </c>
      <c r="D161" s="2973"/>
      <c r="E161" s="3028">
        <v>1</v>
      </c>
      <c r="F161" s="2973"/>
      <c r="G161" s="2975">
        <v>19113</v>
      </c>
      <c r="H161" s="2977">
        <v>118</v>
      </c>
      <c r="I161" s="2973"/>
    </row>
    <row r="162" spans="1:9">
      <c r="A162" s="2979" t="s">
        <v>3461</v>
      </c>
      <c r="B162" s="2979">
        <v>115.2</v>
      </c>
      <c r="C162" s="2979" t="s">
        <v>3462</v>
      </c>
      <c r="D162" s="2973"/>
      <c r="E162" s="3028">
        <v>1</v>
      </c>
      <c r="F162" s="2973"/>
      <c r="G162" s="2975">
        <v>19113</v>
      </c>
      <c r="H162" s="2977">
        <v>220</v>
      </c>
      <c r="I162" s="2973"/>
    </row>
    <row r="163" spans="1:9">
      <c r="A163" s="2979" t="s">
        <v>3463</v>
      </c>
      <c r="B163" s="2979">
        <v>125.88</v>
      </c>
      <c r="C163" s="2979" t="s">
        <v>3464</v>
      </c>
      <c r="D163" s="2973"/>
      <c r="E163" s="3028">
        <v>1</v>
      </c>
      <c r="F163" s="2973"/>
      <c r="G163" s="2975">
        <v>19113</v>
      </c>
      <c r="H163" s="2977">
        <v>241</v>
      </c>
      <c r="I163" s="2973"/>
    </row>
    <row r="164" spans="1:9">
      <c r="A164" s="2979" t="s">
        <v>3465</v>
      </c>
      <c r="B164" s="2979">
        <v>90.5</v>
      </c>
      <c r="C164" s="2979" t="s">
        <v>3466</v>
      </c>
      <c r="D164" s="2973"/>
      <c r="E164" s="3028">
        <v>1</v>
      </c>
      <c r="F164" s="2973"/>
      <c r="G164" s="2975">
        <v>19113</v>
      </c>
      <c r="H164" s="2977">
        <v>173</v>
      </c>
      <c r="I164" s="2973"/>
    </row>
    <row r="165" spans="1:9">
      <c r="A165" s="2979" t="s">
        <v>3467</v>
      </c>
      <c r="B165" s="2979">
        <v>74.680000000000007</v>
      </c>
      <c r="C165" s="2979" t="s">
        <v>3468</v>
      </c>
      <c r="D165" s="2973"/>
      <c r="E165" s="3028">
        <v>1</v>
      </c>
      <c r="F165" s="2973"/>
      <c r="G165" s="2975">
        <v>19113</v>
      </c>
      <c r="H165" s="2977">
        <v>143</v>
      </c>
      <c r="I165" s="2973"/>
    </row>
    <row r="166" spans="1:9">
      <c r="A166" s="2979" t="s">
        <v>3469</v>
      </c>
      <c r="B166" s="2979">
        <v>41.86</v>
      </c>
      <c r="C166" s="2979" t="s">
        <v>3470</v>
      </c>
      <c r="D166" s="2973"/>
      <c r="E166" s="3028">
        <v>1</v>
      </c>
      <c r="F166" s="2973"/>
      <c r="G166" s="2975">
        <v>19113</v>
      </c>
      <c r="H166" s="2977">
        <v>80</v>
      </c>
      <c r="I166" s="2973"/>
    </row>
    <row r="167" spans="1:9">
      <c r="A167" s="2979" t="s">
        <v>3471</v>
      </c>
      <c r="B167" s="2979">
        <v>41.86</v>
      </c>
      <c r="C167" s="2979" t="s">
        <v>3472</v>
      </c>
      <c r="D167" s="2973"/>
      <c r="E167" s="3028">
        <v>1</v>
      </c>
      <c r="F167" s="2973"/>
      <c r="G167" s="2975">
        <v>19113</v>
      </c>
      <c r="H167" s="2977">
        <v>80</v>
      </c>
      <c r="I167" s="2973"/>
    </row>
    <row r="168" spans="1:9">
      <c r="A168" s="2979" t="s">
        <v>3473</v>
      </c>
      <c r="B168" s="2979">
        <v>74.680000000000007</v>
      </c>
      <c r="C168" s="2979" t="s">
        <v>3474</v>
      </c>
      <c r="D168" s="2973"/>
      <c r="E168" s="3028">
        <v>1</v>
      </c>
      <c r="F168" s="2973"/>
      <c r="G168" s="2975">
        <v>19113</v>
      </c>
      <c r="H168" s="2977">
        <v>143</v>
      </c>
      <c r="I168" s="2973"/>
    </row>
    <row r="169" spans="1:9">
      <c r="A169" s="2979" t="s">
        <v>3475</v>
      </c>
      <c r="B169" s="2979">
        <v>90.5</v>
      </c>
      <c r="C169" s="2979" t="s">
        <v>3476</v>
      </c>
      <c r="D169" s="2973"/>
      <c r="E169" s="3028">
        <v>1</v>
      </c>
      <c r="F169" s="2973"/>
      <c r="G169" s="2975">
        <v>19113</v>
      </c>
      <c r="H169" s="2977">
        <v>173</v>
      </c>
      <c r="I169" s="2973"/>
    </row>
    <row r="170" spans="1:9">
      <c r="A170" s="2979" t="s">
        <v>3477</v>
      </c>
      <c r="B170" s="2979">
        <v>125.9</v>
      </c>
      <c r="C170" s="2979" t="s">
        <v>3478</v>
      </c>
      <c r="D170" s="2973"/>
      <c r="E170" s="3028">
        <v>1</v>
      </c>
      <c r="F170" s="2973"/>
      <c r="G170" s="2975">
        <v>19113</v>
      </c>
      <c r="H170" s="2977">
        <v>241</v>
      </c>
      <c r="I170" s="2973"/>
    </row>
    <row r="171" spans="1:9">
      <c r="A171" s="2979" t="s">
        <v>3479</v>
      </c>
      <c r="B171" s="2979">
        <v>115.22</v>
      </c>
      <c r="C171" s="2979" t="s">
        <v>3480</v>
      </c>
      <c r="D171" s="2973"/>
      <c r="E171" s="3028">
        <v>1</v>
      </c>
      <c r="F171" s="2973"/>
      <c r="G171" s="2975">
        <v>19113</v>
      </c>
      <c r="H171" s="2977">
        <v>220</v>
      </c>
      <c r="I171" s="2973"/>
    </row>
    <row r="172" spans="1:9">
      <c r="A172" s="2979" t="s">
        <v>3481</v>
      </c>
      <c r="B172" s="2979">
        <v>61.98</v>
      </c>
      <c r="C172" s="2979" t="s">
        <v>3482</v>
      </c>
      <c r="D172" s="2973"/>
      <c r="E172" s="3028">
        <v>1</v>
      </c>
      <c r="F172" s="2973"/>
      <c r="G172" s="2975">
        <v>19113</v>
      </c>
      <c r="H172" s="2977">
        <v>118</v>
      </c>
      <c r="I172" s="2973"/>
    </row>
    <row r="173" spans="1:9">
      <c r="A173" s="2979" t="s">
        <v>3483</v>
      </c>
      <c r="B173" s="2979">
        <v>84.76</v>
      </c>
      <c r="C173" s="2979" t="s">
        <v>3484</v>
      </c>
      <c r="D173" s="2973"/>
      <c r="E173" s="3028">
        <v>1</v>
      </c>
      <c r="F173" s="2973"/>
      <c r="G173" s="2975">
        <v>19113</v>
      </c>
      <c r="H173" s="2977">
        <v>162</v>
      </c>
      <c r="I173" s="2973"/>
    </row>
    <row r="174" spans="1:9">
      <c r="A174" s="2979" t="s">
        <v>3485</v>
      </c>
      <c r="B174" s="2979">
        <v>67.489999999999995</v>
      </c>
      <c r="C174" s="2979" t="s">
        <v>3486</v>
      </c>
      <c r="D174" s="2973"/>
      <c r="E174" s="3028">
        <v>1</v>
      </c>
      <c r="F174" s="2973"/>
      <c r="G174" s="2975">
        <v>19113</v>
      </c>
      <c r="H174" s="2977">
        <v>129</v>
      </c>
      <c r="I174" s="2973"/>
    </row>
    <row r="175" spans="1:9">
      <c r="A175" s="2979" t="s">
        <v>3487</v>
      </c>
      <c r="B175" s="2979">
        <v>118.86</v>
      </c>
      <c r="C175" s="2979" t="s">
        <v>3488</v>
      </c>
      <c r="D175" s="2973"/>
      <c r="E175" s="3028">
        <v>1</v>
      </c>
      <c r="F175" s="2973"/>
      <c r="G175" s="2975">
        <v>19113</v>
      </c>
      <c r="H175" s="2977">
        <v>227</v>
      </c>
      <c r="I175" s="2973"/>
    </row>
    <row r="176" spans="1:9">
      <c r="A176" s="2979" t="s">
        <v>3489</v>
      </c>
      <c r="B176" s="2979">
        <v>109.81</v>
      </c>
      <c r="C176" s="2979" t="s">
        <v>3490</v>
      </c>
      <c r="D176" s="2973"/>
      <c r="E176" s="3028">
        <v>1</v>
      </c>
      <c r="F176" s="2973"/>
      <c r="G176" s="2975">
        <v>19113</v>
      </c>
      <c r="H176" s="2977">
        <v>210</v>
      </c>
      <c r="I176" s="2973"/>
    </row>
    <row r="177" spans="1:9">
      <c r="A177" s="2979" t="s">
        <v>3491</v>
      </c>
      <c r="B177" s="2979">
        <v>15.79</v>
      </c>
      <c r="C177" s="2979" t="s">
        <v>3492</v>
      </c>
      <c r="D177" s="2973"/>
      <c r="E177" s="3028">
        <v>1</v>
      </c>
      <c r="F177" s="2973"/>
      <c r="G177" s="2975">
        <v>19113</v>
      </c>
      <c r="H177" s="2977">
        <v>30</v>
      </c>
      <c r="I177" s="2973"/>
    </row>
    <row r="178" spans="1:9">
      <c r="A178" s="2979" t="s">
        <v>3493</v>
      </c>
      <c r="B178" s="2979">
        <v>21.64</v>
      </c>
      <c r="C178" s="2979" t="s">
        <v>3494</v>
      </c>
      <c r="D178" s="2973">
        <f>SUM(B115:B178)</f>
        <v>6973.3400000000011</v>
      </c>
      <c r="E178" s="3028">
        <v>1</v>
      </c>
      <c r="F178" s="2973"/>
      <c r="G178" s="2975">
        <v>19113</v>
      </c>
      <c r="H178" s="2977">
        <v>41</v>
      </c>
      <c r="I178" s="2973"/>
    </row>
    <row r="179" spans="1:9">
      <c r="A179" s="2979" t="s">
        <v>3495</v>
      </c>
      <c r="B179" s="2979">
        <v>4537.3</v>
      </c>
      <c r="C179" s="2979" t="s">
        <v>3496</v>
      </c>
      <c r="D179" s="2973"/>
      <c r="E179" s="3028">
        <v>2</v>
      </c>
      <c r="F179" s="2973"/>
      <c r="G179" s="2975">
        <v>14016</v>
      </c>
      <c r="H179" s="2977">
        <v>6359</v>
      </c>
      <c r="I179" s="2973"/>
    </row>
    <row r="180" spans="1:9">
      <c r="A180" s="2979" t="s">
        <v>3497</v>
      </c>
      <c r="B180" s="2979">
        <v>109.84</v>
      </c>
      <c r="C180" s="2979" t="s">
        <v>3498</v>
      </c>
      <c r="D180" s="2973"/>
      <c r="E180" s="3028">
        <v>2</v>
      </c>
      <c r="F180" s="2973"/>
      <c r="G180" s="2975">
        <v>14016</v>
      </c>
      <c r="H180" s="2977">
        <v>154</v>
      </c>
      <c r="I180" s="2973"/>
    </row>
    <row r="181" spans="1:9">
      <c r="A181" s="2979" t="s">
        <v>3499</v>
      </c>
      <c r="B181" s="2979">
        <v>99.91</v>
      </c>
      <c r="C181" s="2979" t="s">
        <v>3500</v>
      </c>
      <c r="D181" s="2973"/>
      <c r="E181" s="3028">
        <v>2</v>
      </c>
      <c r="F181" s="2973"/>
      <c r="G181" s="2975">
        <v>14016</v>
      </c>
      <c r="H181" s="2977">
        <v>140</v>
      </c>
      <c r="I181" s="2973"/>
    </row>
    <row r="182" spans="1:9">
      <c r="A182" s="2979" t="s">
        <v>3501</v>
      </c>
      <c r="B182" s="2979">
        <v>95.83</v>
      </c>
      <c r="C182" s="2979" t="s">
        <v>3502</v>
      </c>
      <c r="D182" s="2973"/>
      <c r="E182" s="3028">
        <v>2</v>
      </c>
      <c r="F182" s="2973"/>
      <c r="G182" s="2975">
        <v>14016</v>
      </c>
      <c r="H182" s="2977">
        <v>134</v>
      </c>
      <c r="I182" s="2973"/>
    </row>
    <row r="183" spans="1:9">
      <c r="A183" s="2979" t="s">
        <v>3503</v>
      </c>
      <c r="B183" s="2979">
        <v>95.83</v>
      </c>
      <c r="C183" s="2979" t="s">
        <v>3504</v>
      </c>
      <c r="D183" s="2973"/>
      <c r="E183" s="3028">
        <v>2</v>
      </c>
      <c r="F183" s="2973"/>
      <c r="G183" s="2975">
        <v>14016</v>
      </c>
      <c r="H183" s="2977">
        <v>134</v>
      </c>
      <c r="I183" s="2973"/>
    </row>
    <row r="184" spans="1:9">
      <c r="A184" s="2979" t="s">
        <v>3505</v>
      </c>
      <c r="B184" s="2979">
        <v>82.58</v>
      </c>
      <c r="C184" s="2979" t="s">
        <v>3506</v>
      </c>
      <c r="D184" s="2973"/>
      <c r="E184" s="3028">
        <v>2</v>
      </c>
      <c r="F184" s="2973"/>
      <c r="G184" s="2975">
        <v>14016</v>
      </c>
      <c r="H184" s="2977">
        <v>116</v>
      </c>
      <c r="I184" s="2973"/>
    </row>
    <row r="185" spans="1:9">
      <c r="A185" s="2979" t="s">
        <v>3507</v>
      </c>
      <c r="B185" s="2979">
        <v>82.58</v>
      </c>
      <c r="C185" s="2979" t="s">
        <v>3508</v>
      </c>
      <c r="D185" s="2973"/>
      <c r="E185" s="3028">
        <v>2</v>
      </c>
      <c r="F185" s="2973"/>
      <c r="G185" s="2975">
        <v>14016</v>
      </c>
      <c r="H185" s="2977">
        <v>116</v>
      </c>
      <c r="I185" s="2973"/>
    </row>
    <row r="186" spans="1:9">
      <c r="A186" s="2979" t="s">
        <v>3509</v>
      </c>
      <c r="B186" s="2979">
        <v>89.71</v>
      </c>
      <c r="C186" s="2979" t="s">
        <v>3510</v>
      </c>
      <c r="D186" s="2973"/>
      <c r="E186" s="3028">
        <v>2</v>
      </c>
      <c r="F186" s="2973"/>
      <c r="G186" s="2975">
        <v>14016</v>
      </c>
      <c r="H186" s="2977">
        <v>126</v>
      </c>
      <c r="I186" s="2973"/>
    </row>
    <row r="187" spans="1:9">
      <c r="A187" s="2979" t="s">
        <v>3511</v>
      </c>
      <c r="B187" s="2979">
        <v>152.02000000000001</v>
      </c>
      <c r="C187" s="2979" t="s">
        <v>3512</v>
      </c>
      <c r="D187" s="2973"/>
      <c r="E187" s="3028">
        <v>2</v>
      </c>
      <c r="F187" s="2973"/>
      <c r="G187" s="2975">
        <v>14016</v>
      </c>
      <c r="H187" s="2977">
        <v>213</v>
      </c>
      <c r="I187" s="2973"/>
    </row>
    <row r="188" spans="1:9">
      <c r="A188" s="2979" t="s">
        <v>3513</v>
      </c>
      <c r="B188" s="2979">
        <v>128.06</v>
      </c>
      <c r="C188" s="2979" t="s">
        <v>3514</v>
      </c>
      <c r="D188" s="2973"/>
      <c r="E188" s="3028">
        <v>2</v>
      </c>
      <c r="F188" s="2973"/>
      <c r="G188" s="2975">
        <v>14016</v>
      </c>
      <c r="H188" s="2977">
        <v>179</v>
      </c>
      <c r="I188" s="2973"/>
    </row>
    <row r="189" spans="1:9">
      <c r="A189" s="2979" t="s">
        <v>3515</v>
      </c>
      <c r="B189" s="2979">
        <v>122.06</v>
      </c>
      <c r="C189" s="2979" t="s">
        <v>3516</v>
      </c>
      <c r="D189" s="2973"/>
      <c r="E189" s="3028">
        <v>2</v>
      </c>
      <c r="F189" s="2973"/>
      <c r="G189" s="2975">
        <v>14016</v>
      </c>
      <c r="H189" s="2977">
        <v>171</v>
      </c>
      <c r="I189" s="2973"/>
    </row>
    <row r="190" spans="1:9">
      <c r="A190" s="2979" t="s">
        <v>3517</v>
      </c>
      <c r="B190" s="2979">
        <v>132.03</v>
      </c>
      <c r="C190" s="2979" t="s">
        <v>3518</v>
      </c>
      <c r="D190" s="2973"/>
      <c r="E190" s="3028">
        <v>2</v>
      </c>
      <c r="F190" s="2973"/>
      <c r="G190" s="2975">
        <v>14016</v>
      </c>
      <c r="H190" s="2977">
        <v>185</v>
      </c>
      <c r="I190" s="2973"/>
    </row>
    <row r="191" spans="1:9">
      <c r="A191" s="2979" t="s">
        <v>3519</v>
      </c>
      <c r="B191" s="2979">
        <v>134.41999999999999</v>
      </c>
      <c r="C191" s="2979" t="s">
        <v>3520</v>
      </c>
      <c r="D191" s="2973"/>
      <c r="E191" s="3028">
        <v>2</v>
      </c>
      <c r="F191" s="2973"/>
      <c r="G191" s="2975">
        <v>14016</v>
      </c>
      <c r="H191" s="2977">
        <v>188</v>
      </c>
      <c r="I191" s="2973"/>
    </row>
    <row r="192" spans="1:9">
      <c r="A192" s="2979" t="s">
        <v>3521</v>
      </c>
      <c r="B192" s="2979">
        <v>144.72</v>
      </c>
      <c r="C192" s="2979" t="s">
        <v>3522</v>
      </c>
      <c r="D192" s="2973"/>
      <c r="E192" s="3028">
        <v>2</v>
      </c>
      <c r="F192" s="2973"/>
      <c r="G192" s="2975">
        <v>14016</v>
      </c>
      <c r="H192" s="2977">
        <v>203</v>
      </c>
      <c r="I192" s="2973"/>
    </row>
    <row r="193" spans="1:9">
      <c r="A193" s="2979" t="s">
        <v>3523</v>
      </c>
      <c r="B193" s="2979">
        <v>46.72</v>
      </c>
      <c r="C193" s="2979" t="s">
        <v>3524</v>
      </c>
      <c r="D193" s="2973"/>
      <c r="E193" s="3028">
        <v>2</v>
      </c>
      <c r="F193" s="2973"/>
      <c r="G193" s="2975">
        <v>14016</v>
      </c>
      <c r="H193" s="2977">
        <v>65</v>
      </c>
      <c r="I193" s="2973"/>
    </row>
    <row r="194" spans="1:9">
      <c r="A194" s="2979" t="s">
        <v>3525</v>
      </c>
      <c r="B194" s="2979">
        <v>52.43</v>
      </c>
      <c r="C194" s="2979" t="s">
        <v>3526</v>
      </c>
      <c r="D194" s="2973"/>
      <c r="E194" s="3028">
        <v>2</v>
      </c>
      <c r="F194" s="2973"/>
      <c r="G194" s="2975">
        <v>14016</v>
      </c>
      <c r="H194" s="2977">
        <v>73</v>
      </c>
      <c r="I194" s="2973"/>
    </row>
    <row r="195" spans="1:9">
      <c r="A195" s="2979" t="s">
        <v>3527</v>
      </c>
      <c r="B195" s="2979">
        <v>51.96</v>
      </c>
      <c r="C195" s="2979" t="s">
        <v>3528</v>
      </c>
      <c r="D195" s="2973"/>
      <c r="E195" s="3028">
        <v>2</v>
      </c>
      <c r="F195" s="2973"/>
      <c r="G195" s="2975">
        <v>14016</v>
      </c>
      <c r="H195" s="2977">
        <v>73</v>
      </c>
      <c r="I195" s="2973"/>
    </row>
    <row r="196" spans="1:9">
      <c r="A196" s="2979" t="s">
        <v>3529</v>
      </c>
      <c r="B196" s="2979">
        <v>45.29</v>
      </c>
      <c r="C196" s="2979" t="s">
        <v>3530</v>
      </c>
      <c r="D196" s="2973"/>
      <c r="E196" s="3028">
        <v>2</v>
      </c>
      <c r="F196" s="2973"/>
      <c r="G196" s="2975">
        <v>14016</v>
      </c>
      <c r="H196" s="2977">
        <v>63</v>
      </c>
      <c r="I196" s="2973"/>
    </row>
    <row r="197" spans="1:9">
      <c r="A197" s="2979" t="s">
        <v>3531</v>
      </c>
      <c r="B197" s="2979">
        <v>49.16</v>
      </c>
      <c r="C197" s="2979" t="s">
        <v>3532</v>
      </c>
      <c r="D197" s="2973"/>
      <c r="E197" s="3028">
        <v>2</v>
      </c>
      <c r="F197" s="2973"/>
      <c r="G197" s="2975">
        <v>14016</v>
      </c>
      <c r="H197" s="2977">
        <v>69</v>
      </c>
      <c r="I197" s="2973"/>
    </row>
    <row r="198" spans="1:9">
      <c r="A198" s="2979" t="s">
        <v>3533</v>
      </c>
      <c r="B198" s="2979">
        <v>43.47</v>
      </c>
      <c r="C198" s="2979" t="s">
        <v>3534</v>
      </c>
      <c r="D198" s="2973"/>
      <c r="E198" s="3028">
        <v>2</v>
      </c>
      <c r="F198" s="2973"/>
      <c r="G198" s="2975">
        <v>14016</v>
      </c>
      <c r="H198" s="2977">
        <v>61</v>
      </c>
      <c r="I198" s="2973"/>
    </row>
    <row r="199" spans="1:9">
      <c r="A199" s="2979" t="s">
        <v>3535</v>
      </c>
      <c r="B199" s="2979">
        <v>42.93</v>
      </c>
      <c r="C199" s="2979" t="s">
        <v>3536</v>
      </c>
      <c r="D199" s="2973"/>
      <c r="E199" s="3028">
        <v>2</v>
      </c>
      <c r="F199" s="2973"/>
      <c r="G199" s="2975">
        <v>14016</v>
      </c>
      <c r="H199" s="2977">
        <v>60</v>
      </c>
      <c r="I199" s="2973"/>
    </row>
    <row r="200" spans="1:9">
      <c r="A200" s="2979" t="s">
        <v>3537</v>
      </c>
      <c r="B200" s="2979">
        <v>39.17</v>
      </c>
      <c r="C200" s="2979" t="s">
        <v>3538</v>
      </c>
      <c r="D200" s="2973"/>
      <c r="E200" s="3028">
        <v>2</v>
      </c>
      <c r="F200" s="2973"/>
      <c r="G200" s="2975">
        <v>14016</v>
      </c>
      <c r="H200" s="2977">
        <v>55</v>
      </c>
      <c r="I200" s="2973"/>
    </row>
    <row r="201" spans="1:9">
      <c r="A201" s="2979" t="s">
        <v>3539</v>
      </c>
      <c r="B201" s="2979">
        <v>29.16</v>
      </c>
      <c r="C201" s="2979" t="s">
        <v>3540</v>
      </c>
      <c r="D201" s="2973"/>
      <c r="E201" s="3028">
        <v>2</v>
      </c>
      <c r="F201" s="2973"/>
      <c r="G201" s="2975">
        <v>14016</v>
      </c>
      <c r="H201" s="2977">
        <v>41</v>
      </c>
      <c r="I201" s="2973"/>
    </row>
    <row r="202" spans="1:9">
      <c r="A202" s="2979" t="s">
        <v>3541</v>
      </c>
      <c r="B202" s="2979">
        <v>34.74</v>
      </c>
      <c r="C202" s="2979" t="s">
        <v>3542</v>
      </c>
      <c r="D202" s="2973"/>
      <c r="E202" s="3028">
        <v>2</v>
      </c>
      <c r="F202" s="2973"/>
      <c r="G202" s="2975">
        <v>14016</v>
      </c>
      <c r="H202" s="2977">
        <v>49</v>
      </c>
      <c r="I202" s="2973"/>
    </row>
    <row r="203" spans="1:9">
      <c r="A203" s="2979" t="s">
        <v>3543</v>
      </c>
      <c r="B203" s="2979">
        <v>34.74</v>
      </c>
      <c r="C203" s="2979" t="s">
        <v>3544</v>
      </c>
      <c r="D203" s="2973"/>
      <c r="E203" s="3028">
        <v>2</v>
      </c>
      <c r="F203" s="2973"/>
      <c r="G203" s="2975">
        <v>14016</v>
      </c>
      <c r="H203" s="2977">
        <v>49</v>
      </c>
      <c r="I203" s="2973"/>
    </row>
    <row r="204" spans="1:9">
      <c r="A204" s="2979" t="s">
        <v>3545</v>
      </c>
      <c r="B204" s="2979">
        <v>34.74</v>
      </c>
      <c r="C204" s="2979" t="s">
        <v>3546</v>
      </c>
      <c r="D204" s="2973"/>
      <c r="E204" s="3028">
        <v>2</v>
      </c>
      <c r="F204" s="2973"/>
      <c r="G204" s="2975">
        <v>14016</v>
      </c>
      <c r="H204" s="2977">
        <v>49</v>
      </c>
      <c r="I204" s="2973"/>
    </row>
    <row r="205" spans="1:9">
      <c r="A205" s="2979" t="s">
        <v>3547</v>
      </c>
      <c r="B205" s="2979">
        <v>36.08</v>
      </c>
      <c r="C205" s="2979" t="s">
        <v>3548</v>
      </c>
      <c r="D205" s="2973"/>
      <c r="E205" s="3028">
        <v>2</v>
      </c>
      <c r="F205" s="2973"/>
      <c r="G205" s="2975">
        <v>14016</v>
      </c>
      <c r="H205" s="2977">
        <v>51</v>
      </c>
      <c r="I205" s="2973"/>
    </row>
    <row r="206" spans="1:9">
      <c r="A206" s="2979" t="s">
        <v>3549</v>
      </c>
      <c r="B206" s="2979">
        <v>38.979999999999997</v>
      </c>
      <c r="C206" s="2979" t="s">
        <v>3550</v>
      </c>
      <c r="D206" s="2973"/>
      <c r="E206" s="3028">
        <v>2</v>
      </c>
      <c r="F206" s="2973"/>
      <c r="G206" s="2975">
        <v>14016</v>
      </c>
      <c r="H206" s="2977">
        <v>55</v>
      </c>
      <c r="I206" s="2973"/>
    </row>
    <row r="207" spans="1:9">
      <c r="A207" s="2979" t="s">
        <v>3551</v>
      </c>
      <c r="B207" s="2979">
        <v>36.21</v>
      </c>
      <c r="C207" s="2979" t="s">
        <v>3552</v>
      </c>
      <c r="D207" s="2973"/>
      <c r="E207" s="3028">
        <v>2</v>
      </c>
      <c r="F207" s="2973"/>
      <c r="G207" s="2975">
        <v>14016</v>
      </c>
      <c r="H207" s="2977">
        <v>51</v>
      </c>
      <c r="I207" s="2973"/>
    </row>
    <row r="208" spans="1:9">
      <c r="A208" s="2979" t="s">
        <v>3553</v>
      </c>
      <c r="B208" s="2979">
        <v>40.630000000000003</v>
      </c>
      <c r="C208" s="2979" t="s">
        <v>3554</v>
      </c>
      <c r="D208" s="2973"/>
      <c r="E208" s="3028">
        <v>2</v>
      </c>
      <c r="F208" s="2973"/>
      <c r="G208" s="2975">
        <v>14016</v>
      </c>
      <c r="H208" s="2977">
        <v>57</v>
      </c>
      <c r="I208" s="2973"/>
    </row>
    <row r="209" spans="1:9">
      <c r="A209" s="2979" t="s">
        <v>3555</v>
      </c>
      <c r="B209" s="2979">
        <v>38.549999999999997</v>
      </c>
      <c r="C209" s="2979" t="s">
        <v>3556</v>
      </c>
      <c r="D209" s="2973"/>
      <c r="E209" s="3028">
        <v>2</v>
      </c>
      <c r="F209" s="2973"/>
      <c r="G209" s="2975">
        <v>14016</v>
      </c>
      <c r="H209" s="2977">
        <v>54</v>
      </c>
      <c r="I209" s="2973"/>
    </row>
    <row r="210" spans="1:9">
      <c r="A210" s="2979" t="s">
        <v>3557</v>
      </c>
      <c r="B210" s="2979">
        <v>36.36</v>
      </c>
      <c r="C210" s="2979" t="s">
        <v>3558</v>
      </c>
      <c r="D210" s="2973"/>
      <c r="E210" s="3028">
        <v>2</v>
      </c>
      <c r="F210" s="2973"/>
      <c r="G210" s="2975">
        <v>14016</v>
      </c>
      <c r="H210" s="2977">
        <v>51</v>
      </c>
      <c r="I210" s="2973"/>
    </row>
    <row r="211" spans="1:9">
      <c r="A211" s="2979" t="s">
        <v>3559</v>
      </c>
      <c r="B211" s="2979">
        <v>39.32</v>
      </c>
      <c r="C211" s="2979" t="s">
        <v>3560</v>
      </c>
      <c r="D211" s="2973"/>
      <c r="E211" s="3028">
        <v>2</v>
      </c>
      <c r="F211" s="2973"/>
      <c r="G211" s="2975">
        <v>14016</v>
      </c>
      <c r="H211" s="2977">
        <v>55</v>
      </c>
      <c r="I211" s="2973"/>
    </row>
    <row r="212" spans="1:9">
      <c r="A212" s="2979" t="s">
        <v>3561</v>
      </c>
      <c r="B212" s="2979">
        <v>39.32</v>
      </c>
      <c r="C212" s="2979" t="s">
        <v>3562</v>
      </c>
      <c r="D212" s="2973"/>
      <c r="E212" s="3028">
        <v>2</v>
      </c>
      <c r="F212" s="2973"/>
      <c r="G212" s="2975">
        <v>14016</v>
      </c>
      <c r="H212" s="2977">
        <v>55</v>
      </c>
      <c r="I212" s="2973"/>
    </row>
    <row r="213" spans="1:9">
      <c r="A213" s="2979" t="s">
        <v>3563</v>
      </c>
      <c r="B213" s="2979">
        <v>39.32</v>
      </c>
      <c r="C213" s="2979" t="s">
        <v>3564</v>
      </c>
      <c r="D213" s="2973"/>
      <c r="E213" s="3028">
        <v>2</v>
      </c>
      <c r="F213" s="2973"/>
      <c r="G213" s="2975">
        <v>14016</v>
      </c>
      <c r="H213" s="2977">
        <v>55</v>
      </c>
      <c r="I213" s="2973"/>
    </row>
    <row r="214" spans="1:9">
      <c r="A214" s="2979" t="s">
        <v>3565</v>
      </c>
      <c r="B214" s="2979">
        <v>34.9</v>
      </c>
      <c r="C214" s="2979" t="s">
        <v>3566</v>
      </c>
      <c r="D214" s="2973"/>
      <c r="E214" s="3028">
        <v>2</v>
      </c>
      <c r="F214" s="2973"/>
      <c r="G214" s="2975">
        <v>14016</v>
      </c>
      <c r="H214" s="2977">
        <v>49</v>
      </c>
      <c r="I214" s="2973"/>
    </row>
    <row r="215" spans="1:9">
      <c r="A215" s="2979" t="s">
        <v>3567</v>
      </c>
      <c r="B215" s="2979">
        <v>40.86</v>
      </c>
      <c r="C215" s="2979" t="s">
        <v>3568</v>
      </c>
      <c r="D215" s="2973"/>
      <c r="E215" s="3028">
        <v>2</v>
      </c>
      <c r="F215" s="2973"/>
      <c r="G215" s="2975">
        <v>14016</v>
      </c>
      <c r="H215" s="2977">
        <v>57</v>
      </c>
      <c r="I215" s="2973"/>
    </row>
    <row r="216" spans="1:9">
      <c r="A216" s="2979" t="s">
        <v>3569</v>
      </c>
      <c r="B216" s="2979">
        <v>66.98</v>
      </c>
      <c r="C216" s="2979" t="s">
        <v>3570</v>
      </c>
      <c r="D216" s="2973"/>
      <c r="E216" s="3028">
        <v>2</v>
      </c>
      <c r="F216" s="2973"/>
      <c r="G216" s="2975">
        <v>14016</v>
      </c>
      <c r="H216" s="2977">
        <v>94</v>
      </c>
      <c r="I216" s="2973"/>
    </row>
    <row r="217" spans="1:9">
      <c r="A217" s="2979" t="s">
        <v>3571</v>
      </c>
      <c r="B217" s="2979">
        <v>290.89</v>
      </c>
      <c r="C217" s="2979" t="s">
        <v>3572</v>
      </c>
      <c r="D217" s="2973"/>
      <c r="E217" s="3028">
        <v>2</v>
      </c>
      <c r="F217" s="2973"/>
      <c r="G217" s="2975">
        <v>14016</v>
      </c>
      <c r="H217" s="2977">
        <v>408</v>
      </c>
      <c r="I217" s="2973"/>
    </row>
    <row r="218" spans="1:9">
      <c r="A218" s="2979" t="s">
        <v>3573</v>
      </c>
      <c r="B218" s="2979">
        <v>56.83</v>
      </c>
      <c r="C218" s="2979" t="s">
        <v>3574</v>
      </c>
      <c r="D218" s="2973"/>
      <c r="E218" s="3028">
        <v>2</v>
      </c>
      <c r="F218" s="2973"/>
      <c r="G218" s="2975">
        <v>14016</v>
      </c>
      <c r="H218" s="2977">
        <v>80</v>
      </c>
      <c r="I218" s="2973"/>
    </row>
    <row r="219" spans="1:9">
      <c r="A219" s="2979" t="s">
        <v>3575</v>
      </c>
      <c r="B219" s="2979">
        <v>33.770000000000003</v>
      </c>
      <c r="C219" s="2979" t="s">
        <v>3576</v>
      </c>
      <c r="D219" s="2973"/>
      <c r="E219" s="3028">
        <v>2</v>
      </c>
      <c r="F219" s="2973"/>
      <c r="G219" s="2975">
        <v>14016</v>
      </c>
      <c r="H219" s="2977">
        <v>47</v>
      </c>
      <c r="I219" s="2973"/>
    </row>
    <row r="220" spans="1:9">
      <c r="A220" s="2979" t="s">
        <v>3577</v>
      </c>
      <c r="B220" s="2979">
        <v>42.77</v>
      </c>
      <c r="C220" s="2979" t="s">
        <v>3578</v>
      </c>
      <c r="D220" s="2973"/>
      <c r="E220" s="3028">
        <v>2</v>
      </c>
      <c r="F220" s="2973"/>
      <c r="G220" s="2975">
        <v>14016</v>
      </c>
      <c r="H220" s="2977">
        <v>60</v>
      </c>
      <c r="I220" s="2973"/>
    </row>
    <row r="221" spans="1:9">
      <c r="A221" s="2979" t="s">
        <v>3579</v>
      </c>
      <c r="B221" s="2979">
        <v>40.159999999999997</v>
      </c>
      <c r="C221" s="2979" t="s">
        <v>3580</v>
      </c>
      <c r="D221" s="2973"/>
      <c r="E221" s="3028">
        <v>2</v>
      </c>
      <c r="F221" s="2973"/>
      <c r="G221" s="2975">
        <v>14016</v>
      </c>
      <c r="H221" s="2977">
        <v>56</v>
      </c>
      <c r="I221" s="2973"/>
    </row>
    <row r="222" spans="1:9">
      <c r="A222" s="2979" t="s">
        <v>3581</v>
      </c>
      <c r="B222" s="2979">
        <v>40.950000000000003</v>
      </c>
      <c r="C222" s="2979" t="s">
        <v>3582</v>
      </c>
      <c r="D222" s="2973"/>
      <c r="E222" s="3028">
        <v>2</v>
      </c>
      <c r="F222" s="2973"/>
      <c r="G222" s="2975">
        <v>14016</v>
      </c>
      <c r="H222" s="2977">
        <v>57</v>
      </c>
      <c r="I222" s="2973"/>
    </row>
    <row r="223" spans="1:9">
      <c r="A223" s="2979" t="s">
        <v>3583</v>
      </c>
      <c r="B223" s="2979">
        <v>42.77</v>
      </c>
      <c r="C223" s="2979" t="s">
        <v>3584</v>
      </c>
      <c r="D223" s="2973"/>
      <c r="E223" s="3028">
        <v>2</v>
      </c>
      <c r="F223" s="2973"/>
      <c r="G223" s="2975">
        <v>14016</v>
      </c>
      <c r="H223" s="2977">
        <v>60</v>
      </c>
      <c r="I223" s="2973"/>
    </row>
    <row r="224" spans="1:9">
      <c r="A224" s="2979" t="s">
        <v>3585</v>
      </c>
      <c r="B224" s="2979">
        <v>42.77</v>
      </c>
      <c r="C224" s="2979" t="s">
        <v>3586</v>
      </c>
      <c r="D224" s="2973"/>
      <c r="E224" s="3028">
        <v>2</v>
      </c>
      <c r="F224" s="2973"/>
      <c r="G224" s="2975">
        <v>14016</v>
      </c>
      <c r="H224" s="2977">
        <v>60</v>
      </c>
      <c r="I224" s="2973"/>
    </row>
    <row r="225" spans="1:9">
      <c r="A225" s="2979" t="s">
        <v>3587</v>
      </c>
      <c r="B225" s="2979">
        <v>42.77</v>
      </c>
      <c r="C225" s="2979" t="s">
        <v>3588</v>
      </c>
      <c r="D225" s="2973"/>
      <c r="E225" s="3028">
        <v>2</v>
      </c>
      <c r="F225" s="2973"/>
      <c r="G225" s="2975">
        <v>14016</v>
      </c>
      <c r="H225" s="2977">
        <v>60</v>
      </c>
      <c r="I225" s="2973"/>
    </row>
    <row r="226" spans="1:9">
      <c r="A226" s="2979" t="s">
        <v>3589</v>
      </c>
      <c r="B226" s="2979">
        <v>42.77</v>
      </c>
      <c r="C226" s="2979" t="s">
        <v>3590</v>
      </c>
      <c r="D226" s="2973"/>
      <c r="E226" s="3028">
        <v>2</v>
      </c>
      <c r="F226" s="2973"/>
      <c r="G226" s="2975">
        <v>14016</v>
      </c>
      <c r="H226" s="2977">
        <v>60</v>
      </c>
      <c r="I226" s="2973"/>
    </row>
    <row r="227" spans="1:9">
      <c r="A227" s="2979" t="s">
        <v>3591</v>
      </c>
      <c r="B227" s="2979">
        <v>44.11</v>
      </c>
      <c r="C227" s="2979" t="s">
        <v>3592</v>
      </c>
      <c r="D227" s="2973"/>
      <c r="E227" s="3028">
        <v>2</v>
      </c>
      <c r="F227" s="2973"/>
      <c r="G227" s="2975">
        <v>14016</v>
      </c>
      <c r="H227" s="2977">
        <v>62</v>
      </c>
      <c r="I227" s="2973"/>
    </row>
    <row r="228" spans="1:9">
      <c r="A228" s="2979" t="s">
        <v>3593</v>
      </c>
      <c r="B228" s="2979">
        <v>43.33</v>
      </c>
      <c r="C228" s="2979" t="s">
        <v>3594</v>
      </c>
      <c r="D228" s="2973"/>
      <c r="E228" s="3028">
        <v>2</v>
      </c>
      <c r="F228" s="2973"/>
      <c r="G228" s="2975">
        <v>14016</v>
      </c>
      <c r="H228" s="2977">
        <v>61</v>
      </c>
      <c r="I228" s="2973"/>
    </row>
    <row r="229" spans="1:9">
      <c r="A229" s="2979" t="s">
        <v>3595</v>
      </c>
      <c r="B229" s="2979">
        <v>25.2</v>
      </c>
      <c r="C229" s="2979" t="s">
        <v>3596</v>
      </c>
      <c r="D229" s="2973"/>
      <c r="E229" s="3028">
        <v>2</v>
      </c>
      <c r="F229" s="2973"/>
      <c r="G229" s="2975">
        <v>14016</v>
      </c>
      <c r="H229" s="2977">
        <v>35</v>
      </c>
      <c r="I229" s="2973"/>
    </row>
    <row r="230" spans="1:9">
      <c r="A230" s="2979" t="s">
        <v>3597</v>
      </c>
      <c r="B230" s="2979">
        <v>33.79</v>
      </c>
      <c r="C230" s="2979" t="s">
        <v>3598</v>
      </c>
      <c r="D230" s="2973"/>
      <c r="E230" s="3028">
        <v>2</v>
      </c>
      <c r="F230" s="2973"/>
      <c r="G230" s="2975">
        <v>14016</v>
      </c>
      <c r="H230" s="2977">
        <v>47</v>
      </c>
      <c r="I230" s="2973"/>
    </row>
    <row r="231" spans="1:9">
      <c r="A231" s="2979" t="s">
        <v>3599</v>
      </c>
      <c r="B231" s="2979">
        <v>31.46</v>
      </c>
      <c r="C231" s="2979" t="s">
        <v>3600</v>
      </c>
      <c r="D231" s="2973"/>
      <c r="E231" s="3028">
        <v>2</v>
      </c>
      <c r="F231" s="2973"/>
      <c r="G231" s="2975">
        <v>14016</v>
      </c>
      <c r="H231" s="2977">
        <v>44</v>
      </c>
      <c r="I231" s="2973"/>
    </row>
    <row r="232" spans="1:9">
      <c r="A232" s="2979" t="s">
        <v>3601</v>
      </c>
      <c r="B232" s="2979">
        <v>27.53</v>
      </c>
      <c r="C232" s="2979" t="s">
        <v>3602</v>
      </c>
      <c r="D232" s="2973"/>
      <c r="E232" s="3028">
        <v>2</v>
      </c>
      <c r="F232" s="2973"/>
      <c r="G232" s="2975">
        <v>14016</v>
      </c>
      <c r="H232" s="2977">
        <v>39</v>
      </c>
      <c r="I232" s="2973"/>
    </row>
    <row r="233" spans="1:9">
      <c r="A233" s="2979" t="s">
        <v>3603</v>
      </c>
      <c r="B233" s="2979">
        <v>27.53</v>
      </c>
      <c r="C233" s="2979" t="s">
        <v>3604</v>
      </c>
      <c r="D233" s="2973"/>
      <c r="E233" s="3028">
        <v>2</v>
      </c>
      <c r="F233" s="2973"/>
      <c r="G233" s="2975">
        <v>14016</v>
      </c>
      <c r="H233" s="2977">
        <v>39</v>
      </c>
      <c r="I233" s="2973"/>
    </row>
    <row r="234" spans="1:9">
      <c r="A234" s="2979" t="s">
        <v>3605</v>
      </c>
      <c r="B234" s="2979">
        <v>31.46</v>
      </c>
      <c r="C234" s="2979" t="s">
        <v>3606</v>
      </c>
      <c r="D234" s="2973"/>
      <c r="E234" s="3028">
        <v>2</v>
      </c>
      <c r="F234" s="2973"/>
      <c r="G234" s="2975">
        <v>14016</v>
      </c>
      <c r="H234" s="2977">
        <v>44</v>
      </c>
      <c r="I234" s="2973"/>
    </row>
    <row r="235" spans="1:9">
      <c r="A235" s="2979" t="s">
        <v>3607</v>
      </c>
      <c r="B235" s="2979">
        <v>31.46</v>
      </c>
      <c r="C235" s="2979" t="s">
        <v>3608</v>
      </c>
      <c r="D235" s="2973"/>
      <c r="E235" s="3028">
        <v>2</v>
      </c>
      <c r="F235" s="2973"/>
      <c r="G235" s="2975">
        <v>14016</v>
      </c>
      <c r="H235" s="2977">
        <v>44</v>
      </c>
      <c r="I235" s="2973"/>
    </row>
    <row r="236" spans="1:9">
      <c r="A236" s="2979" t="s">
        <v>3609</v>
      </c>
      <c r="B236" s="2979">
        <v>27.53</v>
      </c>
      <c r="C236" s="2979" t="s">
        <v>3610</v>
      </c>
      <c r="D236" s="2973"/>
      <c r="E236" s="3028">
        <v>2</v>
      </c>
      <c r="F236" s="2973"/>
      <c r="G236" s="2975">
        <v>14016</v>
      </c>
      <c r="H236" s="2977">
        <v>39</v>
      </c>
      <c r="I236" s="2973"/>
    </row>
    <row r="237" spans="1:9">
      <c r="A237" s="2979" t="s">
        <v>3611</v>
      </c>
      <c r="B237" s="2979">
        <v>27.53</v>
      </c>
      <c r="C237" s="2979" t="s">
        <v>3612</v>
      </c>
      <c r="D237" s="2973"/>
      <c r="E237" s="3028">
        <v>2</v>
      </c>
      <c r="F237" s="2973"/>
      <c r="G237" s="2975">
        <v>14016</v>
      </c>
      <c r="H237" s="2977">
        <v>39</v>
      </c>
      <c r="I237" s="2973"/>
    </row>
    <row r="238" spans="1:9">
      <c r="A238" s="2979" t="s">
        <v>3613</v>
      </c>
      <c r="B238" s="2979">
        <v>31.46</v>
      </c>
      <c r="C238" s="2979" t="s">
        <v>3614</v>
      </c>
      <c r="D238" s="2973"/>
      <c r="E238" s="3028">
        <v>2</v>
      </c>
      <c r="F238" s="2973"/>
      <c r="G238" s="2975">
        <v>14016</v>
      </c>
      <c r="H238" s="2977">
        <v>44</v>
      </c>
      <c r="I238" s="2973"/>
    </row>
    <row r="239" spans="1:9">
      <c r="A239" s="2979" t="s">
        <v>3615</v>
      </c>
      <c r="B239" s="2979">
        <v>33.79</v>
      </c>
      <c r="C239" s="2979" t="s">
        <v>3616</v>
      </c>
      <c r="D239" s="2973"/>
      <c r="E239" s="3028">
        <v>2</v>
      </c>
      <c r="F239" s="2973"/>
      <c r="G239" s="2975">
        <v>14016</v>
      </c>
      <c r="H239" s="2977">
        <v>47</v>
      </c>
      <c r="I239" s="2973"/>
    </row>
    <row r="240" spans="1:9">
      <c r="A240" s="2979" t="s">
        <v>3617</v>
      </c>
      <c r="B240" s="2979">
        <v>25.15</v>
      </c>
      <c r="C240" s="2979" t="s">
        <v>3618</v>
      </c>
      <c r="D240" s="2973"/>
      <c r="E240" s="3028">
        <v>2</v>
      </c>
      <c r="F240" s="2973"/>
      <c r="G240" s="2975">
        <v>14016</v>
      </c>
      <c r="H240" s="2977">
        <v>35</v>
      </c>
      <c r="I240" s="2973"/>
    </row>
    <row r="241" spans="1:9">
      <c r="A241" s="2979" t="s">
        <v>3619</v>
      </c>
      <c r="B241" s="2979">
        <v>43.33</v>
      </c>
      <c r="C241" s="2979" t="s">
        <v>3620</v>
      </c>
      <c r="D241" s="2973"/>
      <c r="E241" s="3028">
        <v>2</v>
      </c>
      <c r="F241" s="2973"/>
      <c r="G241" s="2975">
        <v>14016</v>
      </c>
      <c r="H241" s="2977">
        <v>61</v>
      </c>
      <c r="I241" s="2973"/>
    </row>
    <row r="242" spans="1:9">
      <c r="A242" s="2979" t="s">
        <v>3621</v>
      </c>
      <c r="B242" s="2979">
        <v>44.11</v>
      </c>
      <c r="C242" s="2979" t="s">
        <v>3622</v>
      </c>
      <c r="D242" s="2973"/>
      <c r="E242" s="3028">
        <v>2</v>
      </c>
      <c r="F242" s="2973"/>
      <c r="G242" s="2975">
        <v>14016</v>
      </c>
      <c r="H242" s="2977">
        <v>62</v>
      </c>
      <c r="I242" s="2973"/>
    </row>
    <row r="243" spans="1:9">
      <c r="A243" s="2979" t="s">
        <v>3623</v>
      </c>
      <c r="B243" s="2979">
        <v>42.77</v>
      </c>
      <c r="C243" s="2979" t="s">
        <v>3624</v>
      </c>
      <c r="D243" s="2973"/>
      <c r="E243" s="3028">
        <v>2</v>
      </c>
      <c r="F243" s="2973"/>
      <c r="G243" s="2975">
        <v>14016</v>
      </c>
      <c r="H243" s="2977">
        <v>60</v>
      </c>
      <c r="I243" s="2973"/>
    </row>
    <row r="244" spans="1:9">
      <c r="A244" s="2979" t="s">
        <v>3625</v>
      </c>
      <c r="B244" s="2979">
        <v>42.77</v>
      </c>
      <c r="C244" s="2979" t="s">
        <v>3626</v>
      </c>
      <c r="D244" s="2973"/>
      <c r="E244" s="3028">
        <v>2</v>
      </c>
      <c r="F244" s="2973"/>
      <c r="G244" s="2975">
        <v>14016</v>
      </c>
      <c r="H244" s="2977">
        <v>60</v>
      </c>
      <c r="I244" s="2973"/>
    </row>
    <row r="245" spans="1:9">
      <c r="A245" s="2979" t="s">
        <v>3627</v>
      </c>
      <c r="B245" s="2979">
        <v>42.77</v>
      </c>
      <c r="C245" s="2979" t="s">
        <v>3628</v>
      </c>
      <c r="D245" s="2973"/>
      <c r="E245" s="3028">
        <v>2</v>
      </c>
      <c r="F245" s="2973"/>
      <c r="G245" s="2975">
        <v>14016</v>
      </c>
      <c r="H245" s="2977">
        <v>60</v>
      </c>
      <c r="I245" s="2973"/>
    </row>
    <row r="246" spans="1:9">
      <c r="A246" s="2979" t="s">
        <v>3629</v>
      </c>
      <c r="B246" s="2979">
        <v>42.77</v>
      </c>
      <c r="C246" s="2979" t="s">
        <v>3630</v>
      </c>
      <c r="D246" s="2973"/>
      <c r="E246" s="3028">
        <v>2</v>
      </c>
      <c r="F246" s="2973"/>
      <c r="G246" s="2975">
        <v>14016</v>
      </c>
      <c r="H246" s="2977">
        <v>60</v>
      </c>
      <c r="I246" s="2973"/>
    </row>
    <row r="247" spans="1:9">
      <c r="A247" s="2979" t="s">
        <v>3631</v>
      </c>
      <c r="B247" s="2979">
        <v>40.950000000000003</v>
      </c>
      <c r="C247" s="2979" t="s">
        <v>3632</v>
      </c>
      <c r="D247" s="2973"/>
      <c r="E247" s="3028">
        <v>2</v>
      </c>
      <c r="F247" s="2973"/>
      <c r="G247" s="2975">
        <v>14016</v>
      </c>
      <c r="H247" s="2977">
        <v>57</v>
      </c>
      <c r="I247" s="2973"/>
    </row>
    <row r="248" spans="1:9">
      <c r="A248" s="2979" t="s">
        <v>3633</v>
      </c>
      <c r="B248" s="2979">
        <v>40.159999999999997</v>
      </c>
      <c r="C248" s="2979" t="s">
        <v>3634</v>
      </c>
      <c r="D248" s="2973"/>
      <c r="E248" s="3028">
        <v>2</v>
      </c>
      <c r="F248" s="2973"/>
      <c r="G248" s="2975">
        <v>14016</v>
      </c>
      <c r="H248" s="2977">
        <v>56</v>
      </c>
      <c r="I248" s="2973"/>
    </row>
    <row r="249" spans="1:9">
      <c r="A249" s="2979" t="s">
        <v>3635</v>
      </c>
      <c r="B249" s="2979">
        <v>42.77</v>
      </c>
      <c r="C249" s="2979" t="s">
        <v>3636</v>
      </c>
      <c r="D249" s="2973"/>
      <c r="E249" s="3028">
        <v>2</v>
      </c>
      <c r="F249" s="2973"/>
      <c r="G249" s="2975">
        <v>14016</v>
      </c>
      <c r="H249" s="2977">
        <v>60</v>
      </c>
      <c r="I249" s="2973"/>
    </row>
    <row r="250" spans="1:9">
      <c r="A250" s="2979" t="s">
        <v>3637</v>
      </c>
      <c r="B250" s="2979">
        <v>33.770000000000003</v>
      </c>
      <c r="C250" s="2979" t="s">
        <v>3638</v>
      </c>
      <c r="D250" s="2973"/>
      <c r="E250" s="3028">
        <v>2</v>
      </c>
      <c r="F250" s="2973"/>
      <c r="G250" s="2975">
        <v>14016</v>
      </c>
      <c r="H250" s="2977">
        <v>47</v>
      </c>
      <c r="I250" s="2973"/>
    </row>
    <row r="251" spans="1:9">
      <c r="A251" s="2979" t="s">
        <v>3639</v>
      </c>
      <c r="B251" s="2979">
        <v>56.83</v>
      </c>
      <c r="C251" s="2979" t="s">
        <v>3640</v>
      </c>
      <c r="D251" s="2973"/>
      <c r="E251" s="3028">
        <v>2</v>
      </c>
      <c r="F251" s="2973"/>
      <c r="G251" s="2975">
        <v>14016</v>
      </c>
      <c r="H251" s="2977">
        <v>80</v>
      </c>
      <c r="I251" s="2973"/>
    </row>
    <row r="252" spans="1:9">
      <c r="A252" s="2979" t="s">
        <v>3641</v>
      </c>
      <c r="B252" s="2979">
        <v>21.72</v>
      </c>
      <c r="C252" s="2979" t="s">
        <v>3642</v>
      </c>
      <c r="D252" s="2973"/>
      <c r="E252" s="3028">
        <v>2</v>
      </c>
      <c r="F252" s="2973"/>
      <c r="G252" s="2975">
        <v>14016</v>
      </c>
      <c r="H252" s="2977">
        <v>30</v>
      </c>
      <c r="I252" s="2973"/>
    </row>
    <row r="253" spans="1:9">
      <c r="A253" s="2979" t="s">
        <v>3643</v>
      </c>
      <c r="B253" s="2979">
        <v>25.18</v>
      </c>
      <c r="C253" s="2979" t="s">
        <v>3644</v>
      </c>
      <c r="D253" s="2973"/>
      <c r="E253" s="3028">
        <v>2</v>
      </c>
      <c r="F253" s="2973"/>
      <c r="G253" s="2975">
        <v>14016</v>
      </c>
      <c r="H253" s="2977">
        <v>35</v>
      </c>
      <c r="I253" s="2973"/>
    </row>
    <row r="254" spans="1:9">
      <c r="A254" s="2979" t="s">
        <v>3645</v>
      </c>
      <c r="B254" s="2979">
        <v>45.6</v>
      </c>
      <c r="C254" s="2979" t="s">
        <v>3646</v>
      </c>
      <c r="D254" s="2973"/>
      <c r="E254" s="3028">
        <v>2</v>
      </c>
      <c r="F254" s="2973"/>
      <c r="G254" s="2975">
        <v>14016</v>
      </c>
      <c r="H254" s="2977">
        <v>64</v>
      </c>
      <c r="I254" s="2973"/>
    </row>
    <row r="255" spans="1:9">
      <c r="A255" s="2979" t="s">
        <v>3647</v>
      </c>
      <c r="B255" s="2979">
        <v>108</v>
      </c>
      <c r="C255" s="2979" t="s">
        <v>3648</v>
      </c>
      <c r="D255" s="2973"/>
      <c r="E255" s="3028">
        <v>2</v>
      </c>
      <c r="F255" s="2973"/>
      <c r="G255" s="2975">
        <v>14016</v>
      </c>
      <c r="H255" s="2977">
        <v>151</v>
      </c>
      <c r="I255" s="2973"/>
    </row>
    <row r="256" spans="1:9">
      <c r="A256" s="2979" t="s">
        <v>3649</v>
      </c>
      <c r="B256" s="2979">
        <v>118.55</v>
      </c>
      <c r="C256" s="2979" t="s">
        <v>3650</v>
      </c>
      <c r="D256" s="2973"/>
      <c r="E256" s="3028">
        <v>2</v>
      </c>
      <c r="F256" s="2973"/>
      <c r="G256" s="2975">
        <v>14016</v>
      </c>
      <c r="H256" s="2977">
        <v>166</v>
      </c>
      <c r="I256" s="2973"/>
    </row>
    <row r="257" spans="1:9">
      <c r="A257" s="2979" t="s">
        <v>3651</v>
      </c>
      <c r="B257" s="2979">
        <v>123.39</v>
      </c>
      <c r="C257" s="2979" t="s">
        <v>3652</v>
      </c>
      <c r="D257" s="2973"/>
      <c r="E257" s="3028">
        <v>2</v>
      </c>
      <c r="F257" s="2973"/>
      <c r="G257" s="2975">
        <v>14016</v>
      </c>
      <c r="H257" s="2977">
        <v>173</v>
      </c>
      <c r="I257" s="2973"/>
    </row>
    <row r="258" spans="1:9">
      <c r="A258" s="2979" t="s">
        <v>3653</v>
      </c>
      <c r="B258" s="2979">
        <v>226.32</v>
      </c>
      <c r="C258" s="2979" t="s">
        <v>3654</v>
      </c>
      <c r="D258" s="2973"/>
      <c r="E258" s="3028">
        <v>2</v>
      </c>
      <c r="F258" s="2973"/>
      <c r="G258" s="2975">
        <v>14016</v>
      </c>
      <c r="H258" s="2977">
        <v>317</v>
      </c>
      <c r="I258" s="2973"/>
    </row>
    <row r="259" spans="1:9">
      <c r="A259" s="2979" t="s">
        <v>3655</v>
      </c>
      <c r="B259" s="2979">
        <v>156.44999999999999</v>
      </c>
      <c r="C259" s="2979" t="s">
        <v>3656</v>
      </c>
      <c r="D259" s="2973"/>
      <c r="E259" s="3028">
        <v>2</v>
      </c>
      <c r="F259" s="2973"/>
      <c r="G259" s="2975">
        <v>14016</v>
      </c>
      <c r="H259" s="2977">
        <v>219</v>
      </c>
      <c r="I259" s="2973"/>
    </row>
    <row r="260" spans="1:9">
      <c r="A260" s="2979" t="s">
        <v>3657</v>
      </c>
      <c r="B260" s="2979">
        <v>87.72</v>
      </c>
      <c r="C260" s="2979" t="s">
        <v>3658</v>
      </c>
      <c r="D260" s="2973"/>
      <c r="E260" s="3028">
        <v>2</v>
      </c>
      <c r="F260" s="2973"/>
      <c r="G260" s="2975">
        <v>14016</v>
      </c>
      <c r="H260" s="2977">
        <v>123</v>
      </c>
      <c r="I260" s="2973"/>
    </row>
    <row r="261" spans="1:9">
      <c r="A261" s="2979" t="s">
        <v>3659</v>
      </c>
      <c r="B261" s="2979">
        <v>71.41</v>
      </c>
      <c r="C261" s="2979" t="s">
        <v>3660</v>
      </c>
      <c r="D261" s="2973"/>
      <c r="E261" s="3028">
        <v>2</v>
      </c>
      <c r="F261" s="2973"/>
      <c r="G261" s="2975">
        <v>14016</v>
      </c>
      <c r="H261" s="2977">
        <v>100</v>
      </c>
      <c r="I261" s="2973"/>
    </row>
    <row r="262" spans="1:9">
      <c r="A262" s="2979" t="s">
        <v>3661</v>
      </c>
      <c r="B262" s="2979">
        <v>183.35</v>
      </c>
      <c r="C262" s="2979" t="s">
        <v>3662</v>
      </c>
      <c r="D262" s="2973"/>
      <c r="E262" s="3028">
        <v>2</v>
      </c>
      <c r="F262" s="2973"/>
      <c r="G262" s="2975">
        <v>14016</v>
      </c>
      <c r="H262" s="2977">
        <v>257</v>
      </c>
      <c r="I262" s="2973"/>
    </row>
    <row r="263" spans="1:9">
      <c r="A263" s="2979" t="s">
        <v>3663</v>
      </c>
      <c r="B263" s="2979">
        <v>203.49</v>
      </c>
      <c r="C263" s="2979" t="s">
        <v>3664</v>
      </c>
      <c r="D263" s="2973"/>
      <c r="E263" s="3028">
        <v>2</v>
      </c>
      <c r="F263" s="2973"/>
      <c r="G263" s="2975">
        <v>14016</v>
      </c>
      <c r="H263" s="2977">
        <v>285</v>
      </c>
      <c r="I263" s="2973"/>
    </row>
    <row r="264" spans="1:9">
      <c r="A264" s="2979" t="s">
        <v>3665</v>
      </c>
      <c r="B264" s="2979">
        <v>143.85</v>
      </c>
      <c r="C264" s="2979" t="s">
        <v>3666</v>
      </c>
      <c r="D264" s="2973"/>
      <c r="E264" s="3028">
        <v>2</v>
      </c>
      <c r="F264" s="2973"/>
      <c r="G264" s="2975">
        <v>14016</v>
      </c>
      <c r="H264" s="2977">
        <v>202</v>
      </c>
      <c r="I264" s="2973"/>
    </row>
    <row r="265" spans="1:9">
      <c r="A265" s="2979" t="s">
        <v>3667</v>
      </c>
      <c r="B265" s="2979">
        <v>144.99</v>
      </c>
      <c r="C265" s="2979" t="s">
        <v>3668</v>
      </c>
      <c r="D265" s="2973"/>
      <c r="E265" s="3028">
        <v>2</v>
      </c>
      <c r="F265" s="2973"/>
      <c r="G265" s="2975">
        <v>14016</v>
      </c>
      <c r="H265" s="2977">
        <v>203</v>
      </c>
      <c r="I265" s="2973"/>
    </row>
    <row r="266" spans="1:9">
      <c r="A266" s="2979" t="s">
        <v>3669</v>
      </c>
      <c r="B266" s="2979">
        <v>155.53</v>
      </c>
      <c r="C266" s="2979" t="s">
        <v>3670</v>
      </c>
      <c r="D266" s="2973"/>
      <c r="E266" s="3028">
        <v>2</v>
      </c>
      <c r="F266" s="2973"/>
      <c r="G266" s="2975">
        <v>14016</v>
      </c>
      <c r="H266" s="2977">
        <v>218</v>
      </c>
      <c r="I266" s="2973"/>
    </row>
    <row r="267" spans="1:9">
      <c r="A267" s="2979" t="s">
        <v>3671</v>
      </c>
      <c r="B267" s="2979">
        <v>136.25</v>
      </c>
      <c r="C267" s="2979" t="s">
        <v>3672</v>
      </c>
      <c r="D267" s="2973"/>
      <c r="E267" s="3028">
        <v>2</v>
      </c>
      <c r="F267" s="2973"/>
      <c r="G267" s="2975">
        <v>14016</v>
      </c>
      <c r="H267" s="2977">
        <v>191</v>
      </c>
      <c r="I267" s="2973"/>
    </row>
    <row r="268" spans="1:9">
      <c r="A268" s="2979" t="s">
        <v>3673</v>
      </c>
      <c r="B268" s="2979">
        <v>235.24</v>
      </c>
      <c r="C268" s="2979" t="s">
        <v>3674</v>
      </c>
      <c r="D268" s="2973"/>
      <c r="E268" s="3028">
        <v>2</v>
      </c>
      <c r="F268" s="2973"/>
      <c r="G268" s="2975">
        <v>14016</v>
      </c>
      <c r="H268" s="2977">
        <v>330</v>
      </c>
      <c r="I268" s="2973"/>
    </row>
    <row r="269" spans="1:9">
      <c r="A269" s="2979" t="s">
        <v>3675</v>
      </c>
      <c r="B269" s="2979">
        <v>235.24</v>
      </c>
      <c r="C269" s="2979" t="s">
        <v>3676</v>
      </c>
      <c r="D269" s="2973"/>
      <c r="E269" s="3028">
        <v>2</v>
      </c>
      <c r="F269" s="2973"/>
      <c r="G269" s="2975">
        <v>14016</v>
      </c>
      <c r="H269" s="2977">
        <v>330</v>
      </c>
      <c r="I269" s="2973"/>
    </row>
    <row r="270" spans="1:9">
      <c r="A270" s="2979" t="s">
        <v>3677</v>
      </c>
      <c r="B270" s="2979">
        <v>136.25</v>
      </c>
      <c r="C270" s="2979" t="s">
        <v>3678</v>
      </c>
      <c r="D270" s="2973"/>
      <c r="E270" s="3028">
        <v>2</v>
      </c>
      <c r="F270" s="2973"/>
      <c r="G270" s="2975">
        <v>14016</v>
      </c>
      <c r="H270" s="2977">
        <v>191</v>
      </c>
      <c r="I270" s="2973"/>
    </row>
    <row r="271" spans="1:9">
      <c r="A271" s="2979" t="s">
        <v>3679</v>
      </c>
      <c r="B271" s="2979">
        <v>155.53</v>
      </c>
      <c r="C271" s="2979" t="s">
        <v>3680</v>
      </c>
      <c r="D271" s="2973"/>
      <c r="E271" s="3028">
        <v>2</v>
      </c>
      <c r="F271" s="2973"/>
      <c r="G271" s="2975">
        <v>14016</v>
      </c>
      <c r="H271" s="2977">
        <v>218</v>
      </c>
      <c r="I271" s="2973"/>
    </row>
    <row r="272" spans="1:9">
      <c r="A272" s="2979" t="s">
        <v>3681</v>
      </c>
      <c r="B272" s="2979">
        <v>144.99</v>
      </c>
      <c r="C272" s="2979" t="s">
        <v>3682</v>
      </c>
      <c r="D272" s="2973"/>
      <c r="E272" s="3028">
        <v>2</v>
      </c>
      <c r="F272" s="2973"/>
      <c r="G272" s="2975">
        <v>14016</v>
      </c>
      <c r="H272" s="2977">
        <v>203</v>
      </c>
      <c r="I272" s="2973"/>
    </row>
    <row r="273" spans="1:9">
      <c r="A273" s="2979" t="s">
        <v>3683</v>
      </c>
      <c r="B273" s="2979">
        <v>144.13</v>
      </c>
      <c r="C273" s="2979" t="s">
        <v>3684</v>
      </c>
      <c r="D273" s="2973"/>
      <c r="E273" s="3028">
        <v>2</v>
      </c>
      <c r="F273" s="2973"/>
      <c r="G273" s="2975">
        <v>14016</v>
      </c>
      <c r="H273" s="2977">
        <v>202</v>
      </c>
      <c r="I273" s="2973"/>
    </row>
    <row r="274" spans="1:9">
      <c r="A274" s="2979" t="s">
        <v>3685</v>
      </c>
      <c r="B274" s="2979">
        <v>206.6</v>
      </c>
      <c r="C274" s="2979" t="s">
        <v>3686</v>
      </c>
      <c r="D274" s="2973"/>
      <c r="E274" s="3028">
        <v>2</v>
      </c>
      <c r="F274" s="2973"/>
      <c r="G274" s="2975">
        <v>14016</v>
      </c>
      <c r="H274" s="2977">
        <v>290</v>
      </c>
      <c r="I274" s="2973"/>
    </row>
    <row r="275" spans="1:9">
      <c r="A275" s="2979" t="s">
        <v>3687</v>
      </c>
      <c r="B275" s="2979">
        <v>183.35</v>
      </c>
      <c r="C275" s="2979" t="s">
        <v>3688</v>
      </c>
      <c r="D275" s="2973"/>
      <c r="E275" s="3028">
        <v>2</v>
      </c>
      <c r="F275" s="2973"/>
      <c r="G275" s="2975">
        <v>14016</v>
      </c>
      <c r="H275" s="2977">
        <v>257</v>
      </c>
      <c r="I275" s="2973"/>
    </row>
    <row r="276" spans="1:9">
      <c r="A276" s="2979" t="s">
        <v>3689</v>
      </c>
      <c r="B276" s="2979">
        <v>71.41</v>
      </c>
      <c r="C276" s="2979" t="s">
        <v>3690</v>
      </c>
      <c r="D276" s="2973"/>
      <c r="E276" s="3028">
        <v>2</v>
      </c>
      <c r="F276" s="2973"/>
      <c r="G276" s="2975">
        <v>14016</v>
      </c>
      <c r="H276" s="2977">
        <v>100</v>
      </c>
      <c r="I276" s="2973"/>
    </row>
    <row r="277" spans="1:9">
      <c r="A277" s="2979" t="s">
        <v>3691</v>
      </c>
      <c r="B277" s="2979">
        <v>87.72</v>
      </c>
      <c r="C277" s="2979" t="s">
        <v>3692</v>
      </c>
      <c r="D277" s="2973"/>
      <c r="E277" s="3028">
        <v>2</v>
      </c>
      <c r="F277" s="2973"/>
      <c r="G277" s="2975">
        <v>14016</v>
      </c>
      <c r="H277" s="2977">
        <v>123</v>
      </c>
      <c r="I277" s="2973"/>
    </row>
    <row r="278" spans="1:9">
      <c r="A278" s="2979" t="s">
        <v>3693</v>
      </c>
      <c r="B278" s="2979">
        <v>156.53</v>
      </c>
      <c r="C278" s="2979" t="s">
        <v>3694</v>
      </c>
      <c r="D278" s="2973"/>
      <c r="E278" s="3028">
        <v>2</v>
      </c>
      <c r="F278" s="2973"/>
      <c r="G278" s="2975">
        <v>14016</v>
      </c>
      <c r="H278" s="2977">
        <v>219</v>
      </c>
      <c r="I278" s="2973"/>
    </row>
    <row r="279" spans="1:9">
      <c r="A279" s="2979" t="s">
        <v>3695</v>
      </c>
      <c r="B279" s="2979">
        <v>226.45</v>
      </c>
      <c r="C279" s="2979" t="s">
        <v>3696</v>
      </c>
      <c r="D279" s="2973"/>
      <c r="E279" s="3028">
        <v>2</v>
      </c>
      <c r="F279" s="2973"/>
      <c r="G279" s="2975">
        <v>14016</v>
      </c>
      <c r="H279" s="2977">
        <v>317</v>
      </c>
      <c r="I279" s="2973"/>
    </row>
    <row r="280" spans="1:9">
      <c r="A280" s="2979" t="s">
        <v>3697</v>
      </c>
      <c r="B280" s="2979">
        <v>91.69</v>
      </c>
      <c r="C280" s="2979" t="s">
        <v>3698</v>
      </c>
      <c r="D280" s="2973">
        <f>SUM(B179:B280)</f>
        <v>12616.620000000003</v>
      </c>
      <c r="E280" s="3028">
        <v>2</v>
      </c>
      <c r="F280" s="2973"/>
      <c r="G280" s="2975">
        <v>14016</v>
      </c>
      <c r="H280" s="2977">
        <v>129</v>
      </c>
      <c r="I280" s="2973"/>
    </row>
    <row r="281" spans="1:9">
      <c r="A281" s="2979" t="s">
        <v>3699</v>
      </c>
      <c r="B281" s="2979">
        <v>3857.79</v>
      </c>
      <c r="C281" s="2979" t="s">
        <v>3700</v>
      </c>
      <c r="D281" s="2973"/>
      <c r="E281" s="3028">
        <v>3</v>
      </c>
      <c r="F281" s="2973"/>
      <c r="G281" s="2975">
        <v>12742</v>
      </c>
      <c r="H281" s="2977">
        <v>4916</v>
      </c>
      <c r="I281" s="2973"/>
    </row>
    <row r="282" spans="1:9">
      <c r="A282" s="2979" t="s">
        <v>3701</v>
      </c>
      <c r="B282" s="2979">
        <v>121.51</v>
      </c>
      <c r="C282" s="2979" t="s">
        <v>3702</v>
      </c>
      <c r="D282" s="2973"/>
      <c r="E282" s="3028">
        <v>3</v>
      </c>
      <c r="F282" s="2973"/>
      <c r="G282" s="2975">
        <v>12742</v>
      </c>
      <c r="H282" s="2977">
        <v>155</v>
      </c>
      <c r="I282" s="2973"/>
    </row>
    <row r="283" spans="1:9">
      <c r="A283" s="2979" t="s">
        <v>3703</v>
      </c>
      <c r="B283" s="2979">
        <v>111.93</v>
      </c>
      <c r="C283" s="2979" t="s">
        <v>3704</v>
      </c>
      <c r="D283" s="2973"/>
      <c r="E283" s="3028">
        <v>3</v>
      </c>
      <c r="F283" s="2973"/>
      <c r="G283" s="2975">
        <v>12742</v>
      </c>
      <c r="H283" s="2977">
        <v>143</v>
      </c>
      <c r="I283" s="2973"/>
    </row>
    <row r="284" spans="1:9">
      <c r="A284" s="2979" t="s">
        <v>3705</v>
      </c>
      <c r="B284" s="2979">
        <v>107.36</v>
      </c>
      <c r="C284" s="2979" t="s">
        <v>3706</v>
      </c>
      <c r="D284" s="2973"/>
      <c r="E284" s="3028">
        <v>3</v>
      </c>
      <c r="F284" s="2973"/>
      <c r="G284" s="2975">
        <v>12742</v>
      </c>
      <c r="H284" s="2977">
        <v>137</v>
      </c>
      <c r="I284" s="2973"/>
    </row>
    <row r="285" spans="1:9">
      <c r="A285" s="2979" t="s">
        <v>3707</v>
      </c>
      <c r="B285" s="2979">
        <v>107.36</v>
      </c>
      <c r="C285" s="2979" t="s">
        <v>3708</v>
      </c>
      <c r="D285" s="2973"/>
      <c r="E285" s="3028">
        <v>3</v>
      </c>
      <c r="F285" s="2973"/>
      <c r="G285" s="2975">
        <v>12742</v>
      </c>
      <c r="H285" s="2977">
        <v>137</v>
      </c>
      <c r="I285" s="2973"/>
    </row>
    <row r="286" spans="1:9">
      <c r="A286" s="2979" t="s">
        <v>3709</v>
      </c>
      <c r="B286" s="2979">
        <v>92.52</v>
      </c>
      <c r="C286" s="2979" t="s">
        <v>3710</v>
      </c>
      <c r="D286" s="2973"/>
      <c r="E286" s="3028">
        <v>3</v>
      </c>
      <c r="F286" s="2973"/>
      <c r="G286" s="2975">
        <v>12742</v>
      </c>
      <c r="H286" s="2977">
        <v>118</v>
      </c>
      <c r="I286" s="2973"/>
    </row>
    <row r="287" spans="1:9">
      <c r="A287" s="2979" t="s">
        <v>3711</v>
      </c>
      <c r="B287" s="2979">
        <v>92.52</v>
      </c>
      <c r="C287" s="2979" t="s">
        <v>3712</v>
      </c>
      <c r="D287" s="2973"/>
      <c r="E287" s="3028">
        <v>3</v>
      </c>
      <c r="F287" s="2973"/>
      <c r="G287" s="2975">
        <v>12742</v>
      </c>
      <c r="H287" s="2977">
        <v>118</v>
      </c>
      <c r="I287" s="2973"/>
    </row>
    <row r="288" spans="1:9">
      <c r="A288" s="2979" t="s">
        <v>3713</v>
      </c>
      <c r="B288" s="2979">
        <v>100.51</v>
      </c>
      <c r="C288" s="2979" t="s">
        <v>3714</v>
      </c>
      <c r="D288" s="2973"/>
      <c r="E288" s="3028">
        <v>3</v>
      </c>
      <c r="F288" s="2973"/>
      <c r="G288" s="2975">
        <v>12742</v>
      </c>
      <c r="H288" s="2977">
        <v>128</v>
      </c>
      <c r="I288" s="2973"/>
    </row>
    <row r="289" spans="1:9">
      <c r="A289" s="2979" t="s">
        <v>3715</v>
      </c>
      <c r="B289" s="2979">
        <v>148.01</v>
      </c>
      <c r="C289" s="2979" t="s">
        <v>3716</v>
      </c>
      <c r="D289" s="2973"/>
      <c r="E289" s="3028">
        <v>3</v>
      </c>
      <c r="F289" s="2973"/>
      <c r="G289" s="2975">
        <v>12742</v>
      </c>
      <c r="H289" s="2977">
        <v>189</v>
      </c>
      <c r="I289" s="2973"/>
    </row>
    <row r="290" spans="1:9">
      <c r="A290" s="2979" t="s">
        <v>3717</v>
      </c>
      <c r="B290" s="2979">
        <v>166.43</v>
      </c>
      <c r="C290" s="2979" t="s">
        <v>3718</v>
      </c>
      <c r="D290" s="2973"/>
      <c r="E290" s="3028">
        <v>3</v>
      </c>
      <c r="F290" s="2973"/>
      <c r="G290" s="2975">
        <v>12742</v>
      </c>
      <c r="H290" s="2977">
        <v>212</v>
      </c>
      <c r="I290" s="2973"/>
    </row>
    <row r="291" spans="1:9">
      <c r="A291" s="2979" t="s">
        <v>3719</v>
      </c>
      <c r="B291" s="2979">
        <v>226.71</v>
      </c>
      <c r="C291" s="2979" t="s">
        <v>3720</v>
      </c>
      <c r="D291" s="2973"/>
      <c r="E291" s="3028">
        <v>3</v>
      </c>
      <c r="F291" s="2973"/>
      <c r="G291" s="2975">
        <v>12742</v>
      </c>
      <c r="H291" s="2977">
        <v>289</v>
      </c>
      <c r="I291" s="2973"/>
    </row>
    <row r="292" spans="1:9">
      <c r="A292" s="2979" t="s">
        <v>3721</v>
      </c>
      <c r="B292" s="2979">
        <v>132.12</v>
      </c>
      <c r="C292" s="2979" t="s">
        <v>3722</v>
      </c>
      <c r="D292" s="2973"/>
      <c r="E292" s="3028">
        <v>3</v>
      </c>
      <c r="F292" s="2973"/>
      <c r="G292" s="2975">
        <v>12742</v>
      </c>
      <c r="H292" s="2977">
        <v>168</v>
      </c>
      <c r="I292" s="2973"/>
    </row>
    <row r="293" spans="1:9">
      <c r="A293" s="2979" t="s">
        <v>3723</v>
      </c>
      <c r="B293" s="2979">
        <v>134.58000000000001</v>
      </c>
      <c r="C293" s="2979" t="s">
        <v>3724</v>
      </c>
      <c r="D293" s="2973"/>
      <c r="E293" s="3028">
        <v>3</v>
      </c>
      <c r="F293" s="2973"/>
      <c r="G293" s="2975">
        <v>12742</v>
      </c>
      <c r="H293" s="2977">
        <v>171</v>
      </c>
      <c r="I293" s="2973"/>
    </row>
    <row r="294" spans="1:9">
      <c r="A294" s="2979" t="s">
        <v>3725</v>
      </c>
      <c r="B294" s="2979">
        <v>144.88</v>
      </c>
      <c r="C294" s="2979" t="s">
        <v>3726</v>
      </c>
      <c r="D294" s="2973"/>
      <c r="E294" s="3028">
        <v>3</v>
      </c>
      <c r="F294" s="2973"/>
      <c r="G294" s="2975">
        <v>12742</v>
      </c>
      <c r="H294" s="2977">
        <v>185</v>
      </c>
      <c r="I294" s="2973"/>
    </row>
    <row r="295" spans="1:9">
      <c r="A295" s="2979" t="s">
        <v>3727</v>
      </c>
      <c r="B295" s="2979">
        <v>46.77</v>
      </c>
      <c r="C295" s="2979" t="s">
        <v>3728</v>
      </c>
      <c r="D295" s="2973"/>
      <c r="E295" s="3028">
        <v>3</v>
      </c>
      <c r="F295" s="2973"/>
      <c r="G295" s="2975">
        <v>12742</v>
      </c>
      <c r="H295" s="2977">
        <v>60</v>
      </c>
      <c r="I295" s="2973"/>
    </row>
    <row r="296" spans="1:9">
      <c r="A296" s="2979" t="s">
        <v>3729</v>
      </c>
      <c r="B296" s="2979">
        <v>52.49</v>
      </c>
      <c r="C296" s="2979" t="s">
        <v>3730</v>
      </c>
      <c r="D296" s="2973"/>
      <c r="E296" s="3028">
        <v>3</v>
      </c>
      <c r="F296" s="2973"/>
      <c r="G296" s="2975">
        <v>12742</v>
      </c>
      <c r="H296" s="2977">
        <v>67</v>
      </c>
      <c r="I296" s="2973"/>
    </row>
    <row r="297" spans="1:9">
      <c r="A297" s="2979" t="s">
        <v>3731</v>
      </c>
      <c r="B297" s="2979">
        <v>52.02</v>
      </c>
      <c r="C297" s="2979" t="s">
        <v>3732</v>
      </c>
      <c r="D297" s="2973"/>
      <c r="E297" s="3028">
        <v>3</v>
      </c>
      <c r="F297" s="2973"/>
      <c r="G297" s="2975">
        <v>12742</v>
      </c>
      <c r="H297" s="2977">
        <v>66</v>
      </c>
      <c r="I297" s="2973"/>
    </row>
    <row r="298" spans="1:9">
      <c r="A298" s="2979" t="s">
        <v>3733</v>
      </c>
      <c r="B298" s="2979">
        <v>45.35</v>
      </c>
      <c r="C298" s="2979" t="s">
        <v>3734</v>
      </c>
      <c r="D298" s="2973"/>
      <c r="E298" s="3028">
        <v>3</v>
      </c>
      <c r="F298" s="2973"/>
      <c r="G298" s="2975">
        <v>12742</v>
      </c>
      <c r="H298" s="2977">
        <v>58</v>
      </c>
      <c r="I298" s="2973"/>
    </row>
    <row r="299" spans="1:9">
      <c r="A299" s="2979" t="s">
        <v>3735</v>
      </c>
      <c r="B299" s="2979">
        <v>49.22</v>
      </c>
      <c r="C299" s="2979" t="s">
        <v>3736</v>
      </c>
      <c r="D299" s="2973"/>
      <c r="E299" s="3028">
        <v>3</v>
      </c>
      <c r="F299" s="2973"/>
      <c r="G299" s="2975">
        <v>12742</v>
      </c>
      <c r="H299" s="2977">
        <v>63</v>
      </c>
      <c r="I299" s="2973"/>
    </row>
    <row r="300" spans="1:9">
      <c r="A300" s="2979" t="s">
        <v>3737</v>
      </c>
      <c r="B300" s="2979">
        <v>43.52</v>
      </c>
      <c r="C300" s="2979" t="s">
        <v>3738</v>
      </c>
      <c r="D300" s="2973"/>
      <c r="E300" s="3028">
        <v>3</v>
      </c>
      <c r="F300" s="2973"/>
      <c r="G300" s="2975">
        <v>12742</v>
      </c>
      <c r="H300" s="2977">
        <v>55</v>
      </c>
      <c r="I300" s="2973"/>
    </row>
    <row r="301" spans="1:9">
      <c r="A301" s="2979" t="s">
        <v>3739</v>
      </c>
      <c r="B301" s="2979">
        <v>42.98</v>
      </c>
      <c r="C301" s="2979" t="s">
        <v>3740</v>
      </c>
      <c r="D301" s="2973"/>
      <c r="E301" s="3028">
        <v>3</v>
      </c>
      <c r="F301" s="2973"/>
      <c r="G301" s="2975">
        <v>12742</v>
      </c>
      <c r="H301" s="2977">
        <v>55</v>
      </c>
      <c r="I301" s="2973"/>
    </row>
    <row r="302" spans="1:9">
      <c r="A302" s="2979" t="s">
        <v>3741</v>
      </c>
      <c r="B302" s="2979">
        <v>39.22</v>
      </c>
      <c r="C302" s="2979" t="s">
        <v>3742</v>
      </c>
      <c r="D302" s="2973"/>
      <c r="E302" s="3028">
        <v>3</v>
      </c>
      <c r="F302" s="2973"/>
      <c r="G302" s="2975">
        <v>12742</v>
      </c>
      <c r="H302" s="2977">
        <v>50</v>
      </c>
      <c r="I302" s="2973"/>
    </row>
    <row r="303" spans="1:9">
      <c r="A303" s="2979" t="s">
        <v>3743</v>
      </c>
      <c r="B303" s="2979">
        <v>33.42</v>
      </c>
      <c r="C303" s="2979" t="s">
        <v>3744</v>
      </c>
      <c r="D303" s="2973"/>
      <c r="E303" s="3028">
        <v>3</v>
      </c>
      <c r="F303" s="2973"/>
      <c r="G303" s="2975">
        <v>12742</v>
      </c>
      <c r="H303" s="2977">
        <v>43</v>
      </c>
      <c r="I303" s="2973"/>
    </row>
    <row r="304" spans="1:9">
      <c r="A304" s="2979" t="s">
        <v>3745</v>
      </c>
      <c r="B304" s="2979">
        <v>40.659999999999997</v>
      </c>
      <c r="C304" s="2979" t="s">
        <v>3746</v>
      </c>
      <c r="D304" s="2973"/>
      <c r="E304" s="3028">
        <v>3</v>
      </c>
      <c r="F304" s="2973"/>
      <c r="G304" s="2975">
        <v>12742</v>
      </c>
      <c r="H304" s="2977">
        <v>52</v>
      </c>
      <c r="I304" s="2973"/>
    </row>
    <row r="305" spans="1:9">
      <c r="A305" s="2979" t="s">
        <v>3747</v>
      </c>
      <c r="B305" s="2979">
        <v>41.59</v>
      </c>
      <c r="C305" s="2979" t="s">
        <v>3748</v>
      </c>
      <c r="D305" s="2973"/>
      <c r="E305" s="3028">
        <v>3</v>
      </c>
      <c r="F305" s="2973"/>
      <c r="G305" s="2975">
        <v>12742</v>
      </c>
      <c r="H305" s="2977">
        <v>53</v>
      </c>
      <c r="I305" s="2973"/>
    </row>
    <row r="306" spans="1:9">
      <c r="A306" s="2979" t="s">
        <v>3749</v>
      </c>
      <c r="B306" s="2979">
        <v>42.53</v>
      </c>
      <c r="C306" s="2979" t="s">
        <v>3750</v>
      </c>
      <c r="D306" s="2973"/>
      <c r="E306" s="3028">
        <v>3</v>
      </c>
      <c r="F306" s="2973"/>
      <c r="G306" s="2975">
        <v>12742</v>
      </c>
      <c r="H306" s="2977">
        <v>54</v>
      </c>
      <c r="I306" s="2973"/>
    </row>
    <row r="307" spans="1:9">
      <c r="A307" s="2979" t="s">
        <v>3751</v>
      </c>
      <c r="B307" s="2979">
        <v>43.46</v>
      </c>
      <c r="C307" s="2979" t="s">
        <v>3752</v>
      </c>
      <c r="D307" s="2973"/>
      <c r="E307" s="3028">
        <v>3</v>
      </c>
      <c r="F307" s="2973"/>
      <c r="G307" s="2975">
        <v>12742</v>
      </c>
      <c r="H307" s="2977">
        <v>55</v>
      </c>
      <c r="I307" s="2973"/>
    </row>
    <row r="308" spans="1:9">
      <c r="A308" s="2979" t="s">
        <v>3753</v>
      </c>
      <c r="B308" s="2979">
        <v>45.27</v>
      </c>
      <c r="C308" s="2979" t="s">
        <v>3754</v>
      </c>
      <c r="D308" s="2973"/>
      <c r="E308" s="3028">
        <v>3</v>
      </c>
      <c r="F308" s="2973"/>
      <c r="G308" s="2975">
        <v>12742</v>
      </c>
      <c r="H308" s="2977">
        <v>58</v>
      </c>
      <c r="I308" s="2973"/>
    </row>
    <row r="309" spans="1:9">
      <c r="A309" s="2979" t="s">
        <v>3755</v>
      </c>
      <c r="B309" s="2979">
        <v>29.08</v>
      </c>
      <c r="C309" s="2979" t="s">
        <v>3756</v>
      </c>
      <c r="D309" s="2973"/>
      <c r="E309" s="3028">
        <v>3</v>
      </c>
      <c r="F309" s="2973"/>
      <c r="G309" s="2975">
        <v>12742</v>
      </c>
      <c r="H309" s="2977">
        <v>37</v>
      </c>
      <c r="I309" s="2973"/>
    </row>
    <row r="310" spans="1:9">
      <c r="A310" s="2979" t="s">
        <v>3757</v>
      </c>
      <c r="B310" s="2979">
        <v>34.43</v>
      </c>
      <c r="C310" s="2979" t="s">
        <v>3758</v>
      </c>
      <c r="D310" s="2973"/>
      <c r="E310" s="3028">
        <v>3</v>
      </c>
      <c r="F310" s="2973"/>
      <c r="G310" s="2975">
        <v>12742</v>
      </c>
      <c r="H310" s="2977">
        <v>44</v>
      </c>
      <c r="I310" s="2973"/>
    </row>
    <row r="311" spans="1:9">
      <c r="A311" s="2979" t="s">
        <v>3759</v>
      </c>
      <c r="B311" s="2979">
        <v>34.04</v>
      </c>
      <c r="C311" s="2979" t="s">
        <v>3760</v>
      </c>
      <c r="D311" s="2973"/>
      <c r="E311" s="3028">
        <v>3</v>
      </c>
      <c r="F311" s="2973"/>
      <c r="G311" s="2975">
        <v>12742</v>
      </c>
      <c r="H311" s="2977">
        <v>43</v>
      </c>
      <c r="I311" s="2973"/>
    </row>
    <row r="312" spans="1:9">
      <c r="A312" s="2979" t="s">
        <v>3761</v>
      </c>
      <c r="B312" s="2979">
        <v>33.18</v>
      </c>
      <c r="C312" s="2979" t="s">
        <v>3762</v>
      </c>
      <c r="D312" s="2973"/>
      <c r="E312" s="3028">
        <v>3</v>
      </c>
      <c r="F312" s="2973"/>
      <c r="G312" s="2975">
        <v>12742</v>
      </c>
      <c r="H312" s="2977">
        <v>42</v>
      </c>
      <c r="I312" s="2973"/>
    </row>
    <row r="313" spans="1:9">
      <c r="A313" s="2979" t="s">
        <v>3763</v>
      </c>
      <c r="B313" s="2979">
        <v>36.74</v>
      </c>
      <c r="C313" s="2979" t="s">
        <v>3764</v>
      </c>
      <c r="D313" s="2973"/>
      <c r="E313" s="3028">
        <v>3</v>
      </c>
      <c r="F313" s="2973"/>
      <c r="G313" s="2975">
        <v>12742</v>
      </c>
      <c r="H313" s="2977">
        <v>47</v>
      </c>
      <c r="I313" s="2973"/>
    </row>
    <row r="314" spans="1:9">
      <c r="A314" s="2979" t="s">
        <v>3765</v>
      </c>
      <c r="B314" s="2979">
        <v>36.74</v>
      </c>
      <c r="C314" s="2979" t="s">
        <v>3766</v>
      </c>
      <c r="D314" s="2973"/>
      <c r="E314" s="3028">
        <v>3</v>
      </c>
      <c r="F314" s="2973"/>
      <c r="G314" s="2975">
        <v>12742</v>
      </c>
      <c r="H314" s="2977">
        <v>47</v>
      </c>
      <c r="I314" s="2973"/>
    </row>
    <row r="315" spans="1:9">
      <c r="A315" s="2979" t="s">
        <v>3767</v>
      </c>
      <c r="B315" s="2979">
        <v>36.74</v>
      </c>
      <c r="C315" s="2979" t="s">
        <v>3768</v>
      </c>
      <c r="D315" s="2973"/>
      <c r="E315" s="3028">
        <v>3</v>
      </c>
      <c r="F315" s="2973"/>
      <c r="G315" s="2975">
        <v>12742</v>
      </c>
      <c r="H315" s="2977">
        <v>47</v>
      </c>
      <c r="I315" s="2973"/>
    </row>
    <row r="316" spans="1:9">
      <c r="A316" s="2979" t="s">
        <v>3769</v>
      </c>
      <c r="B316" s="2979">
        <v>32.32</v>
      </c>
      <c r="C316" s="2979" t="s">
        <v>3770</v>
      </c>
      <c r="D316" s="2973"/>
      <c r="E316" s="3028">
        <v>3</v>
      </c>
      <c r="F316" s="2973"/>
      <c r="G316" s="2975">
        <v>12742</v>
      </c>
      <c r="H316" s="2977">
        <v>41</v>
      </c>
      <c r="I316" s="2973"/>
    </row>
    <row r="317" spans="1:9">
      <c r="A317" s="2979" t="s">
        <v>3771</v>
      </c>
      <c r="B317" s="2979">
        <v>38.28</v>
      </c>
      <c r="C317" s="2979" t="s">
        <v>3772</v>
      </c>
      <c r="D317" s="2973"/>
      <c r="E317" s="3028">
        <v>3</v>
      </c>
      <c r="F317" s="2973"/>
      <c r="G317" s="2975">
        <v>12742</v>
      </c>
      <c r="H317" s="2977">
        <v>49</v>
      </c>
      <c r="I317" s="2973"/>
    </row>
    <row r="318" spans="1:9">
      <c r="A318" s="2979" t="s">
        <v>3773</v>
      </c>
      <c r="B318" s="2979">
        <v>64.239999999999995</v>
      </c>
      <c r="C318" s="2979" t="s">
        <v>3774</v>
      </c>
      <c r="D318" s="2973"/>
      <c r="E318" s="3028">
        <v>3</v>
      </c>
      <c r="F318" s="2973"/>
      <c r="G318" s="2975">
        <v>12742</v>
      </c>
      <c r="H318" s="2977">
        <v>82</v>
      </c>
      <c r="I318" s="2973"/>
    </row>
    <row r="319" spans="1:9">
      <c r="A319" s="2979" t="s">
        <v>3775</v>
      </c>
      <c r="B319" s="2979">
        <v>329.46</v>
      </c>
      <c r="C319" s="2979" t="s">
        <v>3776</v>
      </c>
      <c r="D319" s="2973"/>
      <c r="E319" s="3028">
        <v>3</v>
      </c>
      <c r="F319" s="2973"/>
      <c r="G319" s="2975">
        <v>12742</v>
      </c>
      <c r="H319" s="2977">
        <v>420</v>
      </c>
      <c r="I319" s="2973"/>
    </row>
    <row r="320" spans="1:9">
      <c r="A320" s="2979" t="s">
        <v>3777</v>
      </c>
      <c r="B320" s="2979">
        <v>260.02</v>
      </c>
      <c r="C320" s="2979" t="s">
        <v>3778</v>
      </c>
      <c r="D320" s="2973"/>
      <c r="E320" s="3028">
        <v>3</v>
      </c>
      <c r="F320" s="2973"/>
      <c r="G320" s="2975">
        <v>12742</v>
      </c>
      <c r="H320" s="2977">
        <v>331</v>
      </c>
      <c r="I320" s="2973"/>
    </row>
    <row r="321" spans="1:9">
      <c r="A321" s="2979" t="s">
        <v>3779</v>
      </c>
      <c r="B321" s="2979">
        <v>233.07</v>
      </c>
      <c r="C321" s="2979" t="s">
        <v>3780</v>
      </c>
      <c r="D321" s="2973"/>
      <c r="E321" s="3028">
        <v>3</v>
      </c>
      <c r="F321" s="2973"/>
      <c r="G321" s="2975">
        <v>12742</v>
      </c>
      <c r="H321" s="2977">
        <v>297</v>
      </c>
      <c r="I321" s="2973"/>
    </row>
    <row r="322" spans="1:9">
      <c r="A322" s="2979" t="s">
        <v>3781</v>
      </c>
      <c r="B322" s="2979">
        <v>56.9</v>
      </c>
      <c r="C322" s="2979" t="s">
        <v>3782</v>
      </c>
      <c r="D322" s="2973"/>
      <c r="E322" s="3028">
        <v>3</v>
      </c>
      <c r="F322" s="2973"/>
      <c r="G322" s="2975">
        <v>12742</v>
      </c>
      <c r="H322" s="2977">
        <v>73</v>
      </c>
      <c r="I322" s="2973"/>
    </row>
    <row r="323" spans="1:9">
      <c r="A323" s="2979" t="s">
        <v>3783</v>
      </c>
      <c r="B323" s="2979">
        <v>42.82</v>
      </c>
      <c r="C323" s="2979" t="s">
        <v>3784</v>
      </c>
      <c r="D323" s="2973"/>
      <c r="E323" s="3028">
        <v>3</v>
      </c>
      <c r="F323" s="2973"/>
      <c r="G323" s="2975">
        <v>12742</v>
      </c>
      <c r="H323" s="2977">
        <v>55</v>
      </c>
      <c r="I323" s="2973"/>
    </row>
    <row r="324" spans="1:9">
      <c r="A324" s="2979" t="s">
        <v>3785</v>
      </c>
      <c r="B324" s="2979">
        <v>33.81</v>
      </c>
      <c r="C324" s="2979" t="s">
        <v>3786</v>
      </c>
      <c r="D324" s="2973"/>
      <c r="E324" s="3028">
        <v>3</v>
      </c>
      <c r="F324" s="2973"/>
      <c r="G324" s="2975">
        <v>12742</v>
      </c>
      <c r="H324" s="2977">
        <v>43</v>
      </c>
      <c r="I324" s="2973"/>
    </row>
    <row r="325" spans="1:9">
      <c r="A325" s="2979" t="s">
        <v>3787</v>
      </c>
      <c r="B325" s="2979">
        <v>41</v>
      </c>
      <c r="C325" s="2979" t="s">
        <v>3788</v>
      </c>
      <c r="D325" s="2973"/>
      <c r="E325" s="3028">
        <v>3</v>
      </c>
      <c r="F325" s="2973"/>
      <c r="G325" s="2975">
        <v>12742</v>
      </c>
      <c r="H325" s="2977">
        <v>52</v>
      </c>
      <c r="I325" s="2973"/>
    </row>
    <row r="326" spans="1:9">
      <c r="A326" s="2979" t="s">
        <v>3789</v>
      </c>
      <c r="B326" s="2979">
        <v>40.21</v>
      </c>
      <c r="C326" s="2979" t="s">
        <v>3790</v>
      </c>
      <c r="D326" s="2973"/>
      <c r="E326" s="3028">
        <v>3</v>
      </c>
      <c r="F326" s="2973"/>
      <c r="G326" s="2975">
        <v>12742</v>
      </c>
      <c r="H326" s="2977">
        <v>51</v>
      </c>
      <c r="I326" s="2973"/>
    </row>
    <row r="327" spans="1:9">
      <c r="A327" s="2979" t="s">
        <v>3791</v>
      </c>
      <c r="B327" s="2979">
        <v>42.82</v>
      </c>
      <c r="C327" s="2979" t="s">
        <v>3792</v>
      </c>
      <c r="D327" s="2973"/>
      <c r="E327" s="3028">
        <v>3</v>
      </c>
      <c r="F327" s="2973"/>
      <c r="G327" s="2975">
        <v>12742</v>
      </c>
      <c r="H327" s="2977">
        <v>55</v>
      </c>
      <c r="I327" s="2973"/>
    </row>
    <row r="328" spans="1:9">
      <c r="A328" s="2979" t="s">
        <v>3793</v>
      </c>
      <c r="B328" s="2979">
        <v>42.82</v>
      </c>
      <c r="C328" s="2979" t="s">
        <v>3794</v>
      </c>
      <c r="D328" s="2973"/>
      <c r="E328" s="3028">
        <v>3</v>
      </c>
      <c r="F328" s="2973"/>
      <c r="G328" s="2975">
        <v>12742</v>
      </c>
      <c r="H328" s="2977">
        <v>55</v>
      </c>
      <c r="I328" s="2973"/>
    </row>
    <row r="329" spans="1:9">
      <c r="A329" s="2979" t="s">
        <v>3795</v>
      </c>
      <c r="B329" s="2979">
        <v>42.82</v>
      </c>
      <c r="C329" s="2979" t="s">
        <v>3796</v>
      </c>
      <c r="D329" s="2973"/>
      <c r="E329" s="3028">
        <v>3</v>
      </c>
      <c r="F329" s="2973"/>
      <c r="G329" s="2975">
        <v>12742</v>
      </c>
      <c r="H329" s="2977">
        <v>55</v>
      </c>
      <c r="I329" s="2973"/>
    </row>
    <row r="330" spans="1:9">
      <c r="A330" s="2979" t="s">
        <v>3797</v>
      </c>
      <c r="B330" s="2979">
        <v>42.82</v>
      </c>
      <c r="C330" s="2979" t="s">
        <v>3798</v>
      </c>
      <c r="D330" s="2973"/>
      <c r="E330" s="3028">
        <v>3</v>
      </c>
      <c r="F330" s="2973"/>
      <c r="G330" s="2975">
        <v>12742</v>
      </c>
      <c r="H330" s="2977">
        <v>55</v>
      </c>
      <c r="I330" s="2973"/>
    </row>
    <row r="331" spans="1:9">
      <c r="A331" s="2979" t="s">
        <v>3799</v>
      </c>
      <c r="B331" s="2979">
        <v>43.38</v>
      </c>
      <c r="C331" s="2979" t="s">
        <v>3800</v>
      </c>
      <c r="D331" s="2973"/>
      <c r="E331" s="3028">
        <v>3</v>
      </c>
      <c r="F331" s="2973"/>
      <c r="G331" s="2975">
        <v>12742</v>
      </c>
      <c r="H331" s="2977">
        <v>55</v>
      </c>
      <c r="I331" s="2973"/>
    </row>
    <row r="332" spans="1:9">
      <c r="A332" s="2979" t="s">
        <v>3801</v>
      </c>
      <c r="B332" s="2979">
        <v>44.17</v>
      </c>
      <c r="C332" s="2979" t="s">
        <v>3802</v>
      </c>
      <c r="D332" s="2973"/>
      <c r="E332" s="3028">
        <v>3</v>
      </c>
      <c r="F332" s="2973"/>
      <c r="G332" s="2975">
        <v>12742</v>
      </c>
      <c r="H332" s="2977">
        <v>56</v>
      </c>
      <c r="I332" s="2973"/>
    </row>
    <row r="333" spans="1:9">
      <c r="A333" s="2979" t="s">
        <v>3803</v>
      </c>
      <c r="B333" s="2979">
        <v>33.83</v>
      </c>
      <c r="C333" s="2979" t="s">
        <v>3804</v>
      </c>
      <c r="D333" s="2973"/>
      <c r="E333" s="3028">
        <v>3</v>
      </c>
      <c r="F333" s="2973"/>
      <c r="G333" s="2975">
        <v>12742</v>
      </c>
      <c r="H333" s="2977">
        <v>43</v>
      </c>
      <c r="I333" s="2973"/>
    </row>
    <row r="334" spans="1:9">
      <c r="A334" s="2979" t="s">
        <v>3805</v>
      </c>
      <c r="B334" s="2979">
        <v>25.22</v>
      </c>
      <c r="C334" s="2979" t="s">
        <v>3806</v>
      </c>
      <c r="D334" s="2973"/>
      <c r="E334" s="3028">
        <v>3</v>
      </c>
      <c r="F334" s="2973"/>
      <c r="G334" s="2975">
        <v>12742</v>
      </c>
      <c r="H334" s="2977">
        <v>32</v>
      </c>
      <c r="I334" s="2973"/>
    </row>
    <row r="335" spans="1:9">
      <c r="A335" s="2979" t="s">
        <v>3807</v>
      </c>
      <c r="B335" s="2979">
        <v>27.56</v>
      </c>
      <c r="C335" s="2979" t="s">
        <v>3808</v>
      </c>
      <c r="D335" s="2973"/>
      <c r="E335" s="3028">
        <v>3</v>
      </c>
      <c r="F335" s="2973"/>
      <c r="G335" s="2975">
        <v>12742</v>
      </c>
      <c r="H335" s="2977">
        <v>35</v>
      </c>
      <c r="I335" s="2973"/>
    </row>
    <row r="336" spans="1:9">
      <c r="A336" s="2979" t="s">
        <v>3809</v>
      </c>
      <c r="B336" s="2979">
        <v>31.49</v>
      </c>
      <c r="C336" s="2979" t="s">
        <v>3810</v>
      </c>
      <c r="D336" s="2973"/>
      <c r="E336" s="3028">
        <v>3</v>
      </c>
      <c r="F336" s="2973"/>
      <c r="G336" s="2975">
        <v>12742</v>
      </c>
      <c r="H336" s="2977">
        <v>40</v>
      </c>
      <c r="I336" s="2973"/>
    </row>
    <row r="337" spans="1:9">
      <c r="A337" s="2979" t="s">
        <v>3811</v>
      </c>
      <c r="B337" s="2979">
        <v>31.49</v>
      </c>
      <c r="C337" s="2979" t="s">
        <v>3812</v>
      </c>
      <c r="D337" s="2973"/>
      <c r="E337" s="3028">
        <v>3</v>
      </c>
      <c r="F337" s="2973"/>
      <c r="G337" s="2975">
        <v>12742</v>
      </c>
      <c r="H337" s="2977">
        <v>40</v>
      </c>
      <c r="I337" s="2973"/>
    </row>
    <row r="338" spans="1:9">
      <c r="A338" s="2979" t="s">
        <v>3813</v>
      </c>
      <c r="B338" s="2979">
        <v>27.56</v>
      </c>
      <c r="C338" s="2979" t="s">
        <v>3814</v>
      </c>
      <c r="D338" s="2973"/>
      <c r="E338" s="3028">
        <v>3</v>
      </c>
      <c r="F338" s="2973"/>
      <c r="G338" s="2975">
        <v>12742</v>
      </c>
      <c r="H338" s="2977">
        <v>35</v>
      </c>
      <c r="I338" s="2973"/>
    </row>
    <row r="339" spans="1:9">
      <c r="A339" s="2979" t="s">
        <v>3815</v>
      </c>
      <c r="B339" s="2979">
        <v>27.56</v>
      </c>
      <c r="C339" s="2979" t="s">
        <v>3816</v>
      </c>
      <c r="D339" s="2973"/>
      <c r="E339" s="3028">
        <v>3</v>
      </c>
      <c r="F339" s="2973"/>
      <c r="G339" s="2975">
        <v>12742</v>
      </c>
      <c r="H339" s="2977">
        <v>35</v>
      </c>
      <c r="I339" s="2973"/>
    </row>
    <row r="340" spans="1:9">
      <c r="A340" s="2979" t="s">
        <v>3817</v>
      </c>
      <c r="B340" s="2979">
        <v>31.49</v>
      </c>
      <c r="C340" s="2979" t="s">
        <v>3818</v>
      </c>
      <c r="D340" s="2973"/>
      <c r="E340" s="3028">
        <v>3</v>
      </c>
      <c r="F340" s="2973"/>
      <c r="G340" s="2975">
        <v>12742</v>
      </c>
      <c r="H340" s="2977">
        <v>40</v>
      </c>
      <c r="I340" s="2973"/>
    </row>
    <row r="341" spans="1:9">
      <c r="A341" s="2979" t="s">
        <v>3819</v>
      </c>
      <c r="B341" s="2979">
        <v>31.49</v>
      </c>
      <c r="C341" s="2979" t="s">
        <v>3820</v>
      </c>
      <c r="D341" s="2973"/>
      <c r="E341" s="3028">
        <v>3</v>
      </c>
      <c r="F341" s="2973"/>
      <c r="G341" s="2975">
        <v>12742</v>
      </c>
      <c r="H341" s="2977">
        <v>40</v>
      </c>
      <c r="I341" s="2973"/>
    </row>
    <row r="342" spans="1:9">
      <c r="A342" s="2979" t="s">
        <v>3821</v>
      </c>
      <c r="B342" s="2979">
        <v>27.56</v>
      </c>
      <c r="C342" s="2979" t="s">
        <v>3822</v>
      </c>
      <c r="D342" s="2973"/>
      <c r="E342" s="3028">
        <v>3</v>
      </c>
      <c r="F342" s="2973"/>
      <c r="G342" s="2975">
        <v>12742</v>
      </c>
      <c r="H342" s="2977">
        <v>35</v>
      </c>
      <c r="I342" s="2973"/>
    </row>
    <row r="343" spans="1:9">
      <c r="A343" s="2979" t="s">
        <v>3823</v>
      </c>
      <c r="B343" s="2979">
        <v>25.18</v>
      </c>
      <c r="C343" s="2979" t="s">
        <v>3824</v>
      </c>
      <c r="D343" s="2973"/>
      <c r="E343" s="3028">
        <v>3</v>
      </c>
      <c r="F343" s="2973"/>
      <c r="G343" s="2975">
        <v>12742</v>
      </c>
      <c r="H343" s="2977">
        <v>32</v>
      </c>
      <c r="I343" s="2973"/>
    </row>
    <row r="344" spans="1:9">
      <c r="A344" s="2979" t="s">
        <v>3825</v>
      </c>
      <c r="B344" s="2979">
        <v>33.83</v>
      </c>
      <c r="C344" s="2979" t="s">
        <v>3826</v>
      </c>
      <c r="D344" s="2973"/>
      <c r="E344" s="3028">
        <v>3</v>
      </c>
      <c r="F344" s="2973"/>
      <c r="G344" s="2975">
        <v>12742</v>
      </c>
      <c r="H344" s="2977">
        <v>43</v>
      </c>
      <c r="I344" s="2973"/>
    </row>
    <row r="345" spans="1:9">
      <c r="A345" s="2979" t="s">
        <v>3827</v>
      </c>
      <c r="B345" s="2979">
        <v>44.17</v>
      </c>
      <c r="C345" s="2979" t="s">
        <v>3828</v>
      </c>
      <c r="D345" s="2973"/>
      <c r="E345" s="3028">
        <v>3</v>
      </c>
      <c r="F345" s="2973"/>
      <c r="G345" s="2975">
        <v>12742</v>
      </c>
      <c r="H345" s="2977">
        <v>56</v>
      </c>
      <c r="I345" s="2973"/>
    </row>
    <row r="346" spans="1:9">
      <c r="A346" s="2979" t="s">
        <v>3829</v>
      </c>
      <c r="B346" s="2979">
        <v>43.38</v>
      </c>
      <c r="C346" s="2979" t="s">
        <v>3830</v>
      </c>
      <c r="D346" s="2973"/>
      <c r="E346" s="3028">
        <v>3</v>
      </c>
      <c r="F346" s="2973"/>
      <c r="G346" s="2975">
        <v>12742</v>
      </c>
      <c r="H346" s="2977">
        <v>55</v>
      </c>
      <c r="I346" s="2973"/>
    </row>
    <row r="347" spans="1:9">
      <c r="A347" s="2979" t="s">
        <v>3831</v>
      </c>
      <c r="B347" s="2979">
        <v>42.82</v>
      </c>
      <c r="C347" s="2979" t="s">
        <v>3832</v>
      </c>
      <c r="D347" s="2973"/>
      <c r="E347" s="3028">
        <v>3</v>
      </c>
      <c r="F347" s="2973"/>
      <c r="G347" s="2975">
        <v>12742</v>
      </c>
      <c r="H347" s="2977">
        <v>55</v>
      </c>
      <c r="I347" s="2973"/>
    </row>
    <row r="348" spans="1:9">
      <c r="A348" s="2979" t="s">
        <v>3833</v>
      </c>
      <c r="B348" s="2979">
        <v>42.82</v>
      </c>
      <c r="C348" s="2979" t="s">
        <v>3834</v>
      </c>
      <c r="D348" s="2973"/>
      <c r="E348" s="3028">
        <v>3</v>
      </c>
      <c r="F348" s="2973"/>
      <c r="G348" s="2975">
        <v>12742</v>
      </c>
      <c r="H348" s="2977">
        <v>55</v>
      </c>
      <c r="I348" s="2973"/>
    </row>
    <row r="349" spans="1:9">
      <c r="A349" s="2979" t="s">
        <v>3835</v>
      </c>
      <c r="B349" s="2979">
        <v>42.82</v>
      </c>
      <c r="C349" s="2979" t="s">
        <v>3836</v>
      </c>
      <c r="D349" s="2973"/>
      <c r="E349" s="3028">
        <v>3</v>
      </c>
      <c r="F349" s="2973"/>
      <c r="G349" s="2975">
        <v>12742</v>
      </c>
      <c r="H349" s="2977">
        <v>55</v>
      </c>
      <c r="I349" s="2973"/>
    </row>
    <row r="350" spans="1:9">
      <c r="A350" s="2979" t="s">
        <v>3837</v>
      </c>
      <c r="B350" s="2979">
        <v>42.82</v>
      </c>
      <c r="C350" s="2979" t="s">
        <v>3838</v>
      </c>
      <c r="D350" s="2973"/>
      <c r="E350" s="3028">
        <v>3</v>
      </c>
      <c r="F350" s="2973"/>
      <c r="G350" s="2975">
        <v>12742</v>
      </c>
      <c r="H350" s="2977">
        <v>55</v>
      </c>
      <c r="I350" s="2973"/>
    </row>
    <row r="351" spans="1:9">
      <c r="A351" s="2979" t="s">
        <v>3839</v>
      </c>
      <c r="B351" s="2979">
        <v>40.21</v>
      </c>
      <c r="C351" s="2979" t="s">
        <v>3840</v>
      </c>
      <c r="D351" s="2973"/>
      <c r="E351" s="3028">
        <v>3</v>
      </c>
      <c r="F351" s="2973"/>
      <c r="G351" s="2975">
        <v>12742</v>
      </c>
      <c r="H351" s="2977">
        <v>51</v>
      </c>
      <c r="I351" s="2973"/>
    </row>
    <row r="352" spans="1:9">
      <c r="A352" s="2979" t="s">
        <v>3841</v>
      </c>
      <c r="B352" s="2979">
        <v>41</v>
      </c>
      <c r="C352" s="2979" t="s">
        <v>3842</v>
      </c>
      <c r="D352" s="2973"/>
      <c r="E352" s="3028">
        <v>3</v>
      </c>
      <c r="F352" s="2973"/>
      <c r="G352" s="2975">
        <v>12742</v>
      </c>
      <c r="H352" s="2977">
        <v>52</v>
      </c>
      <c r="I352" s="2973"/>
    </row>
    <row r="353" spans="1:9">
      <c r="A353" s="2979" t="s">
        <v>3843</v>
      </c>
      <c r="B353" s="2979">
        <v>33.81</v>
      </c>
      <c r="C353" s="2979" t="s">
        <v>3844</v>
      </c>
      <c r="D353" s="2973"/>
      <c r="E353" s="3028">
        <v>3</v>
      </c>
      <c r="F353" s="2973"/>
      <c r="G353" s="2975">
        <v>12742</v>
      </c>
      <c r="H353" s="2977">
        <v>43</v>
      </c>
      <c r="I353" s="2973"/>
    </row>
    <row r="354" spans="1:9">
      <c r="A354" s="2979" t="s">
        <v>3845</v>
      </c>
      <c r="B354" s="2979">
        <v>42.82</v>
      </c>
      <c r="C354" s="2979" t="s">
        <v>3846</v>
      </c>
      <c r="D354" s="2973"/>
      <c r="E354" s="3028">
        <v>3</v>
      </c>
      <c r="F354" s="2973"/>
      <c r="G354" s="2975">
        <v>12742</v>
      </c>
      <c r="H354" s="2977">
        <v>55</v>
      </c>
      <c r="I354" s="2973"/>
    </row>
    <row r="355" spans="1:9">
      <c r="A355" s="2979" t="s">
        <v>3847</v>
      </c>
      <c r="B355" s="2979">
        <v>56.9</v>
      </c>
      <c r="C355" s="2979" t="s">
        <v>3848</v>
      </c>
      <c r="D355" s="2973"/>
      <c r="E355" s="3028">
        <v>3</v>
      </c>
      <c r="F355" s="2973"/>
      <c r="G355" s="2975">
        <v>12742</v>
      </c>
      <c r="H355" s="2977">
        <v>73</v>
      </c>
      <c r="I355" s="2973"/>
    </row>
    <row r="356" spans="1:9">
      <c r="A356" s="2979" t="s">
        <v>3849</v>
      </c>
      <c r="B356" s="2979">
        <v>21.74</v>
      </c>
      <c r="C356" s="2979" t="s">
        <v>3850</v>
      </c>
      <c r="D356" s="2973"/>
      <c r="E356" s="3028">
        <v>3</v>
      </c>
      <c r="F356" s="2973"/>
      <c r="G356" s="2975">
        <v>12742</v>
      </c>
      <c r="H356" s="2977">
        <v>28</v>
      </c>
      <c r="I356" s="2973"/>
    </row>
    <row r="357" spans="1:9">
      <c r="A357" s="2979" t="s">
        <v>3851</v>
      </c>
      <c r="B357" s="2979">
        <v>25.21</v>
      </c>
      <c r="C357" s="2979" t="s">
        <v>3852</v>
      </c>
      <c r="D357" s="2973"/>
      <c r="E357" s="3028">
        <v>3</v>
      </c>
      <c r="F357" s="2973"/>
      <c r="G357" s="2975">
        <v>12742</v>
      </c>
      <c r="H357" s="2977">
        <v>32</v>
      </c>
      <c r="I357" s="2973"/>
    </row>
    <row r="358" spans="1:9">
      <c r="A358" s="2979" t="s">
        <v>3853</v>
      </c>
      <c r="B358" s="2979">
        <v>45.65</v>
      </c>
      <c r="C358" s="2979" t="s">
        <v>3854</v>
      </c>
      <c r="D358" s="2973"/>
      <c r="E358" s="3028">
        <v>3</v>
      </c>
      <c r="F358" s="2973"/>
      <c r="G358" s="2975">
        <v>12742</v>
      </c>
      <c r="H358" s="2977">
        <v>58</v>
      </c>
      <c r="I358" s="2973"/>
    </row>
    <row r="359" spans="1:9">
      <c r="A359" s="2979" t="s">
        <v>3855</v>
      </c>
      <c r="B359" s="2979">
        <v>108.12</v>
      </c>
      <c r="C359" s="2979" t="s">
        <v>3856</v>
      </c>
      <c r="D359" s="2973"/>
      <c r="E359" s="3028">
        <v>3</v>
      </c>
      <c r="F359" s="2973"/>
      <c r="G359" s="2975">
        <v>12742</v>
      </c>
      <c r="H359" s="2977">
        <v>138</v>
      </c>
      <c r="I359" s="2973"/>
    </row>
    <row r="360" spans="1:9">
      <c r="A360" s="2979" t="s">
        <v>3857</v>
      </c>
      <c r="B360" s="2979">
        <v>118.68</v>
      </c>
      <c r="C360" s="2979" t="s">
        <v>3858</v>
      </c>
      <c r="D360" s="2973"/>
      <c r="E360" s="3028">
        <v>3</v>
      </c>
      <c r="F360" s="2973"/>
      <c r="G360" s="2975">
        <v>12742</v>
      </c>
      <c r="H360" s="2977">
        <v>151</v>
      </c>
      <c r="I360" s="2973"/>
    </row>
    <row r="361" spans="1:9">
      <c r="A361" s="2979" t="s">
        <v>3859</v>
      </c>
      <c r="B361" s="2979">
        <v>123.53</v>
      </c>
      <c r="C361" s="2979" t="s">
        <v>3860</v>
      </c>
      <c r="D361" s="2973"/>
      <c r="E361" s="3028">
        <v>3</v>
      </c>
      <c r="F361" s="2973"/>
      <c r="G361" s="2975">
        <v>12742</v>
      </c>
      <c r="H361" s="2977">
        <v>157</v>
      </c>
      <c r="I361" s="2973"/>
    </row>
    <row r="362" spans="1:9">
      <c r="A362" s="2979" t="s">
        <v>3861</v>
      </c>
      <c r="B362" s="2979">
        <v>226.71</v>
      </c>
      <c r="C362" s="2979" t="s">
        <v>3862</v>
      </c>
      <c r="D362" s="2973"/>
      <c r="E362" s="3028">
        <v>3</v>
      </c>
      <c r="F362" s="2973"/>
      <c r="G362" s="2975">
        <v>12742</v>
      </c>
      <c r="H362" s="2977">
        <v>289</v>
      </c>
      <c r="I362" s="2973"/>
    </row>
    <row r="363" spans="1:9">
      <c r="A363" s="2979" t="s">
        <v>3863</v>
      </c>
      <c r="B363" s="2979">
        <v>156.71</v>
      </c>
      <c r="C363" s="2979" t="s">
        <v>3864</v>
      </c>
      <c r="D363" s="2973"/>
      <c r="E363" s="3028">
        <v>3</v>
      </c>
      <c r="F363" s="2973"/>
      <c r="G363" s="2975">
        <v>12742</v>
      </c>
      <c r="H363" s="2977">
        <v>200</v>
      </c>
      <c r="I363" s="2973"/>
    </row>
    <row r="364" spans="1:9">
      <c r="A364" s="2979" t="s">
        <v>3865</v>
      </c>
      <c r="B364" s="2979">
        <v>87.82</v>
      </c>
      <c r="C364" s="2979" t="s">
        <v>3866</v>
      </c>
      <c r="D364" s="2973"/>
      <c r="E364" s="3028">
        <v>3</v>
      </c>
      <c r="F364" s="2973"/>
      <c r="G364" s="2975">
        <v>12742</v>
      </c>
      <c r="H364" s="2977">
        <v>112</v>
      </c>
      <c r="I364" s="2973"/>
    </row>
    <row r="365" spans="1:9">
      <c r="A365" s="2979" t="s">
        <v>3867</v>
      </c>
      <c r="B365" s="2979">
        <v>71.489999999999995</v>
      </c>
      <c r="C365" s="2979" t="s">
        <v>3868</v>
      </c>
      <c r="D365" s="2973"/>
      <c r="E365" s="3028">
        <v>3</v>
      </c>
      <c r="F365" s="2973"/>
      <c r="G365" s="2975">
        <v>12742</v>
      </c>
      <c r="H365" s="2977">
        <v>91</v>
      </c>
      <c r="I365" s="2973"/>
    </row>
    <row r="366" spans="1:9">
      <c r="A366" s="2979" t="s">
        <v>3869</v>
      </c>
      <c r="B366" s="2979">
        <v>183.56</v>
      </c>
      <c r="C366" s="2979" t="s">
        <v>3870</v>
      </c>
      <c r="D366" s="2973"/>
      <c r="E366" s="3028">
        <v>3</v>
      </c>
      <c r="F366" s="2973"/>
      <c r="G366" s="2975">
        <v>12742</v>
      </c>
      <c r="H366" s="2977">
        <v>234</v>
      </c>
      <c r="I366" s="2973"/>
    </row>
    <row r="367" spans="1:9">
      <c r="A367" s="2979" t="s">
        <v>3871</v>
      </c>
      <c r="B367" s="2979">
        <v>206.84</v>
      </c>
      <c r="C367" s="2979" t="s">
        <v>3872</v>
      </c>
      <c r="D367" s="2973"/>
      <c r="E367" s="3028">
        <v>3</v>
      </c>
      <c r="F367" s="2973"/>
      <c r="G367" s="2975">
        <v>12742</v>
      </c>
      <c r="H367" s="2977">
        <v>264</v>
      </c>
      <c r="I367" s="2973"/>
    </row>
    <row r="368" spans="1:9">
      <c r="A368" s="2979" t="s">
        <v>3873</v>
      </c>
      <c r="B368" s="2979">
        <v>144.30000000000001</v>
      </c>
      <c r="C368" s="2979" t="s">
        <v>3874</v>
      </c>
      <c r="D368" s="2973"/>
      <c r="E368" s="3028">
        <v>3</v>
      </c>
      <c r="F368" s="2973"/>
      <c r="G368" s="2975">
        <v>12742</v>
      </c>
      <c r="H368" s="2977">
        <v>184</v>
      </c>
      <c r="I368" s="2973"/>
    </row>
    <row r="369" spans="1:9">
      <c r="A369" s="2979" t="s">
        <v>3875</v>
      </c>
      <c r="B369" s="2979">
        <v>145.16</v>
      </c>
      <c r="C369" s="2979" t="s">
        <v>3876</v>
      </c>
      <c r="D369" s="2973"/>
      <c r="E369" s="3028">
        <v>3</v>
      </c>
      <c r="F369" s="2973"/>
      <c r="G369" s="2975">
        <v>12742</v>
      </c>
      <c r="H369" s="2977">
        <v>185</v>
      </c>
      <c r="I369" s="2973"/>
    </row>
    <row r="370" spans="1:9">
      <c r="A370" s="2979" t="s">
        <v>3877</v>
      </c>
      <c r="B370" s="2979">
        <v>155.71</v>
      </c>
      <c r="C370" s="2979" t="s">
        <v>3878</v>
      </c>
      <c r="D370" s="2973"/>
      <c r="E370" s="3028">
        <v>3</v>
      </c>
      <c r="F370" s="2973"/>
      <c r="G370" s="2975">
        <v>12742</v>
      </c>
      <c r="H370" s="2977">
        <v>198</v>
      </c>
      <c r="I370" s="2973"/>
    </row>
    <row r="371" spans="1:9">
      <c r="A371" s="2979" t="s">
        <v>3879</v>
      </c>
      <c r="B371" s="2979">
        <v>136.41</v>
      </c>
      <c r="C371" s="2979" t="s">
        <v>3880</v>
      </c>
      <c r="D371" s="2973"/>
      <c r="E371" s="3028">
        <v>3</v>
      </c>
      <c r="F371" s="2973"/>
      <c r="G371" s="2975">
        <v>12742</v>
      </c>
      <c r="H371" s="2977">
        <v>174</v>
      </c>
      <c r="I371" s="2973"/>
    </row>
    <row r="372" spans="1:9">
      <c r="A372" s="2979" t="s">
        <v>3881</v>
      </c>
      <c r="B372" s="2979">
        <v>230.85</v>
      </c>
      <c r="C372" s="2979" t="s">
        <v>3882</v>
      </c>
      <c r="D372" s="2973"/>
      <c r="E372" s="3028">
        <v>3</v>
      </c>
      <c r="F372" s="2973"/>
      <c r="G372" s="2975">
        <v>12742</v>
      </c>
      <c r="H372" s="2977">
        <v>294</v>
      </c>
      <c r="I372" s="2973"/>
    </row>
    <row r="373" spans="1:9">
      <c r="A373" s="2979" t="s">
        <v>3883</v>
      </c>
      <c r="B373" s="2979">
        <v>230.85</v>
      </c>
      <c r="C373" s="2979" t="s">
        <v>3884</v>
      </c>
      <c r="D373" s="2973"/>
      <c r="E373" s="3028">
        <v>3</v>
      </c>
      <c r="F373" s="2973"/>
      <c r="G373" s="2975">
        <v>12742</v>
      </c>
      <c r="H373" s="2977">
        <v>294</v>
      </c>
      <c r="I373" s="2973"/>
    </row>
    <row r="374" spans="1:9">
      <c r="A374" s="2979" t="s">
        <v>3885</v>
      </c>
      <c r="B374" s="2979">
        <v>136.41</v>
      </c>
      <c r="C374" s="2979" t="s">
        <v>3886</v>
      </c>
      <c r="D374" s="2973"/>
      <c r="E374" s="3028">
        <v>3</v>
      </c>
      <c r="F374" s="2973"/>
      <c r="G374" s="2975">
        <v>12742</v>
      </c>
      <c r="H374" s="2977">
        <v>174</v>
      </c>
      <c r="I374" s="2973"/>
    </row>
    <row r="375" spans="1:9">
      <c r="A375" s="2979" t="s">
        <v>3887</v>
      </c>
      <c r="B375" s="2979">
        <v>155.71</v>
      </c>
      <c r="C375" s="2979" t="s">
        <v>3888</v>
      </c>
      <c r="D375" s="2973"/>
      <c r="E375" s="3028">
        <v>3</v>
      </c>
      <c r="F375" s="2973"/>
      <c r="G375" s="2975">
        <v>12742</v>
      </c>
      <c r="H375" s="2977">
        <v>198</v>
      </c>
      <c r="I375" s="2973"/>
    </row>
    <row r="376" spans="1:9">
      <c r="A376" s="2979" t="s">
        <v>3889</v>
      </c>
      <c r="B376" s="2979">
        <v>145.16</v>
      </c>
      <c r="C376" s="2979" t="s">
        <v>3890</v>
      </c>
      <c r="D376" s="2973"/>
      <c r="E376" s="3028">
        <v>3</v>
      </c>
      <c r="F376" s="2973"/>
      <c r="G376" s="2975">
        <v>12742</v>
      </c>
      <c r="H376" s="2977">
        <v>185</v>
      </c>
      <c r="I376" s="2973"/>
    </row>
    <row r="377" spans="1:9">
      <c r="A377" s="2979" t="s">
        <v>3891</v>
      </c>
      <c r="B377" s="2979">
        <v>144.30000000000001</v>
      </c>
      <c r="C377" s="2979" t="s">
        <v>3892</v>
      </c>
      <c r="D377" s="2973"/>
      <c r="E377" s="3028">
        <v>3</v>
      </c>
      <c r="F377" s="2973"/>
      <c r="G377" s="2975">
        <v>12742</v>
      </c>
      <c r="H377" s="2977">
        <v>184</v>
      </c>
      <c r="I377" s="2973"/>
    </row>
    <row r="378" spans="1:9">
      <c r="A378" s="2979" t="s">
        <v>3893</v>
      </c>
      <c r="B378" s="2979">
        <v>206.84</v>
      </c>
      <c r="C378" s="2979" t="s">
        <v>3894</v>
      </c>
      <c r="D378" s="2973"/>
      <c r="E378" s="3028">
        <v>3</v>
      </c>
      <c r="F378" s="2973"/>
      <c r="G378" s="2975">
        <v>12742</v>
      </c>
      <c r="H378" s="2977">
        <v>264</v>
      </c>
      <c r="I378" s="2973"/>
    </row>
    <row r="379" spans="1:9">
      <c r="A379" s="2979" t="s">
        <v>3895</v>
      </c>
      <c r="B379" s="2979">
        <v>183.56</v>
      </c>
      <c r="C379" s="2979" t="s">
        <v>3896</v>
      </c>
      <c r="D379" s="2973"/>
      <c r="E379" s="3028">
        <v>3</v>
      </c>
      <c r="F379" s="2973"/>
      <c r="G379" s="2975">
        <v>12742</v>
      </c>
      <c r="H379" s="2977">
        <v>234</v>
      </c>
      <c r="I379" s="2973"/>
    </row>
    <row r="380" spans="1:9">
      <c r="A380" s="2979" t="s">
        <v>3897</v>
      </c>
      <c r="B380" s="2979">
        <v>71.489999999999995</v>
      </c>
      <c r="C380" s="2979" t="s">
        <v>3898</v>
      </c>
      <c r="D380" s="2973"/>
      <c r="E380" s="3028">
        <v>3</v>
      </c>
      <c r="F380" s="2973"/>
      <c r="G380" s="2975">
        <v>12742</v>
      </c>
      <c r="H380" s="2977">
        <v>91</v>
      </c>
      <c r="I380" s="2973"/>
    </row>
    <row r="381" spans="1:9">
      <c r="A381" s="2979" t="s">
        <v>3899</v>
      </c>
      <c r="B381" s="2979">
        <v>87.82</v>
      </c>
      <c r="C381" s="2979" t="s">
        <v>3900</v>
      </c>
      <c r="D381" s="2973"/>
      <c r="E381" s="3028">
        <v>3</v>
      </c>
      <c r="F381" s="2973"/>
      <c r="G381" s="2975">
        <v>12742</v>
      </c>
      <c r="H381" s="2977">
        <v>112</v>
      </c>
      <c r="I381" s="2973"/>
    </row>
    <row r="382" spans="1:9">
      <c r="A382" s="2979" t="s">
        <v>3901</v>
      </c>
      <c r="B382" s="2979">
        <v>156.71</v>
      </c>
      <c r="C382" s="2979" t="s">
        <v>3902</v>
      </c>
      <c r="D382" s="2973">
        <f>SUM(B281:B382)</f>
        <v>12369.80999999999</v>
      </c>
      <c r="E382" s="3028">
        <v>4</v>
      </c>
      <c r="F382" s="2973"/>
      <c r="G382" s="2975">
        <v>12105</v>
      </c>
      <c r="H382" s="2977">
        <v>190</v>
      </c>
      <c r="I382" s="2973"/>
    </row>
    <row r="383" spans="1:9">
      <c r="A383" s="2979" t="s">
        <v>3903</v>
      </c>
      <c r="B383" s="2979">
        <v>3699.95</v>
      </c>
      <c r="C383" s="2979" t="s">
        <v>3904</v>
      </c>
      <c r="D383" s="2973"/>
      <c r="E383" s="3028">
        <v>4</v>
      </c>
      <c r="F383" s="2973"/>
      <c r="G383" s="2975">
        <v>12105</v>
      </c>
      <c r="H383" s="2977">
        <v>4479</v>
      </c>
      <c r="I383" s="2973"/>
    </row>
    <row r="384" spans="1:9">
      <c r="A384" s="2979" t="s">
        <v>3905</v>
      </c>
      <c r="B384" s="2979">
        <v>59.36</v>
      </c>
      <c r="C384" s="2979" t="s">
        <v>3906</v>
      </c>
      <c r="D384" s="2973"/>
      <c r="E384" s="3028">
        <v>4</v>
      </c>
      <c r="F384" s="2973"/>
      <c r="G384" s="2975">
        <v>12105</v>
      </c>
      <c r="H384" s="2977">
        <v>72</v>
      </c>
      <c r="I384" s="2973"/>
    </row>
    <row r="385" spans="1:9">
      <c r="A385" s="2979" t="s">
        <v>3907</v>
      </c>
      <c r="B385" s="2979">
        <v>61.23</v>
      </c>
      <c r="C385" s="2979" t="s">
        <v>3908</v>
      </c>
      <c r="D385" s="2973"/>
      <c r="E385" s="3028">
        <v>4</v>
      </c>
      <c r="F385" s="2973"/>
      <c r="G385" s="2975">
        <v>12105</v>
      </c>
      <c r="H385" s="2977">
        <v>74</v>
      </c>
      <c r="I385" s="2973"/>
    </row>
    <row r="386" spans="1:9">
      <c r="A386" s="2979" t="s">
        <v>3909</v>
      </c>
      <c r="B386" s="2979">
        <v>58.73</v>
      </c>
      <c r="C386" s="2979" t="s">
        <v>3910</v>
      </c>
      <c r="D386" s="2973"/>
      <c r="E386" s="3028">
        <v>4</v>
      </c>
      <c r="F386" s="2973"/>
      <c r="G386" s="2975">
        <v>12105</v>
      </c>
      <c r="H386" s="2977">
        <v>71</v>
      </c>
      <c r="I386" s="2973"/>
    </row>
    <row r="387" spans="1:9">
      <c r="A387" s="2979" t="s">
        <v>3911</v>
      </c>
      <c r="B387" s="2979">
        <v>58.73</v>
      </c>
      <c r="C387" s="2979" t="s">
        <v>3912</v>
      </c>
      <c r="D387" s="2973"/>
      <c r="E387" s="3028">
        <v>4</v>
      </c>
      <c r="F387" s="2973"/>
      <c r="G387" s="2975">
        <v>12105</v>
      </c>
      <c r="H387" s="2977">
        <v>71</v>
      </c>
      <c r="I387" s="2973"/>
    </row>
    <row r="388" spans="1:9">
      <c r="A388" s="2979" t="s">
        <v>3913</v>
      </c>
      <c r="B388" s="2979">
        <v>50.62</v>
      </c>
      <c r="C388" s="2979" t="s">
        <v>3914</v>
      </c>
      <c r="D388" s="2973"/>
      <c r="E388" s="3028">
        <v>4</v>
      </c>
      <c r="F388" s="2973"/>
      <c r="G388" s="2975">
        <v>12105</v>
      </c>
      <c r="H388" s="2977">
        <v>61</v>
      </c>
      <c r="I388" s="2973"/>
    </row>
    <row r="389" spans="1:9">
      <c r="A389" s="2979" t="s">
        <v>3915</v>
      </c>
      <c r="B389" s="2979">
        <v>50.62</v>
      </c>
      <c r="C389" s="2979" t="s">
        <v>3916</v>
      </c>
      <c r="D389" s="2973"/>
      <c r="E389" s="3028">
        <v>4</v>
      </c>
      <c r="F389" s="2973"/>
      <c r="G389" s="2975">
        <v>12105</v>
      </c>
      <c r="H389" s="2977">
        <v>61</v>
      </c>
      <c r="I389" s="2973"/>
    </row>
    <row r="390" spans="1:9">
      <c r="A390" s="2979" t="s">
        <v>3917</v>
      </c>
      <c r="B390" s="2979">
        <v>89.81</v>
      </c>
      <c r="C390" s="2979" t="s">
        <v>3918</v>
      </c>
      <c r="D390" s="2973"/>
      <c r="E390" s="3028">
        <v>4</v>
      </c>
      <c r="F390" s="2973"/>
      <c r="G390" s="2975">
        <v>12105</v>
      </c>
      <c r="H390" s="2977">
        <v>109</v>
      </c>
      <c r="I390" s="2973"/>
    </row>
    <row r="391" spans="1:9">
      <c r="A391" s="2979" t="s">
        <v>3919</v>
      </c>
      <c r="B391" s="2979">
        <v>69.33</v>
      </c>
      <c r="C391" s="2979" t="s">
        <v>3920</v>
      </c>
      <c r="D391" s="2973"/>
      <c r="E391" s="3028">
        <v>4</v>
      </c>
      <c r="F391" s="2973"/>
      <c r="G391" s="2975">
        <v>12105</v>
      </c>
      <c r="H391" s="2977">
        <v>84</v>
      </c>
      <c r="I391" s="2973"/>
    </row>
    <row r="392" spans="1:9">
      <c r="A392" s="2979" t="s">
        <v>3921</v>
      </c>
      <c r="B392" s="2979">
        <v>108.53</v>
      </c>
      <c r="C392" s="2979" t="s">
        <v>3922</v>
      </c>
      <c r="D392" s="2973"/>
      <c r="E392" s="3028">
        <v>4</v>
      </c>
      <c r="F392" s="2973"/>
      <c r="G392" s="2975">
        <v>12105</v>
      </c>
      <c r="H392" s="2977">
        <v>131</v>
      </c>
      <c r="I392" s="2973"/>
    </row>
    <row r="393" spans="1:9">
      <c r="A393" s="2979" t="s">
        <v>3923</v>
      </c>
      <c r="B393" s="2979">
        <v>73.78</v>
      </c>
      <c r="C393" s="2979" t="s">
        <v>3924</v>
      </c>
      <c r="D393" s="2973"/>
      <c r="E393" s="3028">
        <v>4</v>
      </c>
      <c r="F393" s="2973"/>
      <c r="G393" s="2975">
        <v>12105</v>
      </c>
      <c r="H393" s="2977">
        <v>89</v>
      </c>
      <c r="I393" s="2973"/>
    </row>
    <row r="394" spans="1:9">
      <c r="A394" s="2979" t="s">
        <v>3925</v>
      </c>
      <c r="B394" s="2979">
        <v>71.92</v>
      </c>
      <c r="C394" s="2979" t="s">
        <v>3926</v>
      </c>
      <c r="D394" s="2973"/>
      <c r="E394" s="3028">
        <v>4</v>
      </c>
      <c r="F394" s="2973"/>
      <c r="G394" s="2975">
        <v>12105</v>
      </c>
      <c r="H394" s="2977">
        <v>87</v>
      </c>
      <c r="I394" s="2973"/>
    </row>
    <row r="395" spans="1:9">
      <c r="A395" s="2979" t="s">
        <v>3927</v>
      </c>
      <c r="B395" s="2979">
        <v>67.42</v>
      </c>
      <c r="C395" s="2979" t="s">
        <v>3928</v>
      </c>
      <c r="D395" s="2973"/>
      <c r="E395" s="3028">
        <v>4</v>
      </c>
      <c r="F395" s="2973"/>
      <c r="G395" s="2975">
        <v>12105</v>
      </c>
      <c r="H395" s="2977">
        <v>82</v>
      </c>
      <c r="I395" s="2973"/>
    </row>
    <row r="396" spans="1:9">
      <c r="A396" s="2979" t="s">
        <v>3929</v>
      </c>
      <c r="B396" s="2979">
        <v>56.19</v>
      </c>
      <c r="C396" s="2979" t="s">
        <v>3930</v>
      </c>
      <c r="D396" s="2973"/>
      <c r="E396" s="3028">
        <v>4</v>
      </c>
      <c r="F396" s="2973"/>
      <c r="G396" s="2975">
        <v>12105</v>
      </c>
      <c r="H396" s="2977">
        <v>68</v>
      </c>
      <c r="I396" s="2973"/>
    </row>
    <row r="397" spans="1:9">
      <c r="A397" s="2979" t="s">
        <v>3931</v>
      </c>
      <c r="B397" s="2979">
        <v>51.2</v>
      </c>
      <c r="C397" s="2979" t="s">
        <v>3932</v>
      </c>
      <c r="D397" s="2973"/>
      <c r="E397" s="3028">
        <v>4</v>
      </c>
      <c r="F397" s="2973"/>
      <c r="G397" s="2975">
        <v>12105</v>
      </c>
      <c r="H397" s="2977">
        <v>62</v>
      </c>
      <c r="I397" s="2973"/>
    </row>
    <row r="398" spans="1:9">
      <c r="A398" s="2979" t="s">
        <v>3933</v>
      </c>
      <c r="B398" s="2979">
        <v>59.13</v>
      </c>
      <c r="C398" s="2979" t="s">
        <v>3934</v>
      </c>
      <c r="D398" s="2973"/>
      <c r="E398" s="3028">
        <v>4</v>
      </c>
      <c r="F398" s="2973"/>
      <c r="G398" s="2975">
        <v>12105</v>
      </c>
      <c r="H398" s="2977">
        <v>72</v>
      </c>
      <c r="I398" s="2973"/>
    </row>
    <row r="399" spans="1:9">
      <c r="A399" s="2979" t="s">
        <v>3935</v>
      </c>
      <c r="B399" s="2979">
        <v>63.2</v>
      </c>
      <c r="C399" s="2979" t="s">
        <v>3936</v>
      </c>
      <c r="D399" s="2973"/>
      <c r="E399" s="3028">
        <v>4</v>
      </c>
      <c r="F399" s="2973"/>
      <c r="G399" s="2975">
        <v>12105</v>
      </c>
      <c r="H399" s="2977">
        <v>77</v>
      </c>
      <c r="I399" s="2973"/>
    </row>
    <row r="400" spans="1:9">
      <c r="A400" s="2979" t="s">
        <v>3937</v>
      </c>
      <c r="B400" s="2979">
        <v>61.55</v>
      </c>
      <c r="C400" s="2979" t="s">
        <v>3938</v>
      </c>
      <c r="D400" s="2973"/>
      <c r="E400" s="3028">
        <v>4</v>
      </c>
      <c r="F400" s="2973"/>
      <c r="G400" s="2975">
        <v>12105</v>
      </c>
      <c r="H400" s="2977">
        <v>75</v>
      </c>
      <c r="I400" s="2973"/>
    </row>
    <row r="401" spans="1:9">
      <c r="A401" s="2979" t="s">
        <v>3939</v>
      </c>
      <c r="B401" s="2979">
        <v>65.63</v>
      </c>
      <c r="C401" s="2979" t="s">
        <v>3940</v>
      </c>
      <c r="D401" s="2973"/>
      <c r="E401" s="3028">
        <v>4</v>
      </c>
      <c r="F401" s="2973"/>
      <c r="G401" s="2975">
        <v>12105</v>
      </c>
      <c r="H401" s="2977">
        <v>79</v>
      </c>
      <c r="I401" s="2973"/>
    </row>
    <row r="402" spans="1:9">
      <c r="A402" s="2979" t="s">
        <v>3941</v>
      </c>
      <c r="B402" s="2979">
        <v>84.56</v>
      </c>
      <c r="C402" s="2979" t="s">
        <v>3942</v>
      </c>
      <c r="D402" s="2973"/>
      <c r="E402" s="3028">
        <v>4</v>
      </c>
      <c r="F402" s="2973"/>
      <c r="G402" s="2975">
        <v>12105</v>
      </c>
      <c r="H402" s="2977">
        <v>102</v>
      </c>
      <c r="I402" s="2973"/>
    </row>
    <row r="403" spans="1:9">
      <c r="A403" s="2979" t="s">
        <v>3943</v>
      </c>
      <c r="B403" s="2979">
        <v>102.67</v>
      </c>
      <c r="C403" s="2979" t="s">
        <v>3944</v>
      </c>
      <c r="D403" s="2973"/>
      <c r="E403" s="3028">
        <v>4</v>
      </c>
      <c r="F403" s="2973"/>
      <c r="G403" s="2975">
        <v>12105</v>
      </c>
      <c r="H403" s="2977">
        <v>124</v>
      </c>
      <c r="I403" s="2973"/>
    </row>
    <row r="404" spans="1:9">
      <c r="A404" s="2979" t="s">
        <v>3945</v>
      </c>
      <c r="B404" s="2979">
        <v>154.66999999999999</v>
      </c>
      <c r="C404" s="2979" t="s">
        <v>3946</v>
      </c>
      <c r="D404" s="2973"/>
      <c r="E404" s="3028">
        <v>4</v>
      </c>
      <c r="F404" s="2973"/>
      <c r="G404" s="2975">
        <v>12105</v>
      </c>
      <c r="H404" s="2977">
        <v>187</v>
      </c>
      <c r="I404" s="2973"/>
    </row>
    <row r="405" spans="1:9">
      <c r="A405" s="2979" t="s">
        <v>3947</v>
      </c>
      <c r="B405" s="2979">
        <v>323.12</v>
      </c>
      <c r="C405" s="2979" t="s">
        <v>3948</v>
      </c>
      <c r="D405" s="2973"/>
      <c r="E405" s="3028">
        <v>4</v>
      </c>
      <c r="F405" s="2973"/>
      <c r="G405" s="2975">
        <v>12105</v>
      </c>
      <c r="H405" s="2977">
        <v>391</v>
      </c>
      <c r="I405" s="2973"/>
    </row>
    <row r="406" spans="1:9">
      <c r="A406" s="2979" t="s">
        <v>3949</v>
      </c>
      <c r="B406" s="2979">
        <v>260.77999999999997</v>
      </c>
      <c r="C406" s="2979" t="s">
        <v>3950</v>
      </c>
      <c r="D406" s="2973"/>
      <c r="E406" s="3028">
        <v>4</v>
      </c>
      <c r="F406" s="2973"/>
      <c r="G406" s="2975">
        <v>12105</v>
      </c>
      <c r="H406" s="2977">
        <v>316</v>
      </c>
      <c r="I406" s="2973"/>
    </row>
    <row r="407" spans="1:9">
      <c r="A407" s="2979" t="s">
        <v>3951</v>
      </c>
      <c r="B407" s="2979">
        <v>227.56</v>
      </c>
      <c r="C407" s="2979" t="s">
        <v>3952</v>
      </c>
      <c r="D407" s="2973"/>
      <c r="E407" s="3028">
        <v>4</v>
      </c>
      <c r="F407" s="2973"/>
      <c r="G407" s="2975">
        <v>12105</v>
      </c>
      <c r="H407" s="2977">
        <v>275</v>
      </c>
      <c r="I407" s="2973"/>
    </row>
    <row r="408" spans="1:9">
      <c r="A408" s="2979" t="s">
        <v>3953</v>
      </c>
      <c r="B408" s="2979">
        <v>84.7</v>
      </c>
      <c r="C408" s="2979" t="s">
        <v>3954</v>
      </c>
      <c r="D408" s="2973"/>
      <c r="E408" s="3028">
        <v>4</v>
      </c>
      <c r="F408" s="2973"/>
      <c r="G408" s="2975">
        <v>12105</v>
      </c>
      <c r="H408" s="2977">
        <v>103</v>
      </c>
      <c r="I408" s="2973"/>
    </row>
    <row r="409" spans="1:9">
      <c r="A409" s="2979" t="s">
        <v>3955</v>
      </c>
      <c r="B409" s="2979">
        <v>100.76</v>
      </c>
      <c r="C409" s="2979" t="s">
        <v>3956</v>
      </c>
      <c r="D409" s="2973"/>
      <c r="E409" s="3028">
        <v>4</v>
      </c>
      <c r="F409" s="2973"/>
      <c r="G409" s="2975">
        <v>12105</v>
      </c>
      <c r="H409" s="2977">
        <v>122</v>
      </c>
      <c r="I409" s="2973"/>
    </row>
    <row r="410" spans="1:9">
      <c r="A410" s="2979" t="s">
        <v>3957</v>
      </c>
      <c r="B410" s="2979">
        <v>105.24</v>
      </c>
      <c r="C410" s="2979" t="s">
        <v>3958</v>
      </c>
      <c r="D410" s="2973"/>
      <c r="E410" s="3028">
        <v>4</v>
      </c>
      <c r="F410" s="2973"/>
      <c r="G410" s="2975">
        <v>12105</v>
      </c>
      <c r="H410" s="2977">
        <v>127</v>
      </c>
      <c r="I410" s="2973"/>
    </row>
    <row r="411" spans="1:9">
      <c r="A411" s="2979" t="s">
        <v>3959</v>
      </c>
      <c r="B411" s="2979">
        <v>109.55</v>
      </c>
      <c r="C411" s="2979" t="s">
        <v>3960</v>
      </c>
      <c r="D411" s="2973"/>
      <c r="E411" s="3028">
        <v>4</v>
      </c>
      <c r="F411" s="2973"/>
      <c r="G411" s="2975">
        <v>12105</v>
      </c>
      <c r="H411" s="2977">
        <v>133</v>
      </c>
      <c r="I411" s="2973"/>
    </row>
    <row r="412" spans="1:9">
      <c r="A412" s="2979" t="s">
        <v>3961</v>
      </c>
      <c r="B412" s="2979">
        <v>109.55</v>
      </c>
      <c r="C412" s="2979" t="s">
        <v>3962</v>
      </c>
      <c r="D412" s="2973"/>
      <c r="E412" s="3028">
        <v>4</v>
      </c>
      <c r="F412" s="2973"/>
      <c r="G412" s="2975">
        <v>12105</v>
      </c>
      <c r="H412" s="2977">
        <v>133</v>
      </c>
      <c r="I412" s="2973"/>
    </row>
    <row r="413" spans="1:9">
      <c r="A413" s="2979" t="s">
        <v>3963</v>
      </c>
      <c r="B413" s="2979">
        <v>113.35</v>
      </c>
      <c r="C413" s="2979" t="s">
        <v>3964</v>
      </c>
      <c r="D413" s="2973"/>
      <c r="E413" s="3028">
        <v>4</v>
      </c>
      <c r="F413" s="2973"/>
      <c r="G413" s="2975">
        <v>12105</v>
      </c>
      <c r="H413" s="2977">
        <v>137</v>
      </c>
      <c r="I413" s="2973"/>
    </row>
    <row r="414" spans="1:9">
      <c r="A414" s="2979" t="s">
        <v>3965</v>
      </c>
      <c r="B414" s="2979">
        <v>125.64</v>
      </c>
      <c r="C414" s="2979" t="s">
        <v>3966</v>
      </c>
      <c r="D414" s="2973"/>
      <c r="E414" s="3028">
        <v>4</v>
      </c>
      <c r="F414" s="2973"/>
      <c r="G414" s="2975">
        <v>12105</v>
      </c>
      <c r="H414" s="2977">
        <v>152</v>
      </c>
      <c r="I414" s="2973"/>
    </row>
    <row r="415" spans="1:9">
      <c r="A415" s="2979" t="s">
        <v>3967</v>
      </c>
      <c r="B415" s="2979">
        <v>115.27</v>
      </c>
      <c r="C415" s="2979" t="s">
        <v>3968</v>
      </c>
      <c r="D415" s="2973"/>
      <c r="E415" s="3028">
        <v>4</v>
      </c>
      <c r="F415" s="2973"/>
      <c r="G415" s="2975">
        <v>12105</v>
      </c>
      <c r="H415" s="2977">
        <v>140</v>
      </c>
      <c r="I415" s="2973"/>
    </row>
    <row r="416" spans="1:9">
      <c r="A416" s="2979" t="s">
        <v>3969</v>
      </c>
      <c r="B416" s="2979">
        <v>115.31</v>
      </c>
      <c r="C416" s="2979" t="s">
        <v>3970</v>
      </c>
      <c r="D416" s="2973"/>
      <c r="E416" s="3028">
        <v>4</v>
      </c>
      <c r="F416" s="2973"/>
      <c r="G416" s="2975">
        <v>12105</v>
      </c>
      <c r="H416" s="2977">
        <v>140</v>
      </c>
      <c r="I416" s="2973"/>
    </row>
    <row r="417" spans="1:9">
      <c r="A417" s="2979" t="s">
        <v>3971</v>
      </c>
      <c r="B417" s="2979">
        <v>115.27</v>
      </c>
      <c r="C417" s="2979" t="s">
        <v>3972</v>
      </c>
      <c r="D417" s="2973"/>
      <c r="E417" s="3028">
        <v>4</v>
      </c>
      <c r="F417" s="2973"/>
      <c r="G417" s="2975">
        <v>12105</v>
      </c>
      <c r="H417" s="2977">
        <v>140</v>
      </c>
      <c r="I417" s="2973"/>
    </row>
    <row r="418" spans="1:9">
      <c r="A418" s="2979" t="s">
        <v>3973</v>
      </c>
      <c r="B418" s="2979">
        <v>127.56</v>
      </c>
      <c r="C418" s="2979" t="s">
        <v>3974</v>
      </c>
      <c r="D418" s="2973"/>
      <c r="E418" s="3028">
        <v>4</v>
      </c>
      <c r="F418" s="2973"/>
      <c r="G418" s="2975">
        <v>12105</v>
      </c>
      <c r="H418" s="2977">
        <v>154</v>
      </c>
      <c r="I418" s="2973"/>
    </row>
    <row r="419" spans="1:9">
      <c r="A419" s="2979" t="s">
        <v>3975</v>
      </c>
      <c r="B419" s="2979">
        <v>113.35</v>
      </c>
      <c r="C419" s="2979" t="s">
        <v>3976</v>
      </c>
      <c r="D419" s="2973"/>
      <c r="E419" s="3028">
        <v>4</v>
      </c>
      <c r="F419" s="2973"/>
      <c r="G419" s="2975">
        <v>12105</v>
      </c>
      <c r="H419" s="2977">
        <v>137</v>
      </c>
      <c r="I419" s="2973"/>
    </row>
    <row r="420" spans="1:9">
      <c r="A420" s="2979" t="s">
        <v>3977</v>
      </c>
      <c r="B420" s="2979">
        <v>109.55</v>
      </c>
      <c r="C420" s="2979" t="s">
        <v>3978</v>
      </c>
      <c r="D420" s="2973"/>
      <c r="E420" s="3028">
        <v>4</v>
      </c>
      <c r="F420" s="2973"/>
      <c r="G420" s="2975">
        <v>12105</v>
      </c>
      <c r="H420" s="2977">
        <v>133</v>
      </c>
      <c r="I420" s="2973"/>
    </row>
    <row r="421" spans="1:9">
      <c r="A421" s="2979" t="s">
        <v>3979</v>
      </c>
      <c r="B421" s="2979">
        <v>109.55</v>
      </c>
      <c r="C421" s="2979" t="s">
        <v>3980</v>
      </c>
      <c r="D421" s="2973"/>
      <c r="E421" s="3028">
        <v>4</v>
      </c>
      <c r="F421" s="2973"/>
      <c r="G421" s="2975">
        <v>12105</v>
      </c>
      <c r="H421" s="2977">
        <v>133</v>
      </c>
      <c r="I421" s="2973"/>
    </row>
    <row r="422" spans="1:9">
      <c r="A422" s="2979" t="s">
        <v>3981</v>
      </c>
      <c r="B422" s="2979">
        <v>105.24</v>
      </c>
      <c r="C422" s="2979" t="s">
        <v>3982</v>
      </c>
      <c r="D422" s="2973"/>
      <c r="E422" s="3028">
        <v>4</v>
      </c>
      <c r="F422" s="2973"/>
      <c r="G422" s="2975">
        <v>12105</v>
      </c>
      <c r="H422" s="2977">
        <v>127</v>
      </c>
      <c r="I422" s="2973"/>
    </row>
    <row r="423" spans="1:9">
      <c r="A423" s="2979" t="s">
        <v>3983</v>
      </c>
      <c r="B423" s="2979">
        <v>100.76</v>
      </c>
      <c r="C423" s="2979" t="s">
        <v>3984</v>
      </c>
      <c r="D423" s="2973"/>
      <c r="E423" s="3028">
        <v>4</v>
      </c>
      <c r="F423" s="2973"/>
      <c r="G423" s="2975">
        <v>12105</v>
      </c>
      <c r="H423" s="2977">
        <v>122</v>
      </c>
      <c r="I423" s="2973"/>
    </row>
    <row r="424" spans="1:9">
      <c r="A424" s="2979" t="s">
        <v>3985</v>
      </c>
      <c r="B424" s="2979">
        <v>84.7</v>
      </c>
      <c r="C424" s="2979" t="s">
        <v>3986</v>
      </c>
      <c r="D424" s="2973"/>
      <c r="E424" s="3028">
        <v>4</v>
      </c>
      <c r="F424" s="2973"/>
      <c r="G424" s="2975">
        <v>12105</v>
      </c>
      <c r="H424" s="2977">
        <v>103</v>
      </c>
      <c r="I424" s="2973"/>
    </row>
    <row r="425" spans="1:9">
      <c r="A425" s="2979" t="s">
        <v>3987</v>
      </c>
      <c r="B425" s="2979">
        <v>21.23</v>
      </c>
      <c r="C425" s="2979" t="s">
        <v>3988</v>
      </c>
      <c r="D425" s="2973"/>
      <c r="E425" s="3028">
        <v>4</v>
      </c>
      <c r="F425" s="2973"/>
      <c r="G425" s="2975">
        <v>12105</v>
      </c>
      <c r="H425" s="2977">
        <v>26</v>
      </c>
      <c r="I425" s="2973"/>
    </row>
    <row r="426" spans="1:9">
      <c r="A426" s="2979" t="s">
        <v>3989</v>
      </c>
      <c r="B426" s="2979">
        <v>24.61</v>
      </c>
      <c r="C426" s="2979" t="s">
        <v>3990</v>
      </c>
      <c r="D426" s="2973"/>
      <c r="E426" s="3028">
        <v>4</v>
      </c>
      <c r="F426" s="2973"/>
      <c r="G426" s="2975">
        <v>12105</v>
      </c>
      <c r="H426" s="2977">
        <v>30</v>
      </c>
      <c r="I426" s="2973"/>
    </row>
    <row r="427" spans="1:9">
      <c r="A427" s="2979" t="s">
        <v>3991</v>
      </c>
      <c r="B427" s="2979">
        <v>44.57</v>
      </c>
      <c r="C427" s="2979" t="s">
        <v>3992</v>
      </c>
      <c r="D427" s="2973"/>
      <c r="E427" s="3028">
        <v>4</v>
      </c>
      <c r="F427" s="2973"/>
      <c r="G427" s="2975">
        <v>12105</v>
      </c>
      <c r="H427" s="2977">
        <v>54</v>
      </c>
      <c r="I427" s="2973"/>
    </row>
    <row r="428" spans="1:9">
      <c r="A428" s="2979" t="s">
        <v>3993</v>
      </c>
      <c r="B428" s="2979">
        <v>105.57</v>
      </c>
      <c r="C428" s="2979" t="s">
        <v>3994</v>
      </c>
      <c r="D428" s="2973"/>
      <c r="E428" s="3028">
        <v>4</v>
      </c>
      <c r="F428" s="2973"/>
      <c r="G428" s="2975">
        <v>12105</v>
      </c>
      <c r="H428" s="2977">
        <v>128</v>
      </c>
      <c r="I428" s="2973"/>
    </row>
    <row r="429" spans="1:9">
      <c r="A429" s="2979" t="s">
        <v>3995</v>
      </c>
      <c r="B429" s="2979">
        <v>115.88</v>
      </c>
      <c r="C429" s="2979" t="s">
        <v>3996</v>
      </c>
      <c r="D429" s="2973"/>
      <c r="E429" s="3028">
        <v>4</v>
      </c>
      <c r="F429" s="2973"/>
      <c r="G429" s="2975">
        <v>12105</v>
      </c>
      <c r="H429" s="2977">
        <v>140</v>
      </c>
      <c r="I429" s="2973"/>
    </row>
    <row r="430" spans="1:9">
      <c r="A430" s="2979" t="s">
        <v>3997</v>
      </c>
      <c r="B430" s="2979">
        <v>120.61</v>
      </c>
      <c r="C430" s="2979" t="s">
        <v>3998</v>
      </c>
      <c r="D430" s="2973"/>
      <c r="E430" s="3028">
        <v>4</v>
      </c>
      <c r="F430" s="2973"/>
      <c r="G430" s="2975">
        <v>12105</v>
      </c>
      <c r="H430" s="2977">
        <v>146</v>
      </c>
      <c r="I430" s="2973"/>
    </row>
    <row r="431" spans="1:9">
      <c r="A431" s="2979" t="s">
        <v>3999</v>
      </c>
      <c r="B431" s="2979">
        <v>221.36</v>
      </c>
      <c r="C431" s="2979" t="s">
        <v>4000</v>
      </c>
      <c r="D431" s="2973"/>
      <c r="E431" s="3028">
        <v>4</v>
      </c>
      <c r="F431" s="2973"/>
      <c r="G431" s="2975">
        <v>12105</v>
      </c>
      <c r="H431" s="2977">
        <v>268</v>
      </c>
      <c r="I431" s="2973"/>
    </row>
    <row r="432" spans="1:9">
      <c r="A432" s="2979" t="s">
        <v>4001</v>
      </c>
      <c r="B432" s="2979">
        <v>153.01</v>
      </c>
      <c r="C432" s="2979" t="s">
        <v>4002</v>
      </c>
      <c r="D432" s="2973"/>
      <c r="E432" s="3028">
        <v>4</v>
      </c>
      <c r="F432" s="2973"/>
      <c r="G432" s="2975">
        <v>12105</v>
      </c>
      <c r="H432" s="2977">
        <v>185</v>
      </c>
      <c r="I432" s="2973"/>
    </row>
    <row r="433" spans="1:9">
      <c r="A433" s="2979" t="s">
        <v>4003</v>
      </c>
      <c r="B433" s="2979">
        <v>85.75</v>
      </c>
      <c r="C433" s="2979" t="s">
        <v>4004</v>
      </c>
      <c r="D433" s="2973"/>
      <c r="E433" s="3028">
        <v>4</v>
      </c>
      <c r="F433" s="2973"/>
      <c r="G433" s="2975">
        <v>12105</v>
      </c>
      <c r="H433" s="2977">
        <v>104</v>
      </c>
      <c r="I433" s="2973"/>
    </row>
    <row r="434" spans="1:9">
      <c r="A434" s="2979" t="s">
        <v>4005</v>
      </c>
      <c r="B434" s="2979">
        <v>69.81</v>
      </c>
      <c r="C434" s="2979" t="s">
        <v>4006</v>
      </c>
      <c r="D434" s="2973"/>
      <c r="E434" s="3028">
        <v>4</v>
      </c>
      <c r="F434" s="2973"/>
      <c r="G434" s="2975">
        <v>12105</v>
      </c>
      <c r="H434" s="2977">
        <v>85</v>
      </c>
      <c r="I434" s="2973"/>
    </row>
    <row r="435" spans="1:9">
      <c r="A435" s="2979" t="s">
        <v>4007</v>
      </c>
      <c r="B435" s="2979">
        <v>179.92</v>
      </c>
      <c r="C435" s="2979" t="s">
        <v>4008</v>
      </c>
      <c r="D435" s="2973"/>
      <c r="E435" s="3028">
        <v>4</v>
      </c>
      <c r="F435" s="2973"/>
      <c r="G435" s="2975">
        <v>12105</v>
      </c>
      <c r="H435" s="2977">
        <v>218</v>
      </c>
      <c r="I435" s="2973"/>
    </row>
    <row r="436" spans="1:9">
      <c r="A436" s="2979" t="s">
        <v>4009</v>
      </c>
      <c r="B436" s="2979">
        <v>201.95</v>
      </c>
      <c r="C436" s="2979" t="s">
        <v>4010</v>
      </c>
      <c r="D436" s="2973"/>
      <c r="E436" s="3028">
        <v>4</v>
      </c>
      <c r="F436" s="2973"/>
      <c r="G436" s="2975">
        <v>12105</v>
      </c>
      <c r="H436" s="2977">
        <v>244</v>
      </c>
      <c r="I436" s="2973"/>
    </row>
    <row r="437" spans="1:9">
      <c r="A437" s="2979" t="s">
        <v>4011</v>
      </c>
      <c r="B437" s="2979">
        <v>140.88999999999999</v>
      </c>
      <c r="C437" s="2979" t="s">
        <v>4012</v>
      </c>
      <c r="D437" s="2973"/>
      <c r="E437" s="3028">
        <v>4</v>
      </c>
      <c r="F437" s="2973"/>
      <c r="G437" s="2975">
        <v>12105</v>
      </c>
      <c r="H437" s="2977">
        <v>171</v>
      </c>
      <c r="I437" s="2973"/>
    </row>
    <row r="438" spans="1:9">
      <c r="A438" s="2979" t="s">
        <v>4013</v>
      </c>
      <c r="B438" s="2979">
        <v>141.72999999999999</v>
      </c>
      <c r="C438" s="2979" t="s">
        <v>4014</v>
      </c>
      <c r="D438" s="2973"/>
      <c r="E438" s="3028">
        <v>4</v>
      </c>
      <c r="F438" s="2973"/>
      <c r="G438" s="2975">
        <v>12105</v>
      </c>
      <c r="H438" s="2977">
        <v>172</v>
      </c>
      <c r="I438" s="2973"/>
    </row>
    <row r="439" spans="1:9">
      <c r="A439" s="2979" t="s">
        <v>4015</v>
      </c>
      <c r="B439" s="2979">
        <v>152.03</v>
      </c>
      <c r="C439" s="2979" t="s">
        <v>4016</v>
      </c>
      <c r="D439" s="2973"/>
      <c r="E439" s="3028">
        <v>4</v>
      </c>
      <c r="F439" s="2973"/>
      <c r="G439" s="2975">
        <v>12105</v>
      </c>
      <c r="H439" s="2977">
        <v>184</v>
      </c>
      <c r="I439" s="2973"/>
    </row>
    <row r="440" spans="1:9">
      <c r="A440" s="2979" t="s">
        <v>4017</v>
      </c>
      <c r="B440" s="2979">
        <v>133.19</v>
      </c>
      <c r="C440" s="2979" t="s">
        <v>4018</v>
      </c>
      <c r="D440" s="2973"/>
      <c r="E440" s="3028">
        <v>4</v>
      </c>
      <c r="F440" s="2973"/>
      <c r="G440" s="2975">
        <v>12105</v>
      </c>
      <c r="H440" s="2977">
        <v>161</v>
      </c>
      <c r="I440" s="2973"/>
    </row>
    <row r="441" spans="1:9">
      <c r="A441" s="2979" t="s">
        <v>4019</v>
      </c>
      <c r="B441" s="2979">
        <v>225.39</v>
      </c>
      <c r="C441" s="2979" t="s">
        <v>4020</v>
      </c>
      <c r="D441" s="2973"/>
      <c r="E441" s="3028">
        <v>4</v>
      </c>
      <c r="F441" s="2973"/>
      <c r="G441" s="2975">
        <v>12105</v>
      </c>
      <c r="H441" s="2977">
        <v>273</v>
      </c>
      <c r="I441" s="2973"/>
    </row>
    <row r="442" spans="1:9">
      <c r="A442" s="2979" t="s">
        <v>4021</v>
      </c>
      <c r="B442" s="2979">
        <v>225.39</v>
      </c>
      <c r="C442" s="2979" t="s">
        <v>4022</v>
      </c>
      <c r="D442" s="2973"/>
      <c r="E442" s="3028">
        <v>4</v>
      </c>
      <c r="F442" s="2973"/>
      <c r="G442" s="2975">
        <v>12105</v>
      </c>
      <c r="H442" s="2977">
        <v>273</v>
      </c>
      <c r="I442" s="2973"/>
    </row>
    <row r="443" spans="1:9">
      <c r="A443" s="2979" t="s">
        <v>4023</v>
      </c>
      <c r="B443" s="2979">
        <v>133.21</v>
      </c>
      <c r="C443" s="2979" t="s">
        <v>4024</v>
      </c>
      <c r="D443" s="2973"/>
      <c r="E443" s="3028">
        <v>4</v>
      </c>
      <c r="F443" s="2973"/>
      <c r="G443" s="2975">
        <v>12105</v>
      </c>
      <c r="H443" s="2977">
        <v>161</v>
      </c>
      <c r="I443" s="2973"/>
    </row>
    <row r="444" spans="1:9">
      <c r="A444" s="2979" t="s">
        <v>4025</v>
      </c>
      <c r="B444" s="2979">
        <v>152.03</v>
      </c>
      <c r="C444" s="2979" t="s">
        <v>4026</v>
      </c>
      <c r="D444" s="2973"/>
      <c r="E444" s="3028">
        <v>4</v>
      </c>
      <c r="F444" s="2973"/>
      <c r="G444" s="2975">
        <v>12105</v>
      </c>
      <c r="H444" s="2977">
        <v>184</v>
      </c>
      <c r="I444" s="2973"/>
    </row>
    <row r="445" spans="1:9">
      <c r="A445" s="2979" t="s">
        <v>4027</v>
      </c>
      <c r="B445" s="2979">
        <v>141.72999999999999</v>
      </c>
      <c r="C445" s="2979" t="s">
        <v>4028</v>
      </c>
      <c r="D445" s="2973"/>
      <c r="E445" s="3028">
        <v>4</v>
      </c>
      <c r="F445" s="2973"/>
      <c r="G445" s="2975">
        <v>12105</v>
      </c>
      <c r="H445" s="2977">
        <v>172</v>
      </c>
      <c r="I445" s="2973"/>
    </row>
    <row r="446" spans="1:9">
      <c r="A446" s="2979" t="s">
        <v>4029</v>
      </c>
      <c r="B446" s="2979">
        <v>140.88999999999999</v>
      </c>
      <c r="C446" s="2979" t="s">
        <v>4030</v>
      </c>
      <c r="D446" s="2973"/>
      <c r="E446" s="3028">
        <v>4</v>
      </c>
      <c r="F446" s="2973"/>
      <c r="G446" s="2975">
        <v>12105</v>
      </c>
      <c r="H446" s="2977">
        <v>171</v>
      </c>
      <c r="I446" s="2973"/>
    </row>
    <row r="447" spans="1:9">
      <c r="A447" s="2979" t="s">
        <v>4031</v>
      </c>
      <c r="B447" s="2979">
        <v>201.95</v>
      </c>
      <c r="C447" s="2979" t="s">
        <v>4032</v>
      </c>
      <c r="D447" s="2973"/>
      <c r="E447" s="3028">
        <v>4</v>
      </c>
      <c r="F447" s="2973"/>
      <c r="G447" s="2975">
        <v>12105</v>
      </c>
      <c r="H447" s="2977">
        <v>244</v>
      </c>
      <c r="I447" s="2973"/>
    </row>
    <row r="448" spans="1:9">
      <c r="A448" s="2979" t="s">
        <v>4033</v>
      </c>
      <c r="B448" s="2979">
        <v>179.22</v>
      </c>
      <c r="C448" s="2979" t="s">
        <v>4034</v>
      </c>
      <c r="D448" s="2973"/>
      <c r="E448" s="3028">
        <v>4</v>
      </c>
      <c r="F448" s="2973"/>
      <c r="G448" s="2975">
        <v>12105</v>
      </c>
      <c r="H448" s="2977">
        <v>217</v>
      </c>
      <c r="I448" s="2973"/>
    </row>
    <row r="449" spans="1:11">
      <c r="A449" s="2979" t="s">
        <v>4035</v>
      </c>
      <c r="B449" s="2979">
        <v>69.81</v>
      </c>
      <c r="C449" s="2979" t="s">
        <v>4036</v>
      </c>
      <c r="D449" s="2973"/>
      <c r="E449" s="3028">
        <v>4</v>
      </c>
      <c r="F449" s="2973"/>
      <c r="G449" s="2975">
        <v>12105</v>
      </c>
      <c r="H449" s="2977">
        <v>85</v>
      </c>
      <c r="I449" s="2973"/>
    </row>
    <row r="450" spans="1:11">
      <c r="A450" s="2979" t="s">
        <v>4037</v>
      </c>
      <c r="B450" s="2979">
        <v>85.75</v>
      </c>
      <c r="C450" s="2979" t="s">
        <v>4038</v>
      </c>
      <c r="D450" s="2973"/>
      <c r="E450" s="3028">
        <v>4</v>
      </c>
      <c r="F450" s="2973"/>
      <c r="G450" s="2975">
        <v>12105</v>
      </c>
      <c r="H450" s="2977">
        <v>104</v>
      </c>
      <c r="I450" s="2973"/>
    </row>
    <row r="451" spans="1:11">
      <c r="A451" s="2979" t="s">
        <v>4039</v>
      </c>
      <c r="B451" s="2979">
        <v>153.01</v>
      </c>
      <c r="C451" s="2979" t="s">
        <v>4040</v>
      </c>
      <c r="D451" s="2973"/>
      <c r="E451" s="3028">
        <v>4</v>
      </c>
      <c r="F451" s="2973"/>
      <c r="G451" s="2975">
        <v>12105</v>
      </c>
      <c r="H451" s="2977">
        <v>185</v>
      </c>
      <c r="I451" s="2973"/>
    </row>
    <row r="452" spans="1:11">
      <c r="A452" s="2979" t="s">
        <v>4041</v>
      </c>
      <c r="B452" s="2979">
        <v>221.36</v>
      </c>
      <c r="C452" s="2979" t="s">
        <v>4042</v>
      </c>
      <c r="D452" s="2973"/>
      <c r="E452" s="3028">
        <v>4</v>
      </c>
      <c r="F452" s="2973"/>
      <c r="G452" s="2975">
        <v>12105</v>
      </c>
      <c r="H452" s="2977">
        <v>268</v>
      </c>
      <c r="I452" s="2973"/>
    </row>
    <row r="453" spans="1:11">
      <c r="A453" s="2979" t="s">
        <v>4043</v>
      </c>
      <c r="B453" s="2979">
        <v>129.12</v>
      </c>
      <c r="C453" s="2979" t="s">
        <v>4044</v>
      </c>
      <c r="D453" s="2973"/>
      <c r="E453" s="3028">
        <v>4</v>
      </c>
      <c r="F453" s="2973"/>
      <c r="G453" s="2975">
        <v>12105</v>
      </c>
      <c r="H453" s="2977">
        <v>156</v>
      </c>
      <c r="I453" s="2973"/>
      <c r="J453" s="2987" t="s">
        <v>4141</v>
      </c>
      <c r="K453" s="2987" t="s">
        <v>4132</v>
      </c>
    </row>
    <row r="454" spans="1:11">
      <c r="A454" s="2979" t="s">
        <v>4045</v>
      </c>
      <c r="B454" s="2979">
        <v>131.28</v>
      </c>
      <c r="C454" s="2979" t="s">
        <v>4046</v>
      </c>
      <c r="D454" s="2973">
        <f>SUM(B383:B454)</f>
        <v>11977.890000000003</v>
      </c>
      <c r="E454" s="3028">
        <v>4</v>
      </c>
      <c r="F454" s="2973"/>
      <c r="G454" s="2975">
        <v>12105</v>
      </c>
      <c r="H454" s="2977">
        <v>159</v>
      </c>
      <c r="I454" s="2973"/>
      <c r="J454" s="2978">
        <f>SUM(H115:H454)</f>
        <v>61264</v>
      </c>
      <c r="K454" s="2978">
        <f>D454+D382+D280+D178</f>
        <v>43937.659999999996</v>
      </c>
    </row>
    <row r="455" spans="1:11">
      <c r="A455" s="2979" t="s">
        <v>4047</v>
      </c>
      <c r="B455" s="2979">
        <v>1533.04</v>
      </c>
      <c r="C455" s="2979" t="s">
        <v>4048</v>
      </c>
      <c r="D455" s="2973"/>
      <c r="E455" s="3028">
        <v>5</v>
      </c>
      <c r="F455" s="2973"/>
      <c r="G455" s="2975">
        <v>11494</v>
      </c>
      <c r="H455" s="2973">
        <v>1762</v>
      </c>
      <c r="I455" s="2973"/>
      <c r="J455" s="2978">
        <f ca="1">租约!L46-房产明细!J454</f>
        <v>4070</v>
      </c>
      <c r="K455" s="2978">
        <f>租约!C49</f>
        <v>3541.16</v>
      </c>
    </row>
    <row r="456" spans="1:11">
      <c r="A456" s="2979" t="s">
        <v>4049</v>
      </c>
      <c r="B456" s="2979">
        <v>106.09</v>
      </c>
      <c r="C456" s="2979" t="s">
        <v>4050</v>
      </c>
      <c r="D456" s="2973"/>
      <c r="E456" s="3028">
        <v>5</v>
      </c>
      <c r="F456" s="2973"/>
      <c r="G456" s="2975">
        <v>11500</v>
      </c>
      <c r="H456" s="2973">
        <v>122</v>
      </c>
      <c r="I456" s="2973"/>
    </row>
    <row r="457" spans="1:11">
      <c r="A457" s="2979" t="s">
        <v>4051</v>
      </c>
      <c r="B457" s="2979">
        <v>72.12</v>
      </c>
      <c r="C457" s="2979" t="s">
        <v>4052</v>
      </c>
      <c r="D457" s="2973"/>
      <c r="E457" s="3028">
        <v>5</v>
      </c>
      <c r="F457" s="2973"/>
      <c r="G457" s="2975">
        <v>11509</v>
      </c>
      <c r="H457" s="2973">
        <v>83</v>
      </c>
      <c r="I457" s="2973"/>
    </row>
    <row r="458" spans="1:11">
      <c r="A458" s="2979" t="s">
        <v>4053</v>
      </c>
      <c r="B458" s="2979">
        <v>70.31</v>
      </c>
      <c r="C458" s="2979" t="s">
        <v>4054</v>
      </c>
      <c r="D458" s="2973"/>
      <c r="E458" s="3028">
        <v>5</v>
      </c>
      <c r="F458" s="2973"/>
      <c r="G458" s="2975">
        <v>11520</v>
      </c>
      <c r="H458" s="2973">
        <v>81</v>
      </c>
      <c r="I458" s="2973"/>
    </row>
    <row r="459" spans="1:11">
      <c r="A459" s="2979" t="s">
        <v>4055</v>
      </c>
      <c r="B459" s="2979">
        <v>65.900000000000006</v>
      </c>
      <c r="C459" s="2979" t="s">
        <v>4056</v>
      </c>
      <c r="D459" s="2973"/>
      <c r="E459" s="3028">
        <v>5</v>
      </c>
      <c r="F459" s="2973"/>
      <c r="G459" s="2975">
        <v>11533</v>
      </c>
      <c r="H459" s="2973">
        <v>76</v>
      </c>
      <c r="I459" s="2973"/>
    </row>
    <row r="460" spans="1:11">
      <c r="A460" s="2979" t="s">
        <v>4057</v>
      </c>
      <c r="B460" s="2979">
        <v>54.92</v>
      </c>
      <c r="C460" s="2979" t="s">
        <v>4058</v>
      </c>
      <c r="D460" s="2973"/>
      <c r="E460" s="3028">
        <v>5</v>
      </c>
      <c r="F460" s="2973"/>
      <c r="G460" s="2975">
        <v>11471</v>
      </c>
      <c r="H460" s="2973">
        <v>63</v>
      </c>
      <c r="I460" s="2973"/>
    </row>
    <row r="461" spans="1:11">
      <c r="A461" s="2979" t="s">
        <v>4059</v>
      </c>
      <c r="B461" s="2979">
        <v>48.38</v>
      </c>
      <c r="C461" s="2979" t="s">
        <v>4060</v>
      </c>
      <c r="D461" s="2973"/>
      <c r="E461" s="3028">
        <v>5</v>
      </c>
      <c r="F461" s="2973"/>
      <c r="G461" s="2975">
        <v>11575</v>
      </c>
      <c r="H461" s="2973">
        <v>56</v>
      </c>
      <c r="I461" s="2973"/>
    </row>
    <row r="462" spans="1:11">
      <c r="A462" s="2979" t="s">
        <v>4061</v>
      </c>
      <c r="B462" s="2979">
        <v>48.38</v>
      </c>
      <c r="C462" s="2979" t="s">
        <v>4062</v>
      </c>
      <c r="D462" s="2973"/>
      <c r="E462" s="3028">
        <v>5</v>
      </c>
      <c r="F462" s="2973"/>
      <c r="G462" s="2975">
        <v>11575</v>
      </c>
      <c r="H462" s="2973">
        <v>56</v>
      </c>
      <c r="I462" s="2973"/>
    </row>
    <row r="463" spans="1:11">
      <c r="A463" s="2979" t="s">
        <v>4063</v>
      </c>
      <c r="B463" s="2979">
        <v>70.98</v>
      </c>
      <c r="C463" s="2979" t="s">
        <v>4064</v>
      </c>
      <c r="D463" s="2973"/>
      <c r="E463" s="3028">
        <v>5</v>
      </c>
      <c r="F463" s="2973"/>
      <c r="G463" s="2975">
        <v>11553</v>
      </c>
      <c r="H463" s="2973">
        <v>82</v>
      </c>
      <c r="I463" s="2973"/>
    </row>
    <row r="464" spans="1:11">
      <c r="A464" s="2979" t="s">
        <v>4065</v>
      </c>
      <c r="B464" s="2979">
        <v>98.9</v>
      </c>
      <c r="C464" s="2979" t="s">
        <v>4066</v>
      </c>
      <c r="D464" s="2973"/>
      <c r="E464" s="3028">
        <v>5</v>
      </c>
      <c r="F464" s="2973"/>
      <c r="G464" s="2975">
        <v>11527</v>
      </c>
      <c r="H464" s="2973">
        <v>114</v>
      </c>
      <c r="I464" s="2973"/>
    </row>
    <row r="465" spans="1:9">
      <c r="A465" s="2979" t="s">
        <v>4067</v>
      </c>
      <c r="B465" s="2979">
        <v>151.19999999999999</v>
      </c>
      <c r="C465" s="2979" t="s">
        <v>4068</v>
      </c>
      <c r="D465" s="2973"/>
      <c r="E465" s="3028">
        <v>5</v>
      </c>
      <c r="F465" s="2973"/>
      <c r="G465" s="2975">
        <v>11508</v>
      </c>
      <c r="H465" s="2973">
        <v>174</v>
      </c>
      <c r="I465" s="2973"/>
    </row>
    <row r="466" spans="1:9">
      <c r="A466" s="2979" t="s">
        <v>4069</v>
      </c>
      <c r="B466" s="2979">
        <v>212.55</v>
      </c>
      <c r="C466" s="2979" t="s">
        <v>4070</v>
      </c>
      <c r="D466" s="2973"/>
      <c r="E466" s="3028">
        <v>5</v>
      </c>
      <c r="F466" s="2973"/>
      <c r="G466" s="2975">
        <v>11480</v>
      </c>
      <c r="H466" s="2973">
        <v>244</v>
      </c>
      <c r="I466" s="2973"/>
    </row>
    <row r="467" spans="1:9">
      <c r="A467" s="2979" t="s">
        <v>4071</v>
      </c>
      <c r="B467" s="2979">
        <v>76.099999999999994</v>
      </c>
      <c r="C467" s="2979" t="s">
        <v>4072</v>
      </c>
      <c r="D467" s="2973"/>
      <c r="E467" s="3028">
        <v>5</v>
      </c>
      <c r="F467" s="2973"/>
      <c r="G467" s="2975">
        <v>11432</v>
      </c>
      <c r="H467" s="2973">
        <v>87</v>
      </c>
      <c r="I467" s="2973"/>
    </row>
    <row r="468" spans="1:9">
      <c r="A468" s="2979" t="s">
        <v>4073</v>
      </c>
      <c r="B468" s="2979">
        <v>108.51</v>
      </c>
      <c r="C468" s="2979" t="s">
        <v>4074</v>
      </c>
      <c r="D468" s="2973"/>
      <c r="E468" s="3028">
        <v>5</v>
      </c>
      <c r="F468" s="2973"/>
      <c r="G468" s="2975">
        <v>11520</v>
      </c>
      <c r="H468" s="2973">
        <v>125</v>
      </c>
      <c r="I468" s="2973"/>
    </row>
    <row r="469" spans="1:9">
      <c r="A469" s="2979" t="s">
        <v>4075</v>
      </c>
      <c r="B469" s="2979">
        <v>112.68</v>
      </c>
      <c r="C469" s="2979" t="s">
        <v>4076</v>
      </c>
      <c r="D469" s="2973"/>
      <c r="E469" s="3028">
        <v>5</v>
      </c>
      <c r="F469" s="2973"/>
      <c r="G469" s="2975">
        <v>11537</v>
      </c>
      <c r="H469" s="2973">
        <v>130</v>
      </c>
      <c r="I469" s="2973"/>
    </row>
    <row r="470" spans="1:9">
      <c r="A470" s="2979" t="s">
        <v>4077</v>
      </c>
      <c r="B470" s="2979">
        <v>54.28</v>
      </c>
      <c r="C470" s="2979" t="s">
        <v>4078</v>
      </c>
      <c r="D470" s="2973"/>
      <c r="E470" s="3028">
        <v>5</v>
      </c>
      <c r="F470" s="2973"/>
      <c r="G470" s="2975">
        <v>11422</v>
      </c>
      <c r="H470" s="2973">
        <v>62</v>
      </c>
      <c r="I470" s="2973"/>
    </row>
    <row r="471" spans="1:9">
      <c r="A471" s="2979" t="s">
        <v>4079</v>
      </c>
      <c r="B471" s="2979">
        <v>113.01</v>
      </c>
      <c r="C471" s="2979" t="s">
        <v>4080</v>
      </c>
      <c r="D471" s="2973"/>
      <c r="E471" s="3028">
        <v>5</v>
      </c>
      <c r="F471" s="2973"/>
      <c r="G471" s="2975">
        <v>11503</v>
      </c>
      <c r="H471" s="2973">
        <v>130</v>
      </c>
      <c r="I471" s="2973"/>
    </row>
    <row r="472" spans="1:9">
      <c r="A472" s="2979" t="s">
        <v>4081</v>
      </c>
      <c r="B472" s="2979">
        <v>113.01</v>
      </c>
      <c r="C472" s="2979" t="s">
        <v>4082</v>
      </c>
      <c r="D472" s="2973"/>
      <c r="E472" s="3028">
        <v>5</v>
      </c>
      <c r="F472" s="2973"/>
      <c r="G472" s="2975">
        <v>11503</v>
      </c>
      <c r="H472" s="2973">
        <v>130</v>
      </c>
      <c r="I472" s="2973"/>
    </row>
    <row r="473" spans="1:9">
      <c r="A473" s="2979" t="s">
        <v>4083</v>
      </c>
      <c r="B473" s="2979">
        <v>54.28</v>
      </c>
      <c r="C473" s="2979" t="s">
        <v>4084</v>
      </c>
      <c r="D473" s="2973"/>
      <c r="E473" s="3028">
        <v>5</v>
      </c>
      <c r="F473" s="2973"/>
      <c r="G473" s="2975">
        <v>11422</v>
      </c>
      <c r="H473" s="2973">
        <v>62</v>
      </c>
      <c r="I473" s="2973"/>
    </row>
    <row r="474" spans="1:9">
      <c r="A474" s="2979" t="s">
        <v>4085</v>
      </c>
      <c r="B474" s="2979">
        <v>112.68</v>
      </c>
      <c r="C474" s="2979" t="s">
        <v>4086</v>
      </c>
      <c r="D474" s="2973"/>
      <c r="E474" s="3028">
        <v>5</v>
      </c>
      <c r="F474" s="2973"/>
      <c r="G474" s="2975">
        <v>11537</v>
      </c>
      <c r="H474" s="2973">
        <v>130</v>
      </c>
      <c r="I474" s="2973"/>
    </row>
    <row r="475" spans="1:9">
      <c r="A475" s="2979" t="s">
        <v>4087</v>
      </c>
      <c r="B475" s="2979">
        <v>108.51</v>
      </c>
      <c r="C475" s="2979" t="s">
        <v>4088</v>
      </c>
      <c r="D475" s="2973"/>
      <c r="E475" s="3028">
        <v>5</v>
      </c>
      <c r="F475" s="2973"/>
      <c r="G475" s="2975">
        <v>11520</v>
      </c>
      <c r="H475" s="2973">
        <v>125</v>
      </c>
      <c r="I475" s="2973"/>
    </row>
    <row r="476" spans="1:9">
      <c r="A476" s="2979" t="s">
        <v>4089</v>
      </c>
      <c r="B476" s="2979">
        <v>78.14</v>
      </c>
      <c r="C476" s="2979" t="s">
        <v>4090</v>
      </c>
      <c r="D476" s="2973"/>
      <c r="E476" s="3028">
        <v>5</v>
      </c>
      <c r="F476" s="2973"/>
      <c r="G476" s="2975">
        <v>11518</v>
      </c>
      <c r="H476" s="2973">
        <v>90</v>
      </c>
      <c r="I476" s="2973"/>
    </row>
    <row r="477" spans="1:9">
      <c r="A477" s="2979" t="s">
        <v>4091</v>
      </c>
      <c r="B477" s="2979">
        <v>77.19</v>
      </c>
      <c r="C477" s="2979" t="s">
        <v>4092</v>
      </c>
      <c r="D477" s="2973">
        <f>SUM(B455:B477)</f>
        <v>3541.1600000000012</v>
      </c>
      <c r="E477" s="3028">
        <v>5</v>
      </c>
      <c r="F477" s="2973"/>
      <c r="G477" s="2975">
        <v>11141</v>
      </c>
      <c r="H477" s="2973">
        <v>86</v>
      </c>
      <c r="I477" s="2973"/>
    </row>
    <row r="478" spans="1:9">
      <c r="A478" s="2979"/>
      <c r="B478" s="2979"/>
      <c r="C478" s="2979"/>
      <c r="D478" s="2973"/>
      <c r="E478" s="3028"/>
      <c r="F478" s="2973"/>
      <c r="G478" s="2972" t="s">
        <v>4144</v>
      </c>
      <c r="H478" s="2973">
        <f>SUM(H6:H477)</f>
        <v>80630</v>
      </c>
      <c r="I478" s="2973"/>
    </row>
    <row r="479" spans="1:9">
      <c r="A479" s="2979"/>
      <c r="B479" s="2979">
        <f>SUM(B6:B477)</f>
        <v>68327.84999999986</v>
      </c>
      <c r="C479" s="2979"/>
      <c r="D479" s="2973"/>
      <c r="E479" s="3028"/>
      <c r="F479" s="2973"/>
      <c r="G479" s="2973"/>
      <c r="H479" s="2973"/>
      <c r="I479" s="2973"/>
    </row>
  </sheetData>
  <autoFilter ref="A5:M5"/>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4130</v>
      </c>
      <c r="B1">
        <f ca="1">结果表!H101</f>
        <v>80630</v>
      </c>
    </row>
    <row r="2" spans="1:2">
      <c r="A2" s="2999" t="s">
        <v>4129</v>
      </c>
      <c r="B2">
        <f ca="1">'收益法（汇总）'!B2</f>
        <v>101465</v>
      </c>
    </row>
    <row r="3" spans="1:2">
      <c r="A3" s="2999" t="s">
        <v>4131</v>
      </c>
      <c r="B3">
        <f ca="1">成本法!B2</f>
        <v>49377</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4"/>
  <sheetViews>
    <sheetView topLeftCell="A335" workbookViewId="0">
      <selection activeCell="G465" sqref="G465"/>
    </sheetView>
  </sheetViews>
  <sheetFormatPr defaultRowHeight="13.5"/>
  <cols>
    <col min="2" max="2" width="28.625" customWidth="1"/>
    <col min="3" max="3" width="35.375" customWidth="1"/>
  </cols>
  <sheetData>
    <row r="1" spans="1:5">
      <c r="A1" s="3033" t="s">
        <v>4146</v>
      </c>
      <c r="B1" s="3033" t="s">
        <v>4150</v>
      </c>
      <c r="C1" s="3034" t="s">
        <v>4147</v>
      </c>
      <c r="D1" s="3034" t="s">
        <v>4148</v>
      </c>
      <c r="E1" s="3033" t="s">
        <v>4149</v>
      </c>
    </row>
    <row r="2" spans="1:5">
      <c r="A2" s="3035">
        <v>1</v>
      </c>
      <c r="B2" s="2976" t="s">
        <v>3149</v>
      </c>
      <c r="C2" s="2974" t="s">
        <v>4259</v>
      </c>
      <c r="D2" s="2981">
        <v>1631.58</v>
      </c>
      <c r="E2" s="3036" t="s">
        <v>4151</v>
      </c>
    </row>
    <row r="3" spans="1:5">
      <c r="A3" s="3035">
        <v>2</v>
      </c>
      <c r="B3" s="2976" t="s">
        <v>3151</v>
      </c>
      <c r="C3" s="2976" t="s">
        <v>3152</v>
      </c>
      <c r="D3" s="2976">
        <v>1585.8</v>
      </c>
      <c r="E3" s="3036" t="s">
        <v>4151</v>
      </c>
    </row>
    <row r="4" spans="1:5">
      <c r="A4" s="3035">
        <v>3</v>
      </c>
      <c r="B4" s="2976" t="s">
        <v>3153</v>
      </c>
      <c r="C4" s="2976" t="s">
        <v>3154</v>
      </c>
      <c r="D4" s="2976">
        <v>1588.17</v>
      </c>
      <c r="E4" s="3036" t="s">
        <v>4151</v>
      </c>
    </row>
    <row r="5" spans="1:5">
      <c r="A5" s="3035">
        <v>4</v>
      </c>
      <c r="B5" s="2974" t="s">
        <v>4153</v>
      </c>
      <c r="C5" s="2976" t="s">
        <v>3156</v>
      </c>
      <c r="D5" s="2976">
        <v>1333.62</v>
      </c>
      <c r="E5" s="3036" t="s">
        <v>4151</v>
      </c>
    </row>
    <row r="6" spans="1:5">
      <c r="A6" s="3035">
        <v>5</v>
      </c>
      <c r="B6" s="2976" t="s">
        <v>4154</v>
      </c>
      <c r="C6" s="2976" t="s">
        <v>3158</v>
      </c>
      <c r="D6" s="2976">
        <v>1315.17</v>
      </c>
      <c r="E6" s="3036" t="s">
        <v>4151</v>
      </c>
    </row>
    <row r="7" spans="1:5">
      <c r="A7" s="3035">
        <v>6</v>
      </c>
      <c r="B7" s="2976" t="s">
        <v>4155</v>
      </c>
      <c r="C7" s="2976" t="s">
        <v>3160</v>
      </c>
      <c r="D7" s="2976">
        <v>26.43</v>
      </c>
      <c r="E7" s="3036" t="s">
        <v>4151</v>
      </c>
    </row>
    <row r="8" spans="1:5">
      <c r="A8" s="3035">
        <v>7</v>
      </c>
      <c r="B8" s="2976" t="s">
        <v>4156</v>
      </c>
      <c r="C8" s="2976" t="s">
        <v>3162</v>
      </c>
      <c r="D8" s="2976">
        <v>37.799999999999997</v>
      </c>
      <c r="E8" s="3036" t="s">
        <v>4151</v>
      </c>
    </row>
    <row r="9" spans="1:5">
      <c r="A9" s="3035">
        <v>8</v>
      </c>
      <c r="B9" s="2976" t="s">
        <v>4157</v>
      </c>
      <c r="C9" s="2976" t="s">
        <v>3164</v>
      </c>
      <c r="D9" s="2976">
        <v>64.959999999999994</v>
      </c>
      <c r="E9" s="3036" t="s">
        <v>4151</v>
      </c>
    </row>
    <row r="10" spans="1:5">
      <c r="A10" s="3035">
        <v>9</v>
      </c>
      <c r="B10" s="2976" t="s">
        <v>4158</v>
      </c>
      <c r="C10" s="2976" t="s">
        <v>3166</v>
      </c>
      <c r="D10" s="2976">
        <v>27.01</v>
      </c>
      <c r="E10" s="3036" t="s">
        <v>4151</v>
      </c>
    </row>
    <row r="11" spans="1:5">
      <c r="A11" s="3035">
        <v>10</v>
      </c>
      <c r="B11" s="2976" t="s">
        <v>4159</v>
      </c>
      <c r="C11" s="2976" t="s">
        <v>3168</v>
      </c>
      <c r="D11" s="2976">
        <v>28.81</v>
      </c>
      <c r="E11" s="3036" t="s">
        <v>4151</v>
      </c>
    </row>
    <row r="12" spans="1:5">
      <c r="A12" s="3035">
        <v>11</v>
      </c>
      <c r="B12" s="2976" t="s">
        <v>4160</v>
      </c>
      <c r="C12" s="2976" t="s">
        <v>3170</v>
      </c>
      <c r="D12" s="2976">
        <v>50.99</v>
      </c>
      <c r="E12" s="3036" t="s">
        <v>4151</v>
      </c>
    </row>
    <row r="13" spans="1:5">
      <c r="A13" s="3035">
        <v>12</v>
      </c>
      <c r="B13" s="2976" t="s">
        <v>4161</v>
      </c>
      <c r="C13" s="2976" t="s">
        <v>3172</v>
      </c>
      <c r="D13" s="2976">
        <v>60.18</v>
      </c>
      <c r="E13" s="3036" t="s">
        <v>4151</v>
      </c>
    </row>
    <row r="14" spans="1:5">
      <c r="A14" s="3035">
        <v>13</v>
      </c>
      <c r="B14" s="2976" t="s">
        <v>4162</v>
      </c>
      <c r="C14" s="2976" t="s">
        <v>3174</v>
      </c>
      <c r="D14" s="2976">
        <v>22.6</v>
      </c>
      <c r="E14" s="3036" t="s">
        <v>4151</v>
      </c>
    </row>
    <row r="15" spans="1:5">
      <c r="A15" s="3035">
        <v>14</v>
      </c>
      <c r="B15" s="2976" t="s">
        <v>4163</v>
      </c>
      <c r="C15" s="2976" t="s">
        <v>3176</v>
      </c>
      <c r="D15" s="2976">
        <v>28.01</v>
      </c>
      <c r="E15" s="3036" t="s">
        <v>4151</v>
      </c>
    </row>
    <row r="16" spans="1:5">
      <c r="A16" s="3035">
        <v>15</v>
      </c>
      <c r="B16" s="2976" t="s">
        <v>4164</v>
      </c>
      <c r="C16" s="2976" t="s">
        <v>3178</v>
      </c>
      <c r="D16" s="2976">
        <v>48.52</v>
      </c>
      <c r="E16" s="3036" t="s">
        <v>4151</v>
      </c>
    </row>
    <row r="17" spans="1:5">
      <c r="A17" s="3035">
        <v>16</v>
      </c>
      <c r="B17" s="2976" t="s">
        <v>4165</v>
      </c>
      <c r="C17" s="2976" t="s">
        <v>3180</v>
      </c>
      <c r="D17" s="2976">
        <v>34.21</v>
      </c>
      <c r="E17" s="3036" t="s">
        <v>4151</v>
      </c>
    </row>
    <row r="18" spans="1:5">
      <c r="A18" s="3035">
        <v>17</v>
      </c>
      <c r="B18" s="2976" t="s">
        <v>4166</v>
      </c>
      <c r="C18" s="2976" t="s">
        <v>3182</v>
      </c>
      <c r="D18" s="2976">
        <v>42.45</v>
      </c>
      <c r="E18" s="3036" t="s">
        <v>4151</v>
      </c>
    </row>
    <row r="19" spans="1:5">
      <c r="A19" s="3035">
        <v>18</v>
      </c>
      <c r="B19" s="2976" t="s">
        <v>4167</v>
      </c>
      <c r="C19" s="2976" t="s">
        <v>3184</v>
      </c>
      <c r="D19" s="2976">
        <v>42.45</v>
      </c>
      <c r="E19" s="3036" t="s">
        <v>4151</v>
      </c>
    </row>
    <row r="20" spans="1:5">
      <c r="A20" s="3035">
        <v>19</v>
      </c>
      <c r="B20" s="2976" t="s">
        <v>4168</v>
      </c>
      <c r="C20" s="2976" t="s">
        <v>3186</v>
      </c>
      <c r="D20" s="2976">
        <v>42.45</v>
      </c>
      <c r="E20" s="3036" t="s">
        <v>4151</v>
      </c>
    </row>
    <row r="21" spans="1:5">
      <c r="A21" s="3035">
        <v>20</v>
      </c>
      <c r="B21" s="2976" t="s">
        <v>4169</v>
      </c>
      <c r="C21" s="2976" t="s">
        <v>3188</v>
      </c>
      <c r="D21" s="2976">
        <v>41.81</v>
      </c>
      <c r="E21" s="3036" t="s">
        <v>4151</v>
      </c>
    </row>
    <row r="22" spans="1:5">
      <c r="A22" s="3035">
        <v>21</v>
      </c>
      <c r="B22" s="2976" t="s">
        <v>4170</v>
      </c>
      <c r="C22" s="2976" t="s">
        <v>3190</v>
      </c>
      <c r="D22" s="2976">
        <v>25.88</v>
      </c>
      <c r="E22" s="3036" t="s">
        <v>4151</v>
      </c>
    </row>
    <row r="23" spans="1:5">
      <c r="A23" s="3035">
        <v>22</v>
      </c>
      <c r="B23" s="2976" t="s">
        <v>4171</v>
      </c>
      <c r="C23" s="2976" t="s">
        <v>3192</v>
      </c>
      <c r="D23" s="2976">
        <v>39.04</v>
      </c>
      <c r="E23" s="3036" t="s">
        <v>4151</v>
      </c>
    </row>
    <row r="24" spans="1:5">
      <c r="A24" s="3035">
        <v>23</v>
      </c>
      <c r="B24" s="2976" t="s">
        <v>4172</v>
      </c>
      <c r="C24" s="2976" t="s">
        <v>3194</v>
      </c>
      <c r="D24" s="2976">
        <v>77.22</v>
      </c>
      <c r="E24" s="3036" t="s">
        <v>4151</v>
      </c>
    </row>
    <row r="25" spans="1:5">
      <c r="A25" s="3035">
        <v>24</v>
      </c>
      <c r="B25" s="2976" t="s">
        <v>4173</v>
      </c>
      <c r="C25" s="2976" t="s">
        <v>3196</v>
      </c>
      <c r="D25" s="2976">
        <v>70.98</v>
      </c>
      <c r="E25" s="3036" t="s">
        <v>4151</v>
      </c>
    </row>
    <row r="26" spans="1:5">
      <c r="A26" s="3035">
        <v>25</v>
      </c>
      <c r="B26" s="2976" t="s">
        <v>4174</v>
      </c>
      <c r="C26" s="2976" t="s">
        <v>3198</v>
      </c>
      <c r="D26" s="2976">
        <v>69.91</v>
      </c>
      <c r="E26" s="3036" t="s">
        <v>4151</v>
      </c>
    </row>
    <row r="27" spans="1:5">
      <c r="A27" s="3035">
        <v>26</v>
      </c>
      <c r="B27" s="2976" t="s">
        <v>4175</v>
      </c>
      <c r="C27" s="2976" t="s">
        <v>3200</v>
      </c>
      <c r="D27" s="2976">
        <v>71.180000000000007</v>
      </c>
      <c r="E27" s="3036" t="s">
        <v>4151</v>
      </c>
    </row>
    <row r="28" spans="1:5">
      <c r="A28" s="3035">
        <v>27</v>
      </c>
      <c r="B28" s="2976" t="s">
        <v>4176</v>
      </c>
      <c r="C28" s="2976" t="s">
        <v>3202</v>
      </c>
      <c r="D28" s="2976">
        <v>114.79</v>
      </c>
      <c r="E28" s="3036" t="s">
        <v>4151</v>
      </c>
    </row>
    <row r="29" spans="1:5">
      <c r="A29" s="3035">
        <v>28</v>
      </c>
      <c r="B29" s="2976" t="s">
        <v>4177</v>
      </c>
      <c r="C29" s="2976" t="s">
        <v>3204</v>
      </c>
      <c r="D29" s="2976">
        <v>37.21</v>
      </c>
      <c r="E29" s="3036" t="s">
        <v>4151</v>
      </c>
    </row>
    <row r="30" spans="1:5">
      <c r="A30" s="3035">
        <v>29</v>
      </c>
      <c r="B30" s="2974" t="s">
        <v>4178</v>
      </c>
      <c r="C30" s="2976" t="s">
        <v>3206</v>
      </c>
      <c r="D30" s="2976">
        <v>38.590000000000003</v>
      </c>
      <c r="E30" s="3036" t="s">
        <v>4151</v>
      </c>
    </row>
    <row r="31" spans="1:5">
      <c r="A31" s="3035">
        <v>30</v>
      </c>
      <c r="B31" s="2976" t="s">
        <v>4179</v>
      </c>
      <c r="C31" s="2976" t="s">
        <v>3208</v>
      </c>
      <c r="D31" s="2976">
        <v>37.9</v>
      </c>
      <c r="E31" s="3036" t="s">
        <v>4151</v>
      </c>
    </row>
    <row r="32" spans="1:5">
      <c r="A32" s="3035">
        <v>31</v>
      </c>
      <c r="B32" s="2976" t="s">
        <v>4180</v>
      </c>
      <c r="C32" s="2976" t="s">
        <v>3210</v>
      </c>
      <c r="D32" s="2976">
        <v>38.590000000000003</v>
      </c>
      <c r="E32" s="3036" t="s">
        <v>4151</v>
      </c>
    </row>
    <row r="33" spans="1:5">
      <c r="A33" s="3035">
        <v>32</v>
      </c>
      <c r="B33" s="2976" t="s">
        <v>4181</v>
      </c>
      <c r="C33" s="2976" t="s">
        <v>3212</v>
      </c>
      <c r="D33" s="2976">
        <v>45.48</v>
      </c>
      <c r="E33" s="3036" t="s">
        <v>4151</v>
      </c>
    </row>
    <row r="34" spans="1:5">
      <c r="A34" s="3035">
        <v>33</v>
      </c>
      <c r="B34" s="2976" t="s">
        <v>4182</v>
      </c>
      <c r="C34" s="2976" t="s">
        <v>3214</v>
      </c>
      <c r="D34" s="2976">
        <v>46.17</v>
      </c>
      <c r="E34" s="3036" t="s">
        <v>4151</v>
      </c>
    </row>
    <row r="35" spans="1:5">
      <c r="A35" s="3035">
        <v>34</v>
      </c>
      <c r="B35" s="2976" t="s">
        <v>4183</v>
      </c>
      <c r="C35" s="2976" t="s">
        <v>3216</v>
      </c>
      <c r="D35" s="2976">
        <v>46.17</v>
      </c>
      <c r="E35" s="3036" t="s">
        <v>4151</v>
      </c>
    </row>
    <row r="36" spans="1:5">
      <c r="A36" s="3035">
        <v>35</v>
      </c>
      <c r="B36" s="2976" t="s">
        <v>4184</v>
      </c>
      <c r="C36" s="2976" t="s">
        <v>3218</v>
      </c>
      <c r="D36" s="2976">
        <v>46.17</v>
      </c>
      <c r="E36" s="3036" t="s">
        <v>4151</v>
      </c>
    </row>
    <row r="37" spans="1:5">
      <c r="A37" s="3035">
        <v>36</v>
      </c>
      <c r="B37" s="2976" t="s">
        <v>4185</v>
      </c>
      <c r="C37" s="2976" t="s">
        <v>3220</v>
      </c>
      <c r="D37" s="2976">
        <v>41.35</v>
      </c>
      <c r="E37" s="3036" t="s">
        <v>4151</v>
      </c>
    </row>
    <row r="38" spans="1:5">
      <c r="A38" s="3035">
        <v>37</v>
      </c>
      <c r="B38" s="2976" t="s">
        <v>4186</v>
      </c>
      <c r="C38" s="2976" t="s">
        <v>3222</v>
      </c>
      <c r="D38" s="2976">
        <v>41.35</v>
      </c>
      <c r="E38" s="3036" t="s">
        <v>4151</v>
      </c>
    </row>
    <row r="39" spans="1:5">
      <c r="A39" s="3035">
        <v>38</v>
      </c>
      <c r="B39" s="2976" t="s">
        <v>4187</v>
      </c>
      <c r="C39" s="2976" t="s">
        <v>3224</v>
      </c>
      <c r="D39" s="2976">
        <v>41.35</v>
      </c>
      <c r="E39" s="3036" t="s">
        <v>4151</v>
      </c>
    </row>
    <row r="40" spans="1:5">
      <c r="A40" s="3035">
        <v>39</v>
      </c>
      <c r="B40" s="2976" t="s">
        <v>4188</v>
      </c>
      <c r="C40" s="2976" t="s">
        <v>3226</v>
      </c>
      <c r="D40" s="2976">
        <v>2592.6999999999998</v>
      </c>
      <c r="E40" s="3036" t="s">
        <v>4151</v>
      </c>
    </row>
    <row r="41" spans="1:5">
      <c r="A41" s="3035">
        <v>40</v>
      </c>
      <c r="B41" s="2976" t="s">
        <v>4189</v>
      </c>
      <c r="C41" s="2976" t="s">
        <v>3228</v>
      </c>
      <c r="D41" s="2976">
        <v>34.630000000000003</v>
      </c>
      <c r="E41" s="3036" t="s">
        <v>4151</v>
      </c>
    </row>
    <row r="42" spans="1:5">
      <c r="A42" s="3035">
        <v>41</v>
      </c>
      <c r="B42" s="2976" t="s">
        <v>4190</v>
      </c>
      <c r="C42" s="2976" t="s">
        <v>3230</v>
      </c>
      <c r="D42" s="2976">
        <v>1298.05</v>
      </c>
      <c r="E42" s="3036" t="s">
        <v>4151</v>
      </c>
    </row>
    <row r="43" spans="1:5">
      <c r="A43" s="3035">
        <v>42</v>
      </c>
      <c r="B43" s="2976" t="s">
        <v>4191</v>
      </c>
      <c r="C43" s="2976" t="s">
        <v>3232</v>
      </c>
      <c r="D43" s="2976">
        <v>1174.06</v>
      </c>
      <c r="E43" s="3036" t="s">
        <v>4151</v>
      </c>
    </row>
    <row r="44" spans="1:5">
      <c r="A44" s="3035">
        <v>43</v>
      </c>
      <c r="B44" s="2976" t="s">
        <v>4192</v>
      </c>
      <c r="C44" s="2976" t="s">
        <v>3234</v>
      </c>
      <c r="D44" s="2976">
        <v>1091.3</v>
      </c>
      <c r="E44" s="3036" t="s">
        <v>4151</v>
      </c>
    </row>
    <row r="45" spans="1:5">
      <c r="A45" s="3035">
        <v>44</v>
      </c>
      <c r="B45" s="2976" t="s">
        <v>4193</v>
      </c>
      <c r="C45" s="2976" t="s">
        <v>3236</v>
      </c>
      <c r="D45" s="2976">
        <v>1886.31</v>
      </c>
      <c r="E45" s="3036" t="s">
        <v>4151</v>
      </c>
    </row>
    <row r="46" spans="1:5">
      <c r="A46" s="3035">
        <v>45</v>
      </c>
      <c r="B46" s="2976" t="s">
        <v>4194</v>
      </c>
      <c r="C46" s="2976" t="s">
        <v>3238</v>
      </c>
      <c r="D46" s="2976">
        <v>23.37</v>
      </c>
      <c r="E46" s="3036" t="s">
        <v>4151</v>
      </c>
    </row>
    <row r="47" spans="1:5">
      <c r="A47" s="3035">
        <v>46</v>
      </c>
      <c r="B47" s="2976" t="s">
        <v>4195</v>
      </c>
      <c r="C47" s="2976" t="s">
        <v>3240</v>
      </c>
      <c r="D47" s="2976">
        <v>42.37</v>
      </c>
      <c r="E47" s="3036" t="s">
        <v>4151</v>
      </c>
    </row>
    <row r="48" spans="1:5">
      <c r="A48" s="3035">
        <v>47</v>
      </c>
      <c r="B48" s="2976" t="s">
        <v>4196</v>
      </c>
      <c r="C48" s="2976" t="s">
        <v>3242</v>
      </c>
      <c r="D48" s="2976">
        <v>45.01</v>
      </c>
      <c r="E48" s="3036" t="s">
        <v>4151</v>
      </c>
    </row>
    <row r="49" spans="1:5">
      <c r="A49" s="3035">
        <v>48</v>
      </c>
      <c r="B49" s="2976" t="s">
        <v>4197</v>
      </c>
      <c r="C49" s="2976" t="s">
        <v>3244</v>
      </c>
      <c r="D49" s="2976">
        <v>47.94</v>
      </c>
      <c r="E49" s="3036" t="s">
        <v>4151</v>
      </c>
    </row>
    <row r="50" spans="1:5">
      <c r="A50" s="3035">
        <v>49</v>
      </c>
      <c r="B50" s="2976" t="s">
        <v>4198</v>
      </c>
      <c r="C50" s="2976" t="s">
        <v>3246</v>
      </c>
      <c r="D50" s="2976">
        <v>48.02</v>
      </c>
      <c r="E50" s="3036" t="s">
        <v>4151</v>
      </c>
    </row>
    <row r="51" spans="1:5">
      <c r="A51" s="3035">
        <v>50</v>
      </c>
      <c r="B51" s="2974" t="s">
        <v>4199</v>
      </c>
      <c r="C51" s="2976" t="s">
        <v>3248</v>
      </c>
      <c r="D51" s="2976">
        <v>45.01</v>
      </c>
      <c r="E51" s="3036" t="s">
        <v>4151</v>
      </c>
    </row>
    <row r="52" spans="1:5">
      <c r="A52" s="3035">
        <v>51</v>
      </c>
      <c r="B52" s="2976" t="s">
        <v>4200</v>
      </c>
      <c r="C52" s="2976" t="s">
        <v>3250</v>
      </c>
      <c r="D52" s="2976">
        <v>45.01</v>
      </c>
      <c r="E52" s="3036" t="s">
        <v>4151</v>
      </c>
    </row>
    <row r="53" spans="1:5">
      <c r="A53" s="3035">
        <v>52</v>
      </c>
      <c r="B53" s="2976" t="s">
        <v>4201</v>
      </c>
      <c r="C53" s="2976" t="s">
        <v>3252</v>
      </c>
      <c r="D53" s="2976">
        <v>45.01</v>
      </c>
      <c r="E53" s="3036" t="s">
        <v>4151</v>
      </c>
    </row>
    <row r="54" spans="1:5">
      <c r="A54" s="3035">
        <v>53</v>
      </c>
      <c r="B54" s="2976" t="s">
        <v>4202</v>
      </c>
      <c r="C54" s="2976" t="s">
        <v>3254</v>
      </c>
      <c r="D54" s="2976">
        <v>50.02</v>
      </c>
      <c r="E54" s="3036" t="s">
        <v>4151</v>
      </c>
    </row>
    <row r="55" spans="1:5">
      <c r="A55" s="3035">
        <v>54</v>
      </c>
      <c r="B55" s="2976" t="s">
        <v>4203</v>
      </c>
      <c r="C55" s="2976" t="s">
        <v>3256</v>
      </c>
      <c r="D55" s="2976">
        <v>45.01</v>
      </c>
      <c r="E55" s="3036" t="s">
        <v>4151</v>
      </c>
    </row>
    <row r="56" spans="1:5">
      <c r="A56" s="3035">
        <v>55</v>
      </c>
      <c r="B56" s="2976" t="s">
        <v>4204</v>
      </c>
      <c r="C56" s="2976" t="s">
        <v>3258</v>
      </c>
      <c r="D56" s="2976">
        <v>47.87</v>
      </c>
      <c r="E56" s="3036" t="s">
        <v>4151</v>
      </c>
    </row>
    <row r="57" spans="1:5">
      <c r="A57" s="3035">
        <v>56</v>
      </c>
      <c r="B57" s="2976" t="s">
        <v>4205</v>
      </c>
      <c r="C57" s="2976" t="s">
        <v>3260</v>
      </c>
      <c r="D57" s="2976">
        <v>45.01</v>
      </c>
      <c r="E57" s="3036" t="s">
        <v>4151</v>
      </c>
    </row>
    <row r="58" spans="1:5">
      <c r="A58" s="3035">
        <v>57</v>
      </c>
      <c r="B58" s="2976" t="s">
        <v>4206</v>
      </c>
      <c r="C58" s="2976" t="s">
        <v>3262</v>
      </c>
      <c r="D58" s="2976">
        <v>45.01</v>
      </c>
      <c r="E58" s="3036" t="s">
        <v>4151</v>
      </c>
    </row>
    <row r="59" spans="1:5">
      <c r="A59" s="3035">
        <v>58</v>
      </c>
      <c r="B59" s="2976" t="s">
        <v>4207</v>
      </c>
      <c r="C59" s="2976" t="s">
        <v>3264</v>
      </c>
      <c r="D59" s="2976">
        <v>45.01</v>
      </c>
      <c r="E59" s="3036" t="s">
        <v>4151</v>
      </c>
    </row>
    <row r="60" spans="1:5">
      <c r="A60" s="3035">
        <v>59</v>
      </c>
      <c r="B60" s="2976" t="s">
        <v>4208</v>
      </c>
      <c r="C60" s="2976" t="s">
        <v>3266</v>
      </c>
      <c r="D60" s="2976">
        <v>45.01</v>
      </c>
      <c r="E60" s="3036" t="s">
        <v>4151</v>
      </c>
    </row>
    <row r="61" spans="1:5">
      <c r="A61" s="3035">
        <v>60</v>
      </c>
      <c r="B61" s="2976" t="s">
        <v>4209</v>
      </c>
      <c r="C61" s="2976" t="s">
        <v>3268</v>
      </c>
      <c r="D61" s="2976">
        <v>45.83</v>
      </c>
      <c r="E61" s="3036" t="s">
        <v>4151</v>
      </c>
    </row>
    <row r="62" spans="1:5">
      <c r="A62" s="3035">
        <v>61</v>
      </c>
      <c r="B62" s="2976" t="s">
        <v>4210</v>
      </c>
      <c r="C62" s="2976" t="s">
        <v>3270</v>
      </c>
      <c r="D62" s="2976">
        <v>40.590000000000003</v>
      </c>
      <c r="E62" s="3036" t="s">
        <v>4151</v>
      </c>
    </row>
    <row r="63" spans="1:5">
      <c r="A63" s="3035">
        <v>62</v>
      </c>
      <c r="B63" s="2976" t="s">
        <v>4211</v>
      </c>
      <c r="C63" s="2976" t="s">
        <v>3272</v>
      </c>
      <c r="D63" s="2976">
        <v>83.05</v>
      </c>
      <c r="E63" s="3036" t="s">
        <v>4151</v>
      </c>
    </row>
    <row r="64" spans="1:5">
      <c r="A64" s="3035">
        <v>63</v>
      </c>
      <c r="B64" s="2976" t="s">
        <v>4212</v>
      </c>
      <c r="C64" s="2976" t="s">
        <v>3274</v>
      </c>
      <c r="D64" s="2976">
        <v>55.66</v>
      </c>
      <c r="E64" s="3036" t="s">
        <v>4151</v>
      </c>
    </row>
    <row r="65" spans="1:5">
      <c r="A65" s="3035">
        <v>64</v>
      </c>
      <c r="B65" s="2976" t="s">
        <v>4213</v>
      </c>
      <c r="C65" s="2976" t="s">
        <v>3276</v>
      </c>
      <c r="D65" s="2976">
        <v>55.95</v>
      </c>
      <c r="E65" s="3036" t="s">
        <v>4151</v>
      </c>
    </row>
    <row r="66" spans="1:5">
      <c r="A66" s="3035">
        <v>65</v>
      </c>
      <c r="B66" s="2976" t="s">
        <v>4214</v>
      </c>
      <c r="C66" s="2976" t="s">
        <v>3278</v>
      </c>
      <c r="D66" s="2976">
        <v>55.95</v>
      </c>
      <c r="E66" s="3036" t="s">
        <v>4151</v>
      </c>
    </row>
    <row r="67" spans="1:5">
      <c r="A67" s="3035">
        <v>66</v>
      </c>
      <c r="B67" s="2976" t="s">
        <v>4215</v>
      </c>
      <c r="C67" s="2976" t="s">
        <v>3280</v>
      </c>
      <c r="D67" s="2976">
        <v>55.66</v>
      </c>
      <c r="E67" s="3036" t="s">
        <v>4151</v>
      </c>
    </row>
    <row r="68" spans="1:5">
      <c r="A68" s="3035">
        <v>67</v>
      </c>
      <c r="B68" s="2976" t="s">
        <v>4216</v>
      </c>
      <c r="C68" s="2976" t="s">
        <v>3282</v>
      </c>
      <c r="D68" s="2976">
        <v>55.95</v>
      </c>
      <c r="E68" s="3036" t="s">
        <v>4151</v>
      </c>
    </row>
    <row r="69" spans="1:5">
      <c r="A69" s="3035">
        <v>68</v>
      </c>
      <c r="B69" s="2976" t="s">
        <v>4217</v>
      </c>
      <c r="C69" s="2976" t="s">
        <v>3284</v>
      </c>
      <c r="D69" s="2976">
        <v>55.95</v>
      </c>
      <c r="E69" s="3036" t="s">
        <v>4151</v>
      </c>
    </row>
    <row r="70" spans="1:5">
      <c r="A70" s="3035">
        <v>69</v>
      </c>
      <c r="B70" s="2976" t="s">
        <v>4218</v>
      </c>
      <c r="C70" s="2976" t="s">
        <v>3286</v>
      </c>
      <c r="D70" s="2976">
        <v>73.31</v>
      </c>
      <c r="E70" s="3036" t="s">
        <v>4151</v>
      </c>
    </row>
    <row r="71" spans="1:5">
      <c r="A71" s="3035">
        <v>70</v>
      </c>
      <c r="B71" s="2976" t="s">
        <v>4219</v>
      </c>
      <c r="C71" s="2976" t="s">
        <v>3288</v>
      </c>
      <c r="D71" s="2976">
        <v>39.26</v>
      </c>
      <c r="E71" s="3036" t="s">
        <v>4151</v>
      </c>
    </row>
    <row r="72" spans="1:5">
      <c r="A72" s="3035">
        <v>71</v>
      </c>
      <c r="B72" s="2976" t="s">
        <v>4220</v>
      </c>
      <c r="C72" s="2976" t="s">
        <v>3290</v>
      </c>
      <c r="D72" s="2976">
        <v>41.42</v>
      </c>
      <c r="E72" s="3036" t="s">
        <v>4151</v>
      </c>
    </row>
    <row r="73" spans="1:5">
      <c r="A73" s="3035">
        <v>72</v>
      </c>
      <c r="B73" s="2976" t="s">
        <v>4221</v>
      </c>
      <c r="C73" s="2976" t="s">
        <v>3292</v>
      </c>
      <c r="D73" s="2976">
        <v>57.01</v>
      </c>
      <c r="E73" s="3036" t="s">
        <v>4151</v>
      </c>
    </row>
    <row r="74" spans="1:5">
      <c r="A74" s="3035">
        <v>73</v>
      </c>
      <c r="B74" s="2976" t="s">
        <v>4222</v>
      </c>
      <c r="C74" s="2976" t="s">
        <v>3294</v>
      </c>
      <c r="D74" s="2976">
        <v>58.89</v>
      </c>
      <c r="E74" s="3036" t="s">
        <v>4151</v>
      </c>
    </row>
    <row r="75" spans="1:5">
      <c r="A75" s="3035">
        <v>74</v>
      </c>
      <c r="B75" s="2976" t="s">
        <v>4223</v>
      </c>
      <c r="C75" s="2976" t="s">
        <v>3296</v>
      </c>
      <c r="D75" s="2976">
        <v>58.67</v>
      </c>
      <c r="E75" s="3036" t="s">
        <v>4151</v>
      </c>
    </row>
    <row r="76" spans="1:5">
      <c r="A76" s="3035">
        <v>75</v>
      </c>
      <c r="B76" s="2976" t="s">
        <v>4224</v>
      </c>
      <c r="C76" s="2976" t="s">
        <v>3298</v>
      </c>
      <c r="D76" s="2976">
        <v>57.85</v>
      </c>
      <c r="E76" s="3036" t="s">
        <v>4151</v>
      </c>
    </row>
    <row r="77" spans="1:5">
      <c r="A77" s="3035">
        <v>76</v>
      </c>
      <c r="B77" s="2976" t="s">
        <v>4225</v>
      </c>
      <c r="C77" s="2976" t="s">
        <v>3300</v>
      </c>
      <c r="D77" s="2976">
        <v>55.66</v>
      </c>
      <c r="E77" s="3036" t="s">
        <v>4151</v>
      </c>
    </row>
    <row r="78" spans="1:5">
      <c r="A78" s="3035">
        <v>77</v>
      </c>
      <c r="B78" s="2976" t="s">
        <v>4226</v>
      </c>
      <c r="C78" s="2976" t="s">
        <v>3302</v>
      </c>
      <c r="D78" s="2976">
        <v>96.66</v>
      </c>
      <c r="E78" s="3036" t="s">
        <v>4151</v>
      </c>
    </row>
    <row r="79" spans="1:5">
      <c r="A79" s="3035">
        <v>78</v>
      </c>
      <c r="B79" s="2976" t="s">
        <v>4227</v>
      </c>
      <c r="C79" s="2976" t="s">
        <v>3304</v>
      </c>
      <c r="D79" s="2976">
        <v>39.57</v>
      </c>
      <c r="E79" s="3036" t="s">
        <v>4151</v>
      </c>
    </row>
    <row r="80" spans="1:5">
      <c r="A80" s="3035">
        <v>79</v>
      </c>
      <c r="B80" s="2976" t="s">
        <v>4228</v>
      </c>
      <c r="C80" s="2976" t="s">
        <v>3306</v>
      </c>
      <c r="D80" s="2976">
        <v>42.13</v>
      </c>
      <c r="E80" s="3036" t="s">
        <v>4151</v>
      </c>
    </row>
    <row r="81" spans="1:5">
      <c r="A81" s="3035">
        <v>80</v>
      </c>
      <c r="B81" s="2976" t="s">
        <v>4229</v>
      </c>
      <c r="C81" s="2976" t="s">
        <v>3308</v>
      </c>
      <c r="D81" s="2976">
        <v>42.13</v>
      </c>
      <c r="E81" s="3036" t="s">
        <v>4151</v>
      </c>
    </row>
    <row r="82" spans="1:5">
      <c r="A82" s="3035">
        <v>81</v>
      </c>
      <c r="B82" s="2976" t="s">
        <v>4230</v>
      </c>
      <c r="C82" s="2976" t="s">
        <v>3310</v>
      </c>
      <c r="D82" s="2976">
        <v>42.13</v>
      </c>
      <c r="E82" s="3036" t="s">
        <v>4151</v>
      </c>
    </row>
    <row r="83" spans="1:5">
      <c r="A83" s="3035">
        <v>82</v>
      </c>
      <c r="B83" s="2976" t="s">
        <v>4231</v>
      </c>
      <c r="C83" s="2976" t="s">
        <v>3312</v>
      </c>
      <c r="D83" s="2976">
        <v>42.13</v>
      </c>
      <c r="E83" s="3036" t="s">
        <v>4151</v>
      </c>
    </row>
    <row r="84" spans="1:5">
      <c r="A84" s="3035">
        <v>83</v>
      </c>
      <c r="B84" s="2976" t="s">
        <v>4232</v>
      </c>
      <c r="C84" s="2976" t="s">
        <v>3314</v>
      </c>
      <c r="D84" s="2976">
        <v>42.13</v>
      </c>
      <c r="E84" s="3036" t="s">
        <v>4151</v>
      </c>
    </row>
    <row r="85" spans="1:5">
      <c r="A85" s="3035">
        <v>84</v>
      </c>
      <c r="B85" s="2976" t="s">
        <v>4233</v>
      </c>
      <c r="C85" s="2976" t="s">
        <v>3316</v>
      </c>
      <c r="D85" s="2976">
        <v>42.13</v>
      </c>
      <c r="E85" s="3036" t="s">
        <v>4151</v>
      </c>
    </row>
    <row r="86" spans="1:5">
      <c r="A86" s="3035">
        <v>85</v>
      </c>
      <c r="B86" s="2976" t="s">
        <v>4234</v>
      </c>
      <c r="C86" s="2976" t="s">
        <v>3318</v>
      </c>
      <c r="D86" s="2976">
        <v>50.52</v>
      </c>
      <c r="E86" s="3036" t="s">
        <v>4151</v>
      </c>
    </row>
    <row r="87" spans="1:5">
      <c r="A87" s="3035">
        <v>86</v>
      </c>
      <c r="B87" s="2976" t="s">
        <v>4235</v>
      </c>
      <c r="C87" s="2976" t="s">
        <v>3320</v>
      </c>
      <c r="D87" s="2976">
        <v>42.13</v>
      </c>
      <c r="E87" s="3036" t="s">
        <v>4151</v>
      </c>
    </row>
    <row r="88" spans="1:5">
      <c r="A88" s="3035">
        <v>87</v>
      </c>
      <c r="B88" s="2976" t="s">
        <v>4236</v>
      </c>
      <c r="C88" s="2976" t="s">
        <v>3322</v>
      </c>
      <c r="D88" s="2976">
        <v>42.13</v>
      </c>
      <c r="E88" s="3036" t="s">
        <v>4151</v>
      </c>
    </row>
    <row r="89" spans="1:5">
      <c r="A89" s="3035">
        <v>88</v>
      </c>
      <c r="B89" s="2976" t="s">
        <v>4237</v>
      </c>
      <c r="C89" s="2976" t="s">
        <v>3324</v>
      </c>
      <c r="D89" s="2976">
        <v>42.13</v>
      </c>
      <c r="E89" s="3036" t="s">
        <v>4151</v>
      </c>
    </row>
    <row r="90" spans="1:5">
      <c r="A90" s="3035">
        <v>89</v>
      </c>
      <c r="B90" s="2976" t="s">
        <v>4238</v>
      </c>
      <c r="C90" s="2976" t="s">
        <v>3326</v>
      </c>
      <c r="D90" s="2976">
        <v>42.13</v>
      </c>
      <c r="E90" s="3036" t="s">
        <v>4151</v>
      </c>
    </row>
    <row r="91" spans="1:5">
      <c r="A91" s="3035">
        <v>90</v>
      </c>
      <c r="B91" s="2976" t="s">
        <v>4239</v>
      </c>
      <c r="C91" s="2976" t="s">
        <v>3328</v>
      </c>
      <c r="D91" s="2976">
        <v>42.13</v>
      </c>
      <c r="E91" s="3036" t="s">
        <v>4151</v>
      </c>
    </row>
    <row r="92" spans="1:5">
      <c r="A92" s="3035">
        <v>91</v>
      </c>
      <c r="B92" s="2976" t="s">
        <v>4240</v>
      </c>
      <c r="C92" s="2976" t="s">
        <v>3330</v>
      </c>
      <c r="D92" s="2976">
        <v>42.13</v>
      </c>
      <c r="E92" s="3036" t="s">
        <v>4151</v>
      </c>
    </row>
    <row r="93" spans="1:5">
      <c r="A93" s="3035">
        <v>92</v>
      </c>
      <c r="B93" s="2976" t="s">
        <v>4241</v>
      </c>
      <c r="C93" s="2976" t="s">
        <v>3332</v>
      </c>
      <c r="D93" s="2976">
        <v>42.98</v>
      </c>
      <c r="E93" s="3036" t="s">
        <v>4151</v>
      </c>
    </row>
    <row r="94" spans="1:5">
      <c r="A94" s="3035">
        <v>93</v>
      </c>
      <c r="B94" s="2976" t="s">
        <v>4242</v>
      </c>
      <c r="C94" s="2976" t="s">
        <v>3334</v>
      </c>
      <c r="D94" s="2976">
        <v>35.65</v>
      </c>
      <c r="E94" s="3036" t="s">
        <v>4151</v>
      </c>
    </row>
    <row r="95" spans="1:5">
      <c r="A95" s="3035">
        <v>94</v>
      </c>
      <c r="B95" s="2976" t="s">
        <v>4243</v>
      </c>
      <c r="C95" s="2976" t="s">
        <v>3336</v>
      </c>
      <c r="D95" s="2976">
        <v>41.83</v>
      </c>
      <c r="E95" s="3036" t="s">
        <v>4151</v>
      </c>
    </row>
    <row r="96" spans="1:5">
      <c r="A96" s="3035">
        <v>95</v>
      </c>
      <c r="B96" s="2976" t="s">
        <v>4244</v>
      </c>
      <c r="C96" s="2976" t="s">
        <v>3338</v>
      </c>
      <c r="D96" s="2976">
        <v>42.13</v>
      </c>
      <c r="E96" s="3036" t="s">
        <v>4151</v>
      </c>
    </row>
    <row r="97" spans="1:5">
      <c r="A97" s="3035">
        <v>96</v>
      </c>
      <c r="B97" s="2976" t="s">
        <v>4245</v>
      </c>
      <c r="C97" s="2976" t="s">
        <v>3340</v>
      </c>
      <c r="D97" s="2976">
        <v>42.13</v>
      </c>
      <c r="E97" s="3036" t="s">
        <v>4151</v>
      </c>
    </row>
    <row r="98" spans="1:5">
      <c r="A98" s="3035">
        <v>97</v>
      </c>
      <c r="B98" s="2976" t="s">
        <v>4246</v>
      </c>
      <c r="C98" s="2976" t="s">
        <v>3342</v>
      </c>
      <c r="D98" s="2976">
        <v>41.83</v>
      </c>
      <c r="E98" s="3036" t="s">
        <v>4151</v>
      </c>
    </row>
    <row r="99" spans="1:5">
      <c r="A99" s="3035">
        <v>98</v>
      </c>
      <c r="B99" s="2976" t="s">
        <v>4247</v>
      </c>
      <c r="C99" s="2976" t="s">
        <v>3344</v>
      </c>
      <c r="D99" s="2976">
        <v>42.13</v>
      </c>
      <c r="E99" s="3036" t="s">
        <v>4151</v>
      </c>
    </row>
    <row r="100" spans="1:5">
      <c r="A100" s="3035">
        <v>99</v>
      </c>
      <c r="B100" s="2976" t="s">
        <v>4248</v>
      </c>
      <c r="C100" s="2976" t="s">
        <v>3346</v>
      </c>
      <c r="D100" s="2976">
        <v>42.13</v>
      </c>
      <c r="E100" s="3036" t="s">
        <v>4151</v>
      </c>
    </row>
    <row r="101" spans="1:5">
      <c r="A101" s="3035">
        <v>100</v>
      </c>
      <c r="B101" s="2976" t="s">
        <v>4249</v>
      </c>
      <c r="C101" s="2976" t="s">
        <v>3348</v>
      </c>
      <c r="D101" s="2976">
        <v>42.13</v>
      </c>
      <c r="E101" s="3036" t="s">
        <v>4151</v>
      </c>
    </row>
    <row r="102" spans="1:5">
      <c r="A102" s="3035">
        <v>101</v>
      </c>
      <c r="B102" s="2976" t="s">
        <v>4250</v>
      </c>
      <c r="C102" s="2976" t="s">
        <v>3350</v>
      </c>
      <c r="D102" s="2976">
        <v>63.28</v>
      </c>
      <c r="E102" s="3036" t="s">
        <v>4151</v>
      </c>
    </row>
    <row r="103" spans="1:5">
      <c r="A103" s="3035">
        <v>102</v>
      </c>
      <c r="B103" s="2976" t="s">
        <v>4251</v>
      </c>
      <c r="C103" s="2976" t="s">
        <v>3352</v>
      </c>
      <c r="D103" s="2976">
        <v>62.1</v>
      </c>
      <c r="E103" s="3036" t="s">
        <v>4151</v>
      </c>
    </row>
    <row r="104" spans="1:5">
      <c r="A104" s="3035">
        <v>103</v>
      </c>
      <c r="B104" s="2976" t="s">
        <v>4252</v>
      </c>
      <c r="C104" s="2976" t="s">
        <v>3354</v>
      </c>
      <c r="D104" s="2976">
        <v>42.13</v>
      </c>
      <c r="E104" s="3036" t="s">
        <v>4151</v>
      </c>
    </row>
    <row r="105" spans="1:5">
      <c r="A105" s="3035">
        <v>104</v>
      </c>
      <c r="B105" s="2976" t="s">
        <v>4253</v>
      </c>
      <c r="C105" s="2976" t="s">
        <v>3356</v>
      </c>
      <c r="D105" s="2976">
        <v>42.13</v>
      </c>
      <c r="E105" s="3036" t="s">
        <v>4151</v>
      </c>
    </row>
    <row r="106" spans="1:5">
      <c r="A106" s="3035">
        <v>105</v>
      </c>
      <c r="B106" s="2976" t="s">
        <v>4254</v>
      </c>
      <c r="C106" s="2976" t="s">
        <v>3358</v>
      </c>
      <c r="D106" s="2976">
        <v>41.83</v>
      </c>
      <c r="E106" s="3036" t="s">
        <v>4151</v>
      </c>
    </row>
    <row r="107" spans="1:5">
      <c r="A107" s="3035">
        <v>106</v>
      </c>
      <c r="B107" s="2976" t="s">
        <v>4255</v>
      </c>
      <c r="C107" s="2976" t="s">
        <v>3360</v>
      </c>
      <c r="D107" s="2976">
        <v>42.13</v>
      </c>
      <c r="E107" s="3036" t="s">
        <v>4151</v>
      </c>
    </row>
    <row r="108" spans="1:5">
      <c r="A108" s="3035">
        <v>107</v>
      </c>
      <c r="B108" s="2976" t="s">
        <v>4256</v>
      </c>
      <c r="C108" s="2976" t="s">
        <v>3362</v>
      </c>
      <c r="D108" s="2976">
        <v>41.83</v>
      </c>
      <c r="E108" s="3036" t="s">
        <v>4151</v>
      </c>
    </row>
    <row r="109" spans="1:5">
      <c r="A109" s="3035">
        <v>108</v>
      </c>
      <c r="B109" s="2976" t="s">
        <v>4257</v>
      </c>
      <c r="C109" s="2976" t="s">
        <v>3364</v>
      </c>
      <c r="D109" s="2976">
        <v>57.34</v>
      </c>
      <c r="E109" s="3036" t="s">
        <v>4151</v>
      </c>
    </row>
    <row r="110" spans="1:5">
      <c r="A110" s="3035">
        <v>109</v>
      </c>
      <c r="B110" s="2976" t="s">
        <v>4258</v>
      </c>
      <c r="C110" s="2976" t="s">
        <v>3366</v>
      </c>
      <c r="D110" s="2976">
        <v>720.27</v>
      </c>
      <c r="E110" s="3036" t="s">
        <v>4151</v>
      </c>
    </row>
    <row r="111" spans="1:5">
      <c r="A111" s="3035">
        <v>110</v>
      </c>
      <c r="B111" s="2976" t="s">
        <v>3367</v>
      </c>
      <c r="C111" s="2976" t="s">
        <v>3368</v>
      </c>
      <c r="D111" s="2976">
        <v>2406.44</v>
      </c>
      <c r="E111" s="3036" t="s">
        <v>4151</v>
      </c>
    </row>
    <row r="112" spans="1:5">
      <c r="A112" s="3035">
        <v>111</v>
      </c>
      <c r="B112" s="2976" t="s">
        <v>3369</v>
      </c>
      <c r="C112" s="2976" t="s">
        <v>3370</v>
      </c>
      <c r="D112" s="2976">
        <v>123.82</v>
      </c>
      <c r="E112" s="3036" t="s">
        <v>4151</v>
      </c>
    </row>
    <row r="113" spans="1:5">
      <c r="A113" s="3035">
        <v>112</v>
      </c>
      <c r="B113" s="2976" t="s">
        <v>3371</v>
      </c>
      <c r="C113" s="2976" t="s">
        <v>3372</v>
      </c>
      <c r="D113" s="2976">
        <v>58.65</v>
      </c>
      <c r="E113" s="3036" t="s">
        <v>4151</v>
      </c>
    </row>
    <row r="114" spans="1:5">
      <c r="A114" s="3035">
        <v>113</v>
      </c>
      <c r="B114" s="2976" t="s">
        <v>3373</v>
      </c>
      <c r="C114" s="2976" t="s">
        <v>3374</v>
      </c>
      <c r="D114" s="2976">
        <v>58.65</v>
      </c>
      <c r="E114" s="3036" t="s">
        <v>4151</v>
      </c>
    </row>
    <row r="115" spans="1:5">
      <c r="A115" s="3035">
        <v>114</v>
      </c>
      <c r="B115" s="2976" t="s">
        <v>3375</v>
      </c>
      <c r="C115" s="2976" t="s">
        <v>3376</v>
      </c>
      <c r="D115" s="2976">
        <v>58.65</v>
      </c>
      <c r="E115" s="3036" t="s">
        <v>4151</v>
      </c>
    </row>
    <row r="116" spans="1:5">
      <c r="A116" s="3035">
        <v>115</v>
      </c>
      <c r="B116" s="2976" t="s">
        <v>3377</v>
      </c>
      <c r="C116" s="2976" t="s">
        <v>3378</v>
      </c>
      <c r="D116" s="2976">
        <v>58.65</v>
      </c>
      <c r="E116" s="3036" t="s">
        <v>4151</v>
      </c>
    </row>
    <row r="117" spans="1:5">
      <c r="A117" s="3035">
        <v>116</v>
      </c>
      <c r="B117" s="2976" t="s">
        <v>3379</v>
      </c>
      <c r="C117" s="2976" t="s">
        <v>3380</v>
      </c>
      <c r="D117" s="2976">
        <v>58.65</v>
      </c>
      <c r="E117" s="3036" t="s">
        <v>4151</v>
      </c>
    </row>
    <row r="118" spans="1:5">
      <c r="A118" s="3035">
        <v>117</v>
      </c>
      <c r="B118" s="2976" t="s">
        <v>3381</v>
      </c>
      <c r="C118" s="2976" t="s">
        <v>3382</v>
      </c>
      <c r="D118" s="2976">
        <v>58.65</v>
      </c>
      <c r="E118" s="3036" t="s">
        <v>4151</v>
      </c>
    </row>
    <row r="119" spans="1:5">
      <c r="A119" s="3035">
        <v>118</v>
      </c>
      <c r="B119" s="2976" t="s">
        <v>3383</v>
      </c>
      <c r="C119" s="2976" t="s">
        <v>3384</v>
      </c>
      <c r="D119" s="2976">
        <v>58.65</v>
      </c>
      <c r="E119" s="3036" t="s">
        <v>4151</v>
      </c>
    </row>
    <row r="120" spans="1:5">
      <c r="A120" s="3035">
        <v>119</v>
      </c>
      <c r="B120" s="2976" t="s">
        <v>3385</v>
      </c>
      <c r="C120" s="2976" t="s">
        <v>3386</v>
      </c>
      <c r="D120" s="2976">
        <v>58.65</v>
      </c>
      <c r="E120" s="3036" t="s">
        <v>4151</v>
      </c>
    </row>
    <row r="121" spans="1:5">
      <c r="A121" s="3035">
        <v>120</v>
      </c>
      <c r="B121" s="2976" t="s">
        <v>3387</v>
      </c>
      <c r="C121" s="2976" t="s">
        <v>3388</v>
      </c>
      <c r="D121" s="2976">
        <v>58.65</v>
      </c>
      <c r="E121" s="3036" t="s">
        <v>4151</v>
      </c>
    </row>
    <row r="122" spans="1:5">
      <c r="A122" s="3035">
        <v>121</v>
      </c>
      <c r="B122" s="2976" t="s">
        <v>3389</v>
      </c>
      <c r="C122" s="2976" t="s">
        <v>3390</v>
      </c>
      <c r="D122" s="2976">
        <v>58.65</v>
      </c>
      <c r="E122" s="3036" t="s">
        <v>4151</v>
      </c>
    </row>
    <row r="123" spans="1:5">
      <c r="A123" s="3035">
        <v>122</v>
      </c>
      <c r="B123" s="2976" t="s">
        <v>3391</v>
      </c>
      <c r="C123" s="2976" t="s">
        <v>3392</v>
      </c>
      <c r="D123" s="2976">
        <v>53.35</v>
      </c>
      <c r="E123" s="3036" t="s">
        <v>4151</v>
      </c>
    </row>
    <row r="124" spans="1:5">
      <c r="A124" s="3035">
        <v>123</v>
      </c>
      <c r="B124" s="2976" t="s">
        <v>3393</v>
      </c>
      <c r="C124" s="2976" t="s">
        <v>3394</v>
      </c>
      <c r="D124" s="2976">
        <v>122.69</v>
      </c>
      <c r="E124" s="3036" t="s">
        <v>4151</v>
      </c>
    </row>
    <row r="125" spans="1:5">
      <c r="A125" s="3035">
        <v>124</v>
      </c>
      <c r="B125" s="2976" t="s">
        <v>3395</v>
      </c>
      <c r="C125" s="2976" t="s">
        <v>3396</v>
      </c>
      <c r="D125" s="2976">
        <v>83.16</v>
      </c>
      <c r="E125" s="3036" t="s">
        <v>4151</v>
      </c>
    </row>
    <row r="126" spans="1:5">
      <c r="A126" s="3035">
        <v>125</v>
      </c>
      <c r="B126" s="2976" t="s">
        <v>3397</v>
      </c>
      <c r="C126" s="2976" t="s">
        <v>3398</v>
      </c>
      <c r="D126" s="2976">
        <v>89.03</v>
      </c>
      <c r="E126" s="3036" t="s">
        <v>4151</v>
      </c>
    </row>
    <row r="127" spans="1:5">
      <c r="A127" s="3035">
        <v>126</v>
      </c>
      <c r="B127" s="2976" t="s">
        <v>3399</v>
      </c>
      <c r="C127" s="2976" t="s">
        <v>3400</v>
      </c>
      <c r="D127" s="2976">
        <v>80.650000000000006</v>
      </c>
      <c r="E127" s="3036" t="s">
        <v>4151</v>
      </c>
    </row>
    <row r="128" spans="1:5">
      <c r="A128" s="3035">
        <v>127</v>
      </c>
      <c r="B128" s="2976" t="s">
        <v>3401</v>
      </c>
      <c r="C128" s="2976" t="s">
        <v>3402</v>
      </c>
      <c r="D128" s="2976">
        <v>127.75</v>
      </c>
      <c r="E128" s="3036" t="s">
        <v>4151</v>
      </c>
    </row>
    <row r="129" spans="1:5">
      <c r="A129" s="3035">
        <v>128</v>
      </c>
      <c r="B129" s="2976" t="s">
        <v>3403</v>
      </c>
      <c r="C129" s="2976" t="s">
        <v>3404</v>
      </c>
      <c r="D129" s="2976">
        <v>66.48</v>
      </c>
      <c r="E129" s="3036" t="s">
        <v>4151</v>
      </c>
    </row>
    <row r="130" spans="1:5">
      <c r="A130" s="3035">
        <v>129</v>
      </c>
      <c r="B130" s="2976" t="s">
        <v>3405</v>
      </c>
      <c r="C130" s="2976" t="s">
        <v>3406</v>
      </c>
      <c r="D130" s="2976">
        <v>67.680000000000007</v>
      </c>
      <c r="E130" s="3036" t="s">
        <v>4151</v>
      </c>
    </row>
    <row r="131" spans="1:5">
      <c r="A131" s="3035">
        <v>130</v>
      </c>
      <c r="B131" s="2976" t="s">
        <v>3407</v>
      </c>
      <c r="C131" s="2976" t="s">
        <v>3408</v>
      </c>
      <c r="D131" s="2976">
        <v>67.680000000000007</v>
      </c>
      <c r="E131" s="3036" t="s">
        <v>4151</v>
      </c>
    </row>
    <row r="132" spans="1:5">
      <c r="A132" s="3035">
        <v>131</v>
      </c>
      <c r="B132" s="2976" t="s">
        <v>3409</v>
      </c>
      <c r="C132" s="2976" t="s">
        <v>3410</v>
      </c>
      <c r="D132" s="2976">
        <v>63.87</v>
      </c>
      <c r="E132" s="3036" t="s">
        <v>4151</v>
      </c>
    </row>
    <row r="133" spans="1:5">
      <c r="A133" s="3035">
        <v>132</v>
      </c>
      <c r="B133" s="2976" t="s">
        <v>3411</v>
      </c>
      <c r="C133" s="2976" t="s">
        <v>3412</v>
      </c>
      <c r="D133" s="2976">
        <v>67.680000000000007</v>
      </c>
      <c r="E133" s="3036" t="s">
        <v>4151</v>
      </c>
    </row>
    <row r="134" spans="1:5">
      <c r="A134" s="3035">
        <v>133</v>
      </c>
      <c r="B134" s="2976" t="s">
        <v>3413</v>
      </c>
      <c r="C134" s="2976" t="s">
        <v>3414</v>
      </c>
      <c r="D134" s="2976">
        <v>67.680000000000007</v>
      </c>
      <c r="E134" s="3036" t="s">
        <v>4151</v>
      </c>
    </row>
    <row r="135" spans="1:5">
      <c r="A135" s="3035">
        <v>134</v>
      </c>
      <c r="B135" s="2976" t="s">
        <v>3415</v>
      </c>
      <c r="C135" s="2976" t="s">
        <v>3416</v>
      </c>
      <c r="D135" s="2976">
        <v>68.89</v>
      </c>
      <c r="E135" s="3036" t="s">
        <v>4151</v>
      </c>
    </row>
    <row r="136" spans="1:5">
      <c r="A136" s="3035">
        <v>135</v>
      </c>
      <c r="B136" s="2976" t="s">
        <v>3417</v>
      </c>
      <c r="C136" s="2976" t="s">
        <v>3418</v>
      </c>
      <c r="D136" s="2976">
        <v>44.18</v>
      </c>
      <c r="E136" s="3036" t="s">
        <v>4151</v>
      </c>
    </row>
    <row r="137" spans="1:5">
      <c r="A137" s="3035">
        <v>136</v>
      </c>
      <c r="B137" s="2976" t="s">
        <v>3419</v>
      </c>
      <c r="C137" s="2976" t="s">
        <v>3420</v>
      </c>
      <c r="D137" s="2976">
        <v>43.93</v>
      </c>
      <c r="E137" s="3036" t="s">
        <v>4151</v>
      </c>
    </row>
    <row r="138" spans="1:5">
      <c r="A138" s="3035">
        <v>137</v>
      </c>
      <c r="B138" s="2976" t="s">
        <v>3421</v>
      </c>
      <c r="C138" s="2976" t="s">
        <v>3422</v>
      </c>
      <c r="D138" s="2976">
        <v>42.05</v>
      </c>
      <c r="E138" s="3036" t="s">
        <v>4151</v>
      </c>
    </row>
    <row r="139" spans="1:5">
      <c r="A139" s="3035">
        <v>138</v>
      </c>
      <c r="B139" s="2976" t="s">
        <v>3423</v>
      </c>
      <c r="C139" s="2976" t="s">
        <v>3424</v>
      </c>
      <c r="D139" s="2976">
        <v>46.06</v>
      </c>
      <c r="E139" s="3036" t="s">
        <v>4151</v>
      </c>
    </row>
    <row r="140" spans="1:5">
      <c r="A140" s="3035">
        <v>139</v>
      </c>
      <c r="B140" s="2976" t="s">
        <v>3425</v>
      </c>
      <c r="C140" s="2976" t="s">
        <v>3426</v>
      </c>
      <c r="D140" s="2976">
        <v>68.89</v>
      </c>
      <c r="E140" s="3036" t="s">
        <v>4151</v>
      </c>
    </row>
    <row r="141" spans="1:5">
      <c r="A141" s="3035">
        <v>140</v>
      </c>
      <c r="B141" s="2976" t="s">
        <v>3427</v>
      </c>
      <c r="C141" s="2976" t="s">
        <v>3428</v>
      </c>
      <c r="D141" s="2976">
        <v>67.680000000000007</v>
      </c>
      <c r="E141" s="3036" t="s">
        <v>4151</v>
      </c>
    </row>
    <row r="142" spans="1:5">
      <c r="A142" s="3035">
        <v>141</v>
      </c>
      <c r="B142" s="2976" t="s">
        <v>3429</v>
      </c>
      <c r="C142" s="2976" t="s">
        <v>3430</v>
      </c>
      <c r="D142" s="2976">
        <v>67.680000000000007</v>
      </c>
      <c r="E142" s="3036" t="s">
        <v>4151</v>
      </c>
    </row>
    <row r="143" spans="1:5">
      <c r="A143" s="3035">
        <v>142</v>
      </c>
      <c r="B143" s="2976" t="s">
        <v>3431</v>
      </c>
      <c r="C143" s="2976" t="s">
        <v>3432</v>
      </c>
      <c r="D143" s="2976">
        <v>63.87</v>
      </c>
      <c r="E143" s="3036" t="s">
        <v>4151</v>
      </c>
    </row>
    <row r="144" spans="1:5">
      <c r="A144" s="3035">
        <v>143</v>
      </c>
      <c r="B144" s="2976" t="s">
        <v>3433</v>
      </c>
      <c r="C144" s="2976" t="s">
        <v>3434</v>
      </c>
      <c r="D144" s="2976">
        <v>67.680000000000007</v>
      </c>
      <c r="E144" s="3036" t="s">
        <v>4151</v>
      </c>
    </row>
    <row r="145" spans="1:5">
      <c r="A145" s="3035">
        <v>144</v>
      </c>
      <c r="B145" s="2976" t="s">
        <v>3435</v>
      </c>
      <c r="C145" s="2976" t="s">
        <v>3436</v>
      </c>
      <c r="D145" s="2976">
        <v>67.680000000000007</v>
      </c>
      <c r="E145" s="3036" t="s">
        <v>4151</v>
      </c>
    </row>
    <row r="146" spans="1:5">
      <c r="A146" s="3035">
        <v>145</v>
      </c>
      <c r="B146" s="2976" t="s">
        <v>3437</v>
      </c>
      <c r="C146" s="2976" t="s">
        <v>3438</v>
      </c>
      <c r="D146" s="2976">
        <v>83.4</v>
      </c>
      <c r="E146" s="3036" t="s">
        <v>4151</v>
      </c>
    </row>
    <row r="147" spans="1:5">
      <c r="A147" s="3035">
        <v>146</v>
      </c>
      <c r="B147" s="2976" t="s">
        <v>3439</v>
      </c>
      <c r="C147" s="2976" t="s">
        <v>3440</v>
      </c>
      <c r="D147" s="2976">
        <v>121.05</v>
      </c>
      <c r="E147" s="3036" t="s">
        <v>4151</v>
      </c>
    </row>
    <row r="148" spans="1:5">
      <c r="A148" s="3035">
        <v>147</v>
      </c>
      <c r="B148" s="2976" t="s">
        <v>3441</v>
      </c>
      <c r="C148" s="2976" t="s">
        <v>3442</v>
      </c>
      <c r="D148" s="2976">
        <v>71.489999999999995</v>
      </c>
      <c r="E148" s="3036" t="s">
        <v>4151</v>
      </c>
    </row>
    <row r="149" spans="1:5">
      <c r="A149" s="3035">
        <v>148</v>
      </c>
      <c r="B149" s="2976" t="s">
        <v>3443</v>
      </c>
      <c r="C149" s="2976" t="s">
        <v>3444</v>
      </c>
      <c r="D149" s="2976">
        <v>57.9</v>
      </c>
      <c r="E149" s="3036" t="s">
        <v>4151</v>
      </c>
    </row>
    <row r="150" spans="1:5">
      <c r="A150" s="3035">
        <v>149</v>
      </c>
      <c r="B150" s="2976" t="s">
        <v>3445</v>
      </c>
      <c r="C150" s="2976" t="s">
        <v>3446</v>
      </c>
      <c r="D150" s="2976">
        <v>57.9</v>
      </c>
      <c r="E150" s="3036" t="s">
        <v>4151</v>
      </c>
    </row>
    <row r="151" spans="1:5">
      <c r="A151" s="3035">
        <v>150</v>
      </c>
      <c r="B151" s="2976" t="s">
        <v>3447</v>
      </c>
      <c r="C151" s="2976" t="s">
        <v>3448</v>
      </c>
      <c r="D151" s="2976">
        <v>78.66</v>
      </c>
      <c r="E151" s="3036" t="s">
        <v>4151</v>
      </c>
    </row>
    <row r="152" spans="1:5">
      <c r="A152" s="3035">
        <v>151</v>
      </c>
      <c r="B152" s="2976" t="s">
        <v>3449</v>
      </c>
      <c r="C152" s="2976" t="s">
        <v>3450</v>
      </c>
      <c r="D152" s="2976">
        <v>120.98</v>
      </c>
      <c r="E152" s="3036" t="s">
        <v>4151</v>
      </c>
    </row>
    <row r="153" spans="1:5">
      <c r="A153" s="3035">
        <v>152</v>
      </c>
      <c r="B153" s="2976" t="s">
        <v>3451</v>
      </c>
      <c r="C153" s="2976" t="s">
        <v>3452</v>
      </c>
      <c r="D153" s="2976">
        <v>67.489999999999995</v>
      </c>
      <c r="E153" s="3036" t="s">
        <v>4151</v>
      </c>
    </row>
    <row r="154" spans="1:5">
      <c r="A154" s="3035">
        <v>153</v>
      </c>
      <c r="B154" s="2976" t="s">
        <v>3453</v>
      </c>
      <c r="C154" s="2976" t="s">
        <v>3454</v>
      </c>
      <c r="D154" s="2976">
        <v>61.8</v>
      </c>
      <c r="E154" s="3036" t="s">
        <v>4151</v>
      </c>
    </row>
    <row r="155" spans="1:5">
      <c r="A155" s="3035">
        <v>154</v>
      </c>
      <c r="B155" s="2976" t="s">
        <v>3455</v>
      </c>
      <c r="C155" s="2976" t="s">
        <v>3456</v>
      </c>
      <c r="D155" s="2976">
        <v>59.85</v>
      </c>
      <c r="E155" s="3036" t="s">
        <v>4151</v>
      </c>
    </row>
    <row r="156" spans="1:5">
      <c r="A156" s="3035">
        <v>155</v>
      </c>
      <c r="B156" s="2976" t="s">
        <v>3457</v>
      </c>
      <c r="C156" s="2976" t="s">
        <v>3458</v>
      </c>
      <c r="D156" s="2976">
        <v>31.18</v>
      </c>
      <c r="E156" s="3036" t="s">
        <v>4151</v>
      </c>
    </row>
    <row r="157" spans="1:5">
      <c r="A157" s="3035">
        <v>156</v>
      </c>
      <c r="B157" s="2976" t="s">
        <v>3459</v>
      </c>
      <c r="C157" s="2976" t="s">
        <v>3460</v>
      </c>
      <c r="D157" s="2976">
        <v>61.98</v>
      </c>
      <c r="E157" s="3036" t="s">
        <v>4151</v>
      </c>
    </row>
    <row r="158" spans="1:5">
      <c r="A158" s="3035">
        <v>157</v>
      </c>
      <c r="B158" s="2976" t="s">
        <v>3461</v>
      </c>
      <c r="C158" s="2976" t="s">
        <v>3462</v>
      </c>
      <c r="D158" s="2976">
        <v>115.2</v>
      </c>
      <c r="E158" s="3036" t="s">
        <v>4151</v>
      </c>
    </row>
    <row r="159" spans="1:5">
      <c r="A159" s="3035">
        <v>158</v>
      </c>
      <c r="B159" s="2976" t="s">
        <v>3463</v>
      </c>
      <c r="C159" s="2976" t="s">
        <v>3464</v>
      </c>
      <c r="D159" s="2976">
        <v>125.88</v>
      </c>
      <c r="E159" s="3036" t="s">
        <v>4151</v>
      </c>
    </row>
    <row r="160" spans="1:5">
      <c r="A160" s="3035">
        <v>159</v>
      </c>
      <c r="B160" s="2976" t="s">
        <v>3465</v>
      </c>
      <c r="C160" s="2976" t="s">
        <v>3466</v>
      </c>
      <c r="D160" s="2976">
        <v>90.5</v>
      </c>
      <c r="E160" s="3036" t="s">
        <v>4151</v>
      </c>
    </row>
    <row r="161" spans="1:5">
      <c r="A161" s="3035">
        <v>160</v>
      </c>
      <c r="B161" s="2976" t="s">
        <v>3467</v>
      </c>
      <c r="C161" s="2976" t="s">
        <v>3468</v>
      </c>
      <c r="D161" s="2976">
        <v>74.680000000000007</v>
      </c>
      <c r="E161" s="3036" t="s">
        <v>4151</v>
      </c>
    </row>
    <row r="162" spans="1:5">
      <c r="A162" s="3035">
        <v>161</v>
      </c>
      <c r="B162" s="2976" t="s">
        <v>3469</v>
      </c>
      <c r="C162" s="2976" t="s">
        <v>3470</v>
      </c>
      <c r="D162" s="2976">
        <v>41.86</v>
      </c>
      <c r="E162" s="3036" t="s">
        <v>4151</v>
      </c>
    </row>
    <row r="163" spans="1:5">
      <c r="A163" s="3035">
        <v>162</v>
      </c>
      <c r="B163" s="2976" t="s">
        <v>3471</v>
      </c>
      <c r="C163" s="2976" t="s">
        <v>3472</v>
      </c>
      <c r="D163" s="2976">
        <v>41.86</v>
      </c>
      <c r="E163" s="3036" t="s">
        <v>4151</v>
      </c>
    </row>
    <row r="164" spans="1:5">
      <c r="A164" s="3035">
        <v>163</v>
      </c>
      <c r="B164" s="2976" t="s">
        <v>3473</v>
      </c>
      <c r="C164" s="2976" t="s">
        <v>3474</v>
      </c>
      <c r="D164" s="2976">
        <v>74.680000000000007</v>
      </c>
      <c r="E164" s="3036" t="s">
        <v>4151</v>
      </c>
    </row>
    <row r="165" spans="1:5">
      <c r="A165" s="3035">
        <v>164</v>
      </c>
      <c r="B165" s="2976" t="s">
        <v>3475</v>
      </c>
      <c r="C165" s="2976" t="s">
        <v>3476</v>
      </c>
      <c r="D165" s="2976">
        <v>90.5</v>
      </c>
      <c r="E165" s="3036" t="s">
        <v>4151</v>
      </c>
    </row>
    <row r="166" spans="1:5">
      <c r="A166" s="3035">
        <v>165</v>
      </c>
      <c r="B166" s="2976" t="s">
        <v>3477</v>
      </c>
      <c r="C166" s="2976" t="s">
        <v>3478</v>
      </c>
      <c r="D166" s="2976">
        <v>125.9</v>
      </c>
      <c r="E166" s="3036" t="s">
        <v>4151</v>
      </c>
    </row>
    <row r="167" spans="1:5">
      <c r="A167" s="3035">
        <v>166</v>
      </c>
      <c r="B167" s="2976" t="s">
        <v>3479</v>
      </c>
      <c r="C167" s="2976" t="s">
        <v>3480</v>
      </c>
      <c r="D167" s="2976">
        <v>115.22</v>
      </c>
      <c r="E167" s="3036" t="s">
        <v>4151</v>
      </c>
    </row>
    <row r="168" spans="1:5">
      <c r="A168" s="3035">
        <v>167</v>
      </c>
      <c r="B168" s="2976" t="s">
        <v>3481</v>
      </c>
      <c r="C168" s="2976" t="s">
        <v>3482</v>
      </c>
      <c r="D168" s="2976">
        <v>61.98</v>
      </c>
      <c r="E168" s="3036" t="s">
        <v>4151</v>
      </c>
    </row>
    <row r="169" spans="1:5">
      <c r="A169" s="3035">
        <v>168</v>
      </c>
      <c r="B169" s="2976" t="s">
        <v>3483</v>
      </c>
      <c r="C169" s="2976" t="s">
        <v>3484</v>
      </c>
      <c r="D169" s="2976">
        <v>84.76</v>
      </c>
      <c r="E169" s="3036" t="s">
        <v>4151</v>
      </c>
    </row>
    <row r="170" spans="1:5">
      <c r="A170" s="3035">
        <v>169</v>
      </c>
      <c r="B170" s="2976" t="s">
        <v>3485</v>
      </c>
      <c r="C170" s="2976" t="s">
        <v>3486</v>
      </c>
      <c r="D170" s="2976">
        <v>67.489999999999995</v>
      </c>
      <c r="E170" s="3036" t="s">
        <v>4151</v>
      </c>
    </row>
    <row r="171" spans="1:5">
      <c r="A171" s="3035">
        <v>170</v>
      </c>
      <c r="B171" s="2976" t="s">
        <v>3487</v>
      </c>
      <c r="C171" s="2976" t="s">
        <v>3488</v>
      </c>
      <c r="D171" s="2976">
        <v>118.86</v>
      </c>
      <c r="E171" s="3036" t="s">
        <v>4151</v>
      </c>
    </row>
    <row r="172" spans="1:5">
      <c r="A172" s="3035">
        <v>171</v>
      </c>
      <c r="B172" s="2976" t="s">
        <v>3489</v>
      </c>
      <c r="C172" s="2976" t="s">
        <v>3490</v>
      </c>
      <c r="D172" s="2976">
        <v>109.81</v>
      </c>
      <c r="E172" s="3036" t="s">
        <v>4151</v>
      </c>
    </row>
    <row r="173" spans="1:5">
      <c r="A173" s="3035">
        <v>172</v>
      </c>
      <c r="B173" s="2976" t="s">
        <v>3491</v>
      </c>
      <c r="C173" s="2976" t="s">
        <v>3492</v>
      </c>
      <c r="D173" s="2976">
        <v>15.79</v>
      </c>
      <c r="E173" s="3036" t="s">
        <v>4151</v>
      </c>
    </row>
    <row r="174" spans="1:5">
      <c r="A174" s="3035">
        <v>173</v>
      </c>
      <c r="B174" s="2976" t="s">
        <v>3493</v>
      </c>
      <c r="C174" s="2976" t="s">
        <v>3494</v>
      </c>
      <c r="D174" s="2976">
        <v>21.64</v>
      </c>
      <c r="E174" s="3036" t="s">
        <v>4151</v>
      </c>
    </row>
    <row r="175" spans="1:5">
      <c r="A175" s="3035">
        <v>174</v>
      </c>
      <c r="B175" s="2976" t="s">
        <v>3495</v>
      </c>
      <c r="C175" s="2976" t="s">
        <v>3496</v>
      </c>
      <c r="D175" s="2976">
        <v>4537.3</v>
      </c>
      <c r="E175" s="3036" t="s">
        <v>4151</v>
      </c>
    </row>
    <row r="176" spans="1:5">
      <c r="A176" s="3035">
        <v>175</v>
      </c>
      <c r="B176" s="2976" t="s">
        <v>3497</v>
      </c>
      <c r="C176" s="2976" t="s">
        <v>3498</v>
      </c>
      <c r="D176" s="2976">
        <v>109.84</v>
      </c>
      <c r="E176" s="3036" t="s">
        <v>4151</v>
      </c>
    </row>
    <row r="177" spans="1:5">
      <c r="A177" s="3035">
        <v>176</v>
      </c>
      <c r="B177" s="2976" t="s">
        <v>3499</v>
      </c>
      <c r="C177" s="2976" t="s">
        <v>3500</v>
      </c>
      <c r="D177" s="2976">
        <v>99.91</v>
      </c>
      <c r="E177" s="3036" t="s">
        <v>4151</v>
      </c>
    </row>
    <row r="178" spans="1:5">
      <c r="A178" s="3035">
        <v>177</v>
      </c>
      <c r="B178" s="2976" t="s">
        <v>3501</v>
      </c>
      <c r="C178" s="2976" t="s">
        <v>3502</v>
      </c>
      <c r="D178" s="2976">
        <v>95.83</v>
      </c>
      <c r="E178" s="3036" t="s">
        <v>4151</v>
      </c>
    </row>
    <row r="179" spans="1:5">
      <c r="A179" s="3035">
        <v>178</v>
      </c>
      <c r="B179" s="2976" t="s">
        <v>3503</v>
      </c>
      <c r="C179" s="2976" t="s">
        <v>3504</v>
      </c>
      <c r="D179" s="2976">
        <v>95.83</v>
      </c>
      <c r="E179" s="3036" t="s">
        <v>4151</v>
      </c>
    </row>
    <row r="180" spans="1:5">
      <c r="A180" s="3035">
        <v>179</v>
      </c>
      <c r="B180" s="2976" t="s">
        <v>3505</v>
      </c>
      <c r="C180" s="2976" t="s">
        <v>3506</v>
      </c>
      <c r="D180" s="2976">
        <v>82.58</v>
      </c>
      <c r="E180" s="3036" t="s">
        <v>4151</v>
      </c>
    </row>
    <row r="181" spans="1:5">
      <c r="A181" s="3035">
        <v>180</v>
      </c>
      <c r="B181" s="2976" t="s">
        <v>3507</v>
      </c>
      <c r="C181" s="2976" t="s">
        <v>3508</v>
      </c>
      <c r="D181" s="2976">
        <v>82.58</v>
      </c>
      <c r="E181" s="3036" t="s">
        <v>4151</v>
      </c>
    </row>
    <row r="182" spans="1:5">
      <c r="A182" s="3035">
        <v>181</v>
      </c>
      <c r="B182" s="2976" t="s">
        <v>3509</v>
      </c>
      <c r="C182" s="2976" t="s">
        <v>3510</v>
      </c>
      <c r="D182" s="2976">
        <v>89.71</v>
      </c>
      <c r="E182" s="3036" t="s">
        <v>4151</v>
      </c>
    </row>
    <row r="183" spans="1:5">
      <c r="A183" s="3035">
        <v>182</v>
      </c>
      <c r="B183" s="2976" t="s">
        <v>3511</v>
      </c>
      <c r="C183" s="2976" t="s">
        <v>3512</v>
      </c>
      <c r="D183" s="2976">
        <v>152.02000000000001</v>
      </c>
      <c r="E183" s="3036" t="s">
        <v>4151</v>
      </c>
    </row>
    <row r="184" spans="1:5">
      <c r="A184" s="3035">
        <v>183</v>
      </c>
      <c r="B184" s="2976" t="s">
        <v>3513</v>
      </c>
      <c r="C184" s="2976" t="s">
        <v>3514</v>
      </c>
      <c r="D184" s="2976">
        <v>128.06</v>
      </c>
      <c r="E184" s="3036" t="s">
        <v>4151</v>
      </c>
    </row>
    <row r="185" spans="1:5">
      <c r="A185" s="3035">
        <v>184</v>
      </c>
      <c r="B185" s="2976" t="s">
        <v>3515</v>
      </c>
      <c r="C185" s="2976" t="s">
        <v>3516</v>
      </c>
      <c r="D185" s="2976">
        <v>122.06</v>
      </c>
      <c r="E185" s="3036" t="s">
        <v>4151</v>
      </c>
    </row>
    <row r="186" spans="1:5">
      <c r="A186" s="3035">
        <v>185</v>
      </c>
      <c r="B186" s="2976" t="s">
        <v>3517</v>
      </c>
      <c r="C186" s="2976" t="s">
        <v>3518</v>
      </c>
      <c r="D186" s="2976">
        <v>132.03</v>
      </c>
      <c r="E186" s="3036" t="s">
        <v>4151</v>
      </c>
    </row>
    <row r="187" spans="1:5">
      <c r="A187" s="3035">
        <v>186</v>
      </c>
      <c r="B187" s="2976" t="s">
        <v>3519</v>
      </c>
      <c r="C187" s="2976" t="s">
        <v>3520</v>
      </c>
      <c r="D187" s="2976">
        <v>134.41999999999999</v>
      </c>
      <c r="E187" s="3036" t="s">
        <v>4151</v>
      </c>
    </row>
    <row r="188" spans="1:5">
      <c r="A188" s="3035">
        <v>187</v>
      </c>
      <c r="B188" s="2976" t="s">
        <v>3521</v>
      </c>
      <c r="C188" s="2976" t="s">
        <v>3522</v>
      </c>
      <c r="D188" s="2976">
        <v>144.72</v>
      </c>
      <c r="E188" s="3036" t="s">
        <v>4151</v>
      </c>
    </row>
    <row r="189" spans="1:5">
      <c r="A189" s="3035">
        <v>188</v>
      </c>
      <c r="B189" s="2976" t="s">
        <v>3523</v>
      </c>
      <c r="C189" s="2976" t="s">
        <v>3524</v>
      </c>
      <c r="D189" s="2976">
        <v>46.72</v>
      </c>
      <c r="E189" s="3036" t="s">
        <v>4151</v>
      </c>
    </row>
    <row r="190" spans="1:5">
      <c r="A190" s="3035">
        <v>189</v>
      </c>
      <c r="B190" s="2976" t="s">
        <v>3525</v>
      </c>
      <c r="C190" s="2976" t="s">
        <v>3526</v>
      </c>
      <c r="D190" s="2976">
        <v>52.43</v>
      </c>
      <c r="E190" s="3036" t="s">
        <v>4151</v>
      </c>
    </row>
    <row r="191" spans="1:5">
      <c r="A191" s="3035">
        <v>190</v>
      </c>
      <c r="B191" s="2976" t="s">
        <v>3527</v>
      </c>
      <c r="C191" s="2976" t="s">
        <v>3528</v>
      </c>
      <c r="D191" s="2976">
        <v>51.96</v>
      </c>
      <c r="E191" s="3036" t="s">
        <v>4151</v>
      </c>
    </row>
    <row r="192" spans="1:5">
      <c r="A192" s="3035">
        <v>191</v>
      </c>
      <c r="B192" s="2976" t="s">
        <v>3529</v>
      </c>
      <c r="C192" s="2976" t="s">
        <v>3530</v>
      </c>
      <c r="D192" s="2976">
        <v>45.29</v>
      </c>
      <c r="E192" s="3036" t="s">
        <v>4151</v>
      </c>
    </row>
    <row r="193" spans="1:5">
      <c r="A193" s="3035">
        <v>192</v>
      </c>
      <c r="B193" s="2976" t="s">
        <v>3531</v>
      </c>
      <c r="C193" s="2976" t="s">
        <v>3532</v>
      </c>
      <c r="D193" s="2976">
        <v>49.16</v>
      </c>
      <c r="E193" s="3036" t="s">
        <v>4151</v>
      </c>
    </row>
    <row r="194" spans="1:5">
      <c r="A194" s="3035">
        <v>193</v>
      </c>
      <c r="B194" s="2976" t="s">
        <v>3533</v>
      </c>
      <c r="C194" s="2976" t="s">
        <v>3534</v>
      </c>
      <c r="D194" s="2976">
        <v>43.47</v>
      </c>
      <c r="E194" s="3036" t="s">
        <v>4151</v>
      </c>
    </row>
    <row r="195" spans="1:5">
      <c r="A195" s="3035">
        <v>194</v>
      </c>
      <c r="B195" s="2976" t="s">
        <v>3535</v>
      </c>
      <c r="C195" s="2976" t="s">
        <v>3536</v>
      </c>
      <c r="D195" s="2976">
        <v>42.93</v>
      </c>
      <c r="E195" s="3036" t="s">
        <v>4151</v>
      </c>
    </row>
    <row r="196" spans="1:5">
      <c r="A196" s="3035">
        <v>195</v>
      </c>
      <c r="B196" s="2976" t="s">
        <v>3537</v>
      </c>
      <c r="C196" s="2976" t="s">
        <v>3538</v>
      </c>
      <c r="D196" s="2976">
        <v>39.17</v>
      </c>
      <c r="E196" s="3036" t="s">
        <v>4151</v>
      </c>
    </row>
    <row r="197" spans="1:5">
      <c r="A197" s="3035">
        <v>196</v>
      </c>
      <c r="B197" s="2976" t="s">
        <v>3539</v>
      </c>
      <c r="C197" s="2976" t="s">
        <v>3540</v>
      </c>
      <c r="D197" s="2976">
        <v>29.16</v>
      </c>
      <c r="E197" s="3036" t="s">
        <v>4151</v>
      </c>
    </row>
    <row r="198" spans="1:5">
      <c r="A198" s="3035">
        <v>197</v>
      </c>
      <c r="B198" s="2976" t="s">
        <v>3541</v>
      </c>
      <c r="C198" s="2976" t="s">
        <v>3542</v>
      </c>
      <c r="D198" s="2976">
        <v>34.74</v>
      </c>
      <c r="E198" s="3036" t="s">
        <v>4151</v>
      </c>
    </row>
    <row r="199" spans="1:5">
      <c r="A199" s="3035">
        <v>198</v>
      </c>
      <c r="B199" s="2976" t="s">
        <v>3543</v>
      </c>
      <c r="C199" s="2976" t="s">
        <v>3544</v>
      </c>
      <c r="D199" s="2976">
        <v>34.74</v>
      </c>
      <c r="E199" s="3036" t="s">
        <v>4151</v>
      </c>
    </row>
    <row r="200" spans="1:5">
      <c r="A200" s="3035">
        <v>199</v>
      </c>
      <c r="B200" s="2976" t="s">
        <v>3545</v>
      </c>
      <c r="C200" s="2976" t="s">
        <v>3546</v>
      </c>
      <c r="D200" s="2976">
        <v>34.74</v>
      </c>
      <c r="E200" s="3036" t="s">
        <v>4151</v>
      </c>
    </row>
    <row r="201" spans="1:5">
      <c r="A201" s="3035">
        <v>200</v>
      </c>
      <c r="B201" s="2976" t="s">
        <v>3547</v>
      </c>
      <c r="C201" s="2976" t="s">
        <v>3548</v>
      </c>
      <c r="D201" s="2976">
        <v>36.08</v>
      </c>
      <c r="E201" s="3036" t="s">
        <v>4151</v>
      </c>
    </row>
    <row r="202" spans="1:5">
      <c r="A202" s="3035">
        <v>201</v>
      </c>
      <c r="B202" s="2976" t="s">
        <v>3549</v>
      </c>
      <c r="C202" s="2976" t="s">
        <v>3550</v>
      </c>
      <c r="D202" s="2976">
        <v>38.979999999999997</v>
      </c>
      <c r="E202" s="3036" t="s">
        <v>4151</v>
      </c>
    </row>
    <row r="203" spans="1:5">
      <c r="A203" s="3035">
        <v>202</v>
      </c>
      <c r="B203" s="2976" t="s">
        <v>3551</v>
      </c>
      <c r="C203" s="2976" t="s">
        <v>3552</v>
      </c>
      <c r="D203" s="2976">
        <v>36.21</v>
      </c>
      <c r="E203" s="3036" t="s">
        <v>4151</v>
      </c>
    </row>
    <row r="204" spans="1:5">
      <c r="A204" s="3035">
        <v>203</v>
      </c>
      <c r="B204" s="2976" t="s">
        <v>3553</v>
      </c>
      <c r="C204" s="2976" t="s">
        <v>3554</v>
      </c>
      <c r="D204" s="2976">
        <v>40.630000000000003</v>
      </c>
      <c r="E204" s="3036" t="s">
        <v>4151</v>
      </c>
    </row>
    <row r="205" spans="1:5">
      <c r="A205" s="3035">
        <v>204</v>
      </c>
      <c r="B205" s="2976" t="s">
        <v>3555</v>
      </c>
      <c r="C205" s="2976" t="s">
        <v>3556</v>
      </c>
      <c r="D205" s="2976">
        <v>38.549999999999997</v>
      </c>
      <c r="E205" s="3036" t="s">
        <v>4151</v>
      </c>
    </row>
    <row r="206" spans="1:5">
      <c r="A206" s="3035">
        <v>205</v>
      </c>
      <c r="B206" s="2976" t="s">
        <v>3557</v>
      </c>
      <c r="C206" s="2976" t="s">
        <v>3558</v>
      </c>
      <c r="D206" s="2976">
        <v>36.36</v>
      </c>
      <c r="E206" s="3036" t="s">
        <v>4151</v>
      </c>
    </row>
    <row r="207" spans="1:5">
      <c r="A207" s="3035">
        <v>206</v>
      </c>
      <c r="B207" s="2976" t="s">
        <v>3559</v>
      </c>
      <c r="C207" s="2976" t="s">
        <v>3560</v>
      </c>
      <c r="D207" s="2976">
        <v>39.32</v>
      </c>
      <c r="E207" s="3036" t="s">
        <v>4151</v>
      </c>
    </row>
    <row r="208" spans="1:5">
      <c r="A208" s="3035">
        <v>207</v>
      </c>
      <c r="B208" s="2976" t="s">
        <v>3561</v>
      </c>
      <c r="C208" s="2976" t="s">
        <v>3562</v>
      </c>
      <c r="D208" s="2976">
        <v>39.32</v>
      </c>
      <c r="E208" s="3036" t="s">
        <v>4151</v>
      </c>
    </row>
    <row r="209" spans="1:5">
      <c r="A209" s="3035">
        <v>208</v>
      </c>
      <c r="B209" s="2976" t="s">
        <v>3563</v>
      </c>
      <c r="C209" s="2976" t="s">
        <v>3564</v>
      </c>
      <c r="D209" s="2976">
        <v>39.32</v>
      </c>
      <c r="E209" s="3036" t="s">
        <v>4151</v>
      </c>
    </row>
    <row r="210" spans="1:5">
      <c r="A210" s="3035">
        <v>209</v>
      </c>
      <c r="B210" s="2976" t="s">
        <v>3565</v>
      </c>
      <c r="C210" s="2976" t="s">
        <v>3566</v>
      </c>
      <c r="D210" s="2976">
        <v>34.9</v>
      </c>
      <c r="E210" s="3036" t="s">
        <v>4151</v>
      </c>
    </row>
    <row r="211" spans="1:5">
      <c r="A211" s="3035">
        <v>210</v>
      </c>
      <c r="B211" s="2976" t="s">
        <v>3567</v>
      </c>
      <c r="C211" s="2976" t="s">
        <v>3568</v>
      </c>
      <c r="D211" s="2976">
        <v>40.86</v>
      </c>
      <c r="E211" s="3036" t="s">
        <v>4151</v>
      </c>
    </row>
    <row r="212" spans="1:5">
      <c r="A212" s="3035">
        <v>211</v>
      </c>
      <c r="B212" s="2976" t="s">
        <v>3569</v>
      </c>
      <c r="C212" s="2976" t="s">
        <v>3570</v>
      </c>
      <c r="D212" s="2976">
        <v>66.98</v>
      </c>
      <c r="E212" s="3036" t="s">
        <v>4151</v>
      </c>
    </row>
    <row r="213" spans="1:5">
      <c r="A213" s="3035">
        <v>212</v>
      </c>
      <c r="B213" s="2976" t="s">
        <v>3571</v>
      </c>
      <c r="C213" s="2976" t="s">
        <v>3572</v>
      </c>
      <c r="D213" s="2976">
        <v>290.89</v>
      </c>
      <c r="E213" s="3036" t="s">
        <v>4151</v>
      </c>
    </row>
    <row r="214" spans="1:5">
      <c r="A214" s="3035">
        <v>213</v>
      </c>
      <c r="B214" s="2976" t="s">
        <v>3573</v>
      </c>
      <c r="C214" s="2976" t="s">
        <v>3574</v>
      </c>
      <c r="D214" s="2976">
        <v>56.83</v>
      </c>
      <c r="E214" s="3036" t="s">
        <v>4151</v>
      </c>
    </row>
    <row r="215" spans="1:5">
      <c r="A215" s="3035">
        <v>214</v>
      </c>
      <c r="B215" s="2976" t="s">
        <v>3575</v>
      </c>
      <c r="C215" s="2976" t="s">
        <v>3576</v>
      </c>
      <c r="D215" s="2976">
        <v>33.770000000000003</v>
      </c>
      <c r="E215" s="3036" t="s">
        <v>4151</v>
      </c>
    </row>
    <row r="216" spans="1:5">
      <c r="A216" s="3035">
        <v>215</v>
      </c>
      <c r="B216" s="2976" t="s">
        <v>3577</v>
      </c>
      <c r="C216" s="2976" t="s">
        <v>3578</v>
      </c>
      <c r="D216" s="2976">
        <v>42.77</v>
      </c>
      <c r="E216" s="3036" t="s">
        <v>4151</v>
      </c>
    </row>
    <row r="217" spans="1:5">
      <c r="A217" s="3035">
        <v>216</v>
      </c>
      <c r="B217" s="2976" t="s">
        <v>3579</v>
      </c>
      <c r="C217" s="2976" t="s">
        <v>3580</v>
      </c>
      <c r="D217" s="2976">
        <v>40.159999999999997</v>
      </c>
      <c r="E217" s="3036" t="s">
        <v>4151</v>
      </c>
    </row>
    <row r="218" spans="1:5">
      <c r="A218" s="3035">
        <v>217</v>
      </c>
      <c r="B218" s="2976" t="s">
        <v>3581</v>
      </c>
      <c r="C218" s="2976" t="s">
        <v>3582</v>
      </c>
      <c r="D218" s="2976">
        <v>40.950000000000003</v>
      </c>
      <c r="E218" s="3036" t="s">
        <v>4151</v>
      </c>
    </row>
    <row r="219" spans="1:5">
      <c r="A219" s="3035">
        <v>218</v>
      </c>
      <c r="B219" s="2976" t="s">
        <v>3583</v>
      </c>
      <c r="C219" s="2976" t="s">
        <v>3584</v>
      </c>
      <c r="D219" s="2976">
        <v>42.77</v>
      </c>
      <c r="E219" s="3036" t="s">
        <v>4151</v>
      </c>
    </row>
    <row r="220" spans="1:5">
      <c r="A220" s="3035">
        <v>219</v>
      </c>
      <c r="B220" s="2976" t="s">
        <v>3585</v>
      </c>
      <c r="C220" s="2976" t="s">
        <v>3586</v>
      </c>
      <c r="D220" s="2976">
        <v>42.77</v>
      </c>
      <c r="E220" s="3036" t="s">
        <v>4151</v>
      </c>
    </row>
    <row r="221" spans="1:5">
      <c r="A221" s="3035">
        <v>220</v>
      </c>
      <c r="B221" s="2976" t="s">
        <v>3587</v>
      </c>
      <c r="C221" s="2976" t="s">
        <v>3588</v>
      </c>
      <c r="D221" s="2976">
        <v>42.77</v>
      </c>
      <c r="E221" s="3036" t="s">
        <v>4151</v>
      </c>
    </row>
    <row r="222" spans="1:5">
      <c r="A222" s="3035">
        <v>221</v>
      </c>
      <c r="B222" s="2976" t="s">
        <v>3589</v>
      </c>
      <c r="C222" s="2976" t="s">
        <v>3590</v>
      </c>
      <c r="D222" s="2976">
        <v>42.77</v>
      </c>
      <c r="E222" s="3036" t="s">
        <v>4151</v>
      </c>
    </row>
    <row r="223" spans="1:5">
      <c r="A223" s="3035">
        <v>222</v>
      </c>
      <c r="B223" s="2976" t="s">
        <v>3591</v>
      </c>
      <c r="C223" s="2976" t="s">
        <v>3592</v>
      </c>
      <c r="D223" s="2976">
        <v>44.11</v>
      </c>
      <c r="E223" s="3036" t="s">
        <v>4151</v>
      </c>
    </row>
    <row r="224" spans="1:5">
      <c r="A224" s="3035">
        <v>223</v>
      </c>
      <c r="B224" s="2976" t="s">
        <v>3593</v>
      </c>
      <c r="C224" s="2976" t="s">
        <v>3594</v>
      </c>
      <c r="D224" s="2976">
        <v>43.33</v>
      </c>
      <c r="E224" s="3036" t="s">
        <v>4151</v>
      </c>
    </row>
    <row r="225" spans="1:5">
      <c r="A225" s="3035">
        <v>224</v>
      </c>
      <c r="B225" s="2976" t="s">
        <v>3595</v>
      </c>
      <c r="C225" s="2976" t="s">
        <v>3596</v>
      </c>
      <c r="D225" s="2976">
        <v>25.2</v>
      </c>
      <c r="E225" s="3036" t="s">
        <v>4151</v>
      </c>
    </row>
    <row r="226" spans="1:5">
      <c r="A226" s="3035">
        <v>225</v>
      </c>
      <c r="B226" s="2976" t="s">
        <v>3597</v>
      </c>
      <c r="C226" s="2976" t="s">
        <v>3598</v>
      </c>
      <c r="D226" s="2976">
        <v>33.79</v>
      </c>
      <c r="E226" s="3036" t="s">
        <v>4151</v>
      </c>
    </row>
    <row r="227" spans="1:5">
      <c r="A227" s="3035">
        <v>226</v>
      </c>
      <c r="B227" s="2976" t="s">
        <v>3599</v>
      </c>
      <c r="C227" s="2976" t="s">
        <v>3600</v>
      </c>
      <c r="D227" s="2976">
        <v>31.46</v>
      </c>
      <c r="E227" s="3036" t="s">
        <v>4151</v>
      </c>
    </row>
    <row r="228" spans="1:5">
      <c r="A228" s="3035">
        <v>227</v>
      </c>
      <c r="B228" s="2976" t="s">
        <v>3601</v>
      </c>
      <c r="C228" s="2976" t="s">
        <v>3602</v>
      </c>
      <c r="D228" s="2976">
        <v>27.53</v>
      </c>
      <c r="E228" s="3036" t="s">
        <v>4151</v>
      </c>
    </row>
    <row r="229" spans="1:5">
      <c r="A229" s="3035">
        <v>228</v>
      </c>
      <c r="B229" s="2976" t="s">
        <v>3603</v>
      </c>
      <c r="C229" s="2976" t="s">
        <v>3604</v>
      </c>
      <c r="D229" s="2976">
        <v>27.53</v>
      </c>
      <c r="E229" s="3036" t="s">
        <v>4151</v>
      </c>
    </row>
    <row r="230" spans="1:5">
      <c r="A230" s="3035">
        <v>229</v>
      </c>
      <c r="B230" s="2976" t="s">
        <v>3605</v>
      </c>
      <c r="C230" s="2976" t="s">
        <v>3606</v>
      </c>
      <c r="D230" s="2976">
        <v>31.46</v>
      </c>
      <c r="E230" s="3036" t="s">
        <v>4151</v>
      </c>
    </row>
    <row r="231" spans="1:5">
      <c r="A231" s="3035">
        <v>230</v>
      </c>
      <c r="B231" s="2976" t="s">
        <v>3607</v>
      </c>
      <c r="C231" s="2976" t="s">
        <v>3608</v>
      </c>
      <c r="D231" s="2976">
        <v>31.46</v>
      </c>
      <c r="E231" s="3036" t="s">
        <v>4151</v>
      </c>
    </row>
    <row r="232" spans="1:5">
      <c r="A232" s="3035">
        <v>231</v>
      </c>
      <c r="B232" s="2976" t="s">
        <v>3609</v>
      </c>
      <c r="C232" s="2976" t="s">
        <v>3610</v>
      </c>
      <c r="D232" s="2976">
        <v>27.53</v>
      </c>
      <c r="E232" s="3036" t="s">
        <v>4151</v>
      </c>
    </row>
    <row r="233" spans="1:5">
      <c r="A233" s="3035">
        <v>232</v>
      </c>
      <c r="B233" s="2976" t="s">
        <v>3611</v>
      </c>
      <c r="C233" s="2976" t="s">
        <v>3612</v>
      </c>
      <c r="D233" s="2976">
        <v>27.53</v>
      </c>
      <c r="E233" s="3036" t="s">
        <v>4151</v>
      </c>
    </row>
    <row r="234" spans="1:5">
      <c r="A234" s="3035">
        <v>233</v>
      </c>
      <c r="B234" s="2976" t="s">
        <v>3613</v>
      </c>
      <c r="C234" s="2976" t="s">
        <v>3614</v>
      </c>
      <c r="D234" s="2976">
        <v>31.46</v>
      </c>
      <c r="E234" s="3036" t="s">
        <v>4151</v>
      </c>
    </row>
    <row r="235" spans="1:5">
      <c r="A235" s="3035">
        <v>234</v>
      </c>
      <c r="B235" s="2976" t="s">
        <v>3615</v>
      </c>
      <c r="C235" s="2976" t="s">
        <v>3616</v>
      </c>
      <c r="D235" s="2976">
        <v>33.79</v>
      </c>
      <c r="E235" s="3036" t="s">
        <v>4151</v>
      </c>
    </row>
    <row r="236" spans="1:5">
      <c r="A236" s="3035">
        <v>235</v>
      </c>
      <c r="B236" s="2976" t="s">
        <v>3617</v>
      </c>
      <c r="C236" s="2976" t="s">
        <v>3618</v>
      </c>
      <c r="D236" s="2976">
        <v>25.15</v>
      </c>
      <c r="E236" s="3036" t="s">
        <v>4151</v>
      </c>
    </row>
    <row r="237" spans="1:5">
      <c r="A237" s="3035">
        <v>236</v>
      </c>
      <c r="B237" s="2976" t="s">
        <v>3619</v>
      </c>
      <c r="C237" s="2976" t="s">
        <v>3620</v>
      </c>
      <c r="D237" s="2976">
        <v>43.33</v>
      </c>
      <c r="E237" s="3036" t="s">
        <v>4151</v>
      </c>
    </row>
    <row r="238" spans="1:5">
      <c r="A238" s="3035">
        <v>237</v>
      </c>
      <c r="B238" s="2976" t="s">
        <v>3621</v>
      </c>
      <c r="C238" s="2976" t="s">
        <v>3622</v>
      </c>
      <c r="D238" s="2976">
        <v>44.11</v>
      </c>
      <c r="E238" s="3036" t="s">
        <v>4151</v>
      </c>
    </row>
    <row r="239" spans="1:5">
      <c r="A239" s="3035">
        <v>238</v>
      </c>
      <c r="B239" s="2976" t="s">
        <v>3623</v>
      </c>
      <c r="C239" s="2976" t="s">
        <v>3624</v>
      </c>
      <c r="D239" s="2976">
        <v>42.77</v>
      </c>
      <c r="E239" s="3036" t="s">
        <v>4151</v>
      </c>
    </row>
    <row r="240" spans="1:5">
      <c r="A240" s="3035">
        <v>239</v>
      </c>
      <c r="B240" s="2976" t="s">
        <v>3625</v>
      </c>
      <c r="C240" s="2976" t="s">
        <v>3626</v>
      </c>
      <c r="D240" s="2976">
        <v>42.77</v>
      </c>
      <c r="E240" s="3036" t="s">
        <v>4151</v>
      </c>
    </row>
    <row r="241" spans="1:5">
      <c r="A241" s="3035">
        <v>240</v>
      </c>
      <c r="B241" s="2976" t="s">
        <v>3627</v>
      </c>
      <c r="C241" s="2976" t="s">
        <v>3628</v>
      </c>
      <c r="D241" s="2976">
        <v>42.77</v>
      </c>
      <c r="E241" s="3036" t="s">
        <v>4151</v>
      </c>
    </row>
    <row r="242" spans="1:5">
      <c r="A242" s="3035">
        <v>241</v>
      </c>
      <c r="B242" s="2976" t="s">
        <v>3629</v>
      </c>
      <c r="C242" s="2976" t="s">
        <v>3630</v>
      </c>
      <c r="D242" s="2976">
        <v>42.77</v>
      </c>
      <c r="E242" s="3036" t="s">
        <v>4151</v>
      </c>
    </row>
    <row r="243" spans="1:5">
      <c r="A243" s="3035">
        <v>242</v>
      </c>
      <c r="B243" s="2976" t="s">
        <v>3631</v>
      </c>
      <c r="C243" s="2976" t="s">
        <v>3632</v>
      </c>
      <c r="D243" s="2976">
        <v>40.950000000000003</v>
      </c>
      <c r="E243" s="3036" t="s">
        <v>4151</v>
      </c>
    </row>
    <row r="244" spans="1:5">
      <c r="A244" s="3035">
        <v>243</v>
      </c>
      <c r="B244" s="2976" t="s">
        <v>3633</v>
      </c>
      <c r="C244" s="2976" t="s">
        <v>3634</v>
      </c>
      <c r="D244" s="2976">
        <v>40.159999999999997</v>
      </c>
      <c r="E244" s="3036" t="s">
        <v>4151</v>
      </c>
    </row>
    <row r="245" spans="1:5">
      <c r="A245" s="3035">
        <v>244</v>
      </c>
      <c r="B245" s="2976" t="s">
        <v>3635</v>
      </c>
      <c r="C245" s="2976" t="s">
        <v>3636</v>
      </c>
      <c r="D245" s="2976">
        <v>42.77</v>
      </c>
      <c r="E245" s="3036" t="s">
        <v>4151</v>
      </c>
    </row>
    <row r="246" spans="1:5">
      <c r="A246" s="3035">
        <v>245</v>
      </c>
      <c r="B246" s="2976" t="s">
        <v>3637</v>
      </c>
      <c r="C246" s="2976" t="s">
        <v>3638</v>
      </c>
      <c r="D246" s="2976">
        <v>33.770000000000003</v>
      </c>
      <c r="E246" s="3036" t="s">
        <v>4151</v>
      </c>
    </row>
    <row r="247" spans="1:5">
      <c r="A247" s="3035">
        <v>246</v>
      </c>
      <c r="B247" s="2976" t="s">
        <v>3639</v>
      </c>
      <c r="C247" s="2976" t="s">
        <v>3640</v>
      </c>
      <c r="D247" s="2976">
        <v>56.83</v>
      </c>
      <c r="E247" s="3036" t="s">
        <v>4151</v>
      </c>
    </row>
    <row r="248" spans="1:5">
      <c r="A248" s="3035">
        <v>247</v>
      </c>
      <c r="B248" s="2976" t="s">
        <v>3641</v>
      </c>
      <c r="C248" s="2976" t="s">
        <v>3642</v>
      </c>
      <c r="D248" s="2976">
        <v>21.72</v>
      </c>
      <c r="E248" s="3036" t="s">
        <v>4151</v>
      </c>
    </row>
    <row r="249" spans="1:5">
      <c r="A249" s="3035">
        <v>248</v>
      </c>
      <c r="B249" s="2976" t="s">
        <v>3643</v>
      </c>
      <c r="C249" s="2976" t="s">
        <v>3644</v>
      </c>
      <c r="D249" s="2976">
        <v>25.18</v>
      </c>
      <c r="E249" s="3036" t="s">
        <v>4151</v>
      </c>
    </row>
    <row r="250" spans="1:5">
      <c r="A250" s="3035">
        <v>249</v>
      </c>
      <c r="B250" s="2976" t="s">
        <v>3645</v>
      </c>
      <c r="C250" s="2976" t="s">
        <v>3646</v>
      </c>
      <c r="D250" s="2976">
        <v>45.6</v>
      </c>
      <c r="E250" s="3036" t="s">
        <v>4151</v>
      </c>
    </row>
    <row r="251" spans="1:5">
      <c r="A251" s="3035">
        <v>250</v>
      </c>
      <c r="B251" s="2976" t="s">
        <v>3647</v>
      </c>
      <c r="C251" s="2976" t="s">
        <v>3648</v>
      </c>
      <c r="D251" s="2976">
        <v>108</v>
      </c>
      <c r="E251" s="3036" t="s">
        <v>4151</v>
      </c>
    </row>
    <row r="252" spans="1:5">
      <c r="A252" s="3035">
        <v>251</v>
      </c>
      <c r="B252" s="2976" t="s">
        <v>3649</v>
      </c>
      <c r="C252" s="2976" t="s">
        <v>3650</v>
      </c>
      <c r="D252" s="2976">
        <v>118.55</v>
      </c>
      <c r="E252" s="3036" t="s">
        <v>4151</v>
      </c>
    </row>
    <row r="253" spans="1:5">
      <c r="A253" s="3035">
        <v>252</v>
      </c>
      <c r="B253" s="2976" t="s">
        <v>3651</v>
      </c>
      <c r="C253" s="2976" t="s">
        <v>3652</v>
      </c>
      <c r="D253" s="2976">
        <v>123.39</v>
      </c>
      <c r="E253" s="3036" t="s">
        <v>4151</v>
      </c>
    </row>
    <row r="254" spans="1:5">
      <c r="A254" s="3035">
        <v>253</v>
      </c>
      <c r="B254" s="2976" t="s">
        <v>3653</v>
      </c>
      <c r="C254" s="2976" t="s">
        <v>3654</v>
      </c>
      <c r="D254" s="2976">
        <v>226.32</v>
      </c>
      <c r="E254" s="3036" t="s">
        <v>4151</v>
      </c>
    </row>
    <row r="255" spans="1:5">
      <c r="A255" s="3035">
        <v>254</v>
      </c>
      <c r="B255" s="2976" t="s">
        <v>3655</v>
      </c>
      <c r="C255" s="2976" t="s">
        <v>3656</v>
      </c>
      <c r="D255" s="2976">
        <v>156.44999999999999</v>
      </c>
      <c r="E255" s="3036" t="s">
        <v>4151</v>
      </c>
    </row>
    <row r="256" spans="1:5">
      <c r="A256" s="3035">
        <v>255</v>
      </c>
      <c r="B256" s="2976" t="s">
        <v>3657</v>
      </c>
      <c r="C256" s="2976" t="s">
        <v>3658</v>
      </c>
      <c r="D256" s="2976">
        <v>87.72</v>
      </c>
      <c r="E256" s="3036" t="s">
        <v>4151</v>
      </c>
    </row>
    <row r="257" spans="1:5">
      <c r="A257" s="3035">
        <v>256</v>
      </c>
      <c r="B257" s="2976" t="s">
        <v>3659</v>
      </c>
      <c r="C257" s="2976" t="s">
        <v>3660</v>
      </c>
      <c r="D257" s="2976">
        <v>71.41</v>
      </c>
      <c r="E257" s="3036" t="s">
        <v>4151</v>
      </c>
    </row>
    <row r="258" spans="1:5">
      <c r="A258" s="3035">
        <v>257</v>
      </c>
      <c r="B258" s="2976" t="s">
        <v>3661</v>
      </c>
      <c r="C258" s="2976" t="s">
        <v>3662</v>
      </c>
      <c r="D258" s="2976">
        <v>183.35</v>
      </c>
      <c r="E258" s="3036" t="s">
        <v>4151</v>
      </c>
    </row>
    <row r="259" spans="1:5">
      <c r="A259" s="3035">
        <v>258</v>
      </c>
      <c r="B259" s="2976" t="s">
        <v>3663</v>
      </c>
      <c r="C259" s="2976" t="s">
        <v>3664</v>
      </c>
      <c r="D259" s="2976">
        <v>203.49</v>
      </c>
      <c r="E259" s="3036" t="s">
        <v>4151</v>
      </c>
    </row>
    <row r="260" spans="1:5">
      <c r="A260" s="3035">
        <v>259</v>
      </c>
      <c r="B260" s="2976" t="s">
        <v>3665</v>
      </c>
      <c r="C260" s="2976" t="s">
        <v>3666</v>
      </c>
      <c r="D260" s="2976">
        <v>143.85</v>
      </c>
      <c r="E260" s="3036" t="s">
        <v>4151</v>
      </c>
    </row>
    <row r="261" spans="1:5">
      <c r="A261" s="3035">
        <v>260</v>
      </c>
      <c r="B261" s="2976" t="s">
        <v>3667</v>
      </c>
      <c r="C261" s="2976" t="s">
        <v>3668</v>
      </c>
      <c r="D261" s="2976">
        <v>144.99</v>
      </c>
      <c r="E261" s="3036" t="s">
        <v>4151</v>
      </c>
    </row>
    <row r="262" spans="1:5">
      <c r="A262" s="3035">
        <v>261</v>
      </c>
      <c r="B262" s="2976" t="s">
        <v>3669</v>
      </c>
      <c r="C262" s="2976" t="s">
        <v>3670</v>
      </c>
      <c r="D262" s="2976">
        <v>155.53</v>
      </c>
      <c r="E262" s="3036" t="s">
        <v>4151</v>
      </c>
    </row>
    <row r="263" spans="1:5">
      <c r="A263" s="3035">
        <v>262</v>
      </c>
      <c r="B263" s="2976" t="s">
        <v>3671</v>
      </c>
      <c r="C263" s="2976" t="s">
        <v>3672</v>
      </c>
      <c r="D263" s="2976">
        <v>136.25</v>
      </c>
      <c r="E263" s="3036" t="s">
        <v>4151</v>
      </c>
    </row>
    <row r="264" spans="1:5">
      <c r="A264" s="3035">
        <v>263</v>
      </c>
      <c r="B264" s="2976" t="s">
        <v>3673</v>
      </c>
      <c r="C264" s="2976" t="s">
        <v>3674</v>
      </c>
      <c r="D264" s="2976">
        <v>235.24</v>
      </c>
      <c r="E264" s="3036" t="s">
        <v>4151</v>
      </c>
    </row>
    <row r="265" spans="1:5">
      <c r="A265" s="3035">
        <v>264</v>
      </c>
      <c r="B265" s="2976" t="s">
        <v>3675</v>
      </c>
      <c r="C265" s="2976" t="s">
        <v>3676</v>
      </c>
      <c r="D265" s="2976">
        <v>235.24</v>
      </c>
      <c r="E265" s="3036" t="s">
        <v>4151</v>
      </c>
    </row>
    <row r="266" spans="1:5">
      <c r="A266" s="3035">
        <v>265</v>
      </c>
      <c r="B266" s="2976" t="s">
        <v>3677</v>
      </c>
      <c r="C266" s="2976" t="s">
        <v>3678</v>
      </c>
      <c r="D266" s="2976">
        <v>136.25</v>
      </c>
      <c r="E266" s="3036" t="s">
        <v>4151</v>
      </c>
    </row>
    <row r="267" spans="1:5">
      <c r="A267" s="3035">
        <v>266</v>
      </c>
      <c r="B267" s="2976" t="s">
        <v>3679</v>
      </c>
      <c r="C267" s="2976" t="s">
        <v>3680</v>
      </c>
      <c r="D267" s="2976">
        <v>155.53</v>
      </c>
      <c r="E267" s="3036" t="s">
        <v>4151</v>
      </c>
    </row>
    <row r="268" spans="1:5">
      <c r="A268" s="3035">
        <v>267</v>
      </c>
      <c r="B268" s="2976" t="s">
        <v>3681</v>
      </c>
      <c r="C268" s="2976" t="s">
        <v>3682</v>
      </c>
      <c r="D268" s="2976">
        <v>144.99</v>
      </c>
      <c r="E268" s="3036" t="s">
        <v>4151</v>
      </c>
    </row>
    <row r="269" spans="1:5">
      <c r="A269" s="3035">
        <v>268</v>
      </c>
      <c r="B269" s="2976" t="s">
        <v>3683</v>
      </c>
      <c r="C269" s="2976" t="s">
        <v>3684</v>
      </c>
      <c r="D269" s="2976">
        <v>144.13</v>
      </c>
      <c r="E269" s="3036" t="s">
        <v>4151</v>
      </c>
    </row>
    <row r="270" spans="1:5">
      <c r="A270" s="3035">
        <v>269</v>
      </c>
      <c r="B270" s="2976" t="s">
        <v>3685</v>
      </c>
      <c r="C270" s="2976" t="s">
        <v>3686</v>
      </c>
      <c r="D270" s="2976">
        <v>206.6</v>
      </c>
      <c r="E270" s="3036" t="s">
        <v>4151</v>
      </c>
    </row>
    <row r="271" spans="1:5">
      <c r="A271" s="3035">
        <v>270</v>
      </c>
      <c r="B271" s="2976" t="s">
        <v>3687</v>
      </c>
      <c r="C271" s="2976" t="s">
        <v>3688</v>
      </c>
      <c r="D271" s="2976">
        <v>183.35</v>
      </c>
      <c r="E271" s="3036" t="s">
        <v>4151</v>
      </c>
    </row>
    <row r="272" spans="1:5">
      <c r="A272" s="3035">
        <v>271</v>
      </c>
      <c r="B272" s="2976" t="s">
        <v>3689</v>
      </c>
      <c r="C272" s="2976" t="s">
        <v>3690</v>
      </c>
      <c r="D272" s="2976">
        <v>71.41</v>
      </c>
      <c r="E272" s="3036" t="s">
        <v>4151</v>
      </c>
    </row>
    <row r="273" spans="1:5">
      <c r="A273" s="3035">
        <v>272</v>
      </c>
      <c r="B273" s="2976" t="s">
        <v>3691</v>
      </c>
      <c r="C273" s="2976" t="s">
        <v>3692</v>
      </c>
      <c r="D273" s="2976">
        <v>87.72</v>
      </c>
      <c r="E273" s="3036" t="s">
        <v>4151</v>
      </c>
    </row>
    <row r="274" spans="1:5">
      <c r="A274" s="3035">
        <v>273</v>
      </c>
      <c r="B274" s="2976" t="s">
        <v>3693</v>
      </c>
      <c r="C274" s="2976" t="s">
        <v>3694</v>
      </c>
      <c r="D274" s="2976">
        <v>156.53</v>
      </c>
      <c r="E274" s="3036" t="s">
        <v>4151</v>
      </c>
    </row>
    <row r="275" spans="1:5">
      <c r="A275" s="3035">
        <v>274</v>
      </c>
      <c r="B275" s="2976" t="s">
        <v>3695</v>
      </c>
      <c r="C275" s="2976" t="s">
        <v>3696</v>
      </c>
      <c r="D275" s="2976">
        <v>226.45</v>
      </c>
      <c r="E275" s="3036" t="s">
        <v>4151</v>
      </c>
    </row>
    <row r="276" spans="1:5">
      <c r="A276" s="3035">
        <v>275</v>
      </c>
      <c r="B276" s="2976" t="s">
        <v>3697</v>
      </c>
      <c r="C276" s="2976" t="s">
        <v>3698</v>
      </c>
      <c r="D276" s="2976">
        <v>91.69</v>
      </c>
      <c r="E276" s="3036" t="s">
        <v>4151</v>
      </c>
    </row>
    <row r="277" spans="1:5">
      <c r="A277" s="3035">
        <v>276</v>
      </c>
      <c r="B277" s="2976" t="s">
        <v>3699</v>
      </c>
      <c r="C277" s="2976" t="s">
        <v>3700</v>
      </c>
      <c r="D277" s="2976">
        <v>3857.79</v>
      </c>
      <c r="E277" s="3036" t="s">
        <v>4151</v>
      </c>
    </row>
    <row r="278" spans="1:5">
      <c r="A278" s="3035">
        <v>277</v>
      </c>
      <c r="B278" s="2976" t="s">
        <v>3701</v>
      </c>
      <c r="C278" s="2976" t="s">
        <v>3702</v>
      </c>
      <c r="D278" s="2976">
        <v>121.51</v>
      </c>
      <c r="E278" s="3036" t="s">
        <v>4151</v>
      </c>
    </row>
    <row r="279" spans="1:5">
      <c r="A279" s="3035">
        <v>278</v>
      </c>
      <c r="B279" s="2976" t="s">
        <v>3703</v>
      </c>
      <c r="C279" s="2976" t="s">
        <v>3704</v>
      </c>
      <c r="D279" s="2976">
        <v>111.93</v>
      </c>
      <c r="E279" s="3036" t="s">
        <v>4151</v>
      </c>
    </row>
    <row r="280" spans="1:5">
      <c r="A280" s="3035">
        <v>279</v>
      </c>
      <c r="B280" s="2976" t="s">
        <v>3705</v>
      </c>
      <c r="C280" s="2976" t="s">
        <v>3706</v>
      </c>
      <c r="D280" s="2976">
        <v>107.36</v>
      </c>
      <c r="E280" s="3036" t="s">
        <v>4151</v>
      </c>
    </row>
    <row r="281" spans="1:5">
      <c r="A281" s="3035">
        <v>280</v>
      </c>
      <c r="B281" s="2976" t="s">
        <v>3707</v>
      </c>
      <c r="C281" s="2976" t="s">
        <v>3708</v>
      </c>
      <c r="D281" s="2976">
        <v>107.36</v>
      </c>
      <c r="E281" s="3036" t="s">
        <v>4151</v>
      </c>
    </row>
    <row r="282" spans="1:5">
      <c r="A282" s="3035">
        <v>281</v>
      </c>
      <c r="B282" s="2976" t="s">
        <v>3709</v>
      </c>
      <c r="C282" s="2976" t="s">
        <v>3710</v>
      </c>
      <c r="D282" s="2976">
        <v>92.52</v>
      </c>
      <c r="E282" s="3036" t="s">
        <v>4151</v>
      </c>
    </row>
    <row r="283" spans="1:5">
      <c r="A283" s="3035">
        <v>282</v>
      </c>
      <c r="B283" s="2976" t="s">
        <v>3711</v>
      </c>
      <c r="C283" s="2976" t="s">
        <v>3712</v>
      </c>
      <c r="D283" s="2976">
        <v>92.52</v>
      </c>
      <c r="E283" s="3036" t="s">
        <v>4151</v>
      </c>
    </row>
    <row r="284" spans="1:5">
      <c r="A284" s="3035">
        <v>283</v>
      </c>
      <c r="B284" s="2976" t="s">
        <v>3713</v>
      </c>
      <c r="C284" s="2976" t="s">
        <v>3714</v>
      </c>
      <c r="D284" s="2976">
        <v>100.51</v>
      </c>
      <c r="E284" s="3036" t="s">
        <v>4151</v>
      </c>
    </row>
    <row r="285" spans="1:5">
      <c r="A285" s="3035">
        <v>284</v>
      </c>
      <c r="B285" s="2976" t="s">
        <v>3715</v>
      </c>
      <c r="C285" s="2976" t="s">
        <v>3716</v>
      </c>
      <c r="D285" s="2976">
        <v>148.01</v>
      </c>
      <c r="E285" s="3036" t="s">
        <v>4151</v>
      </c>
    </row>
    <row r="286" spans="1:5">
      <c r="A286" s="3035">
        <v>285</v>
      </c>
      <c r="B286" s="2976" t="s">
        <v>3717</v>
      </c>
      <c r="C286" s="2976" t="s">
        <v>3718</v>
      </c>
      <c r="D286" s="2976">
        <v>166.43</v>
      </c>
      <c r="E286" s="3036" t="s">
        <v>4151</v>
      </c>
    </row>
    <row r="287" spans="1:5">
      <c r="A287" s="3035">
        <v>286</v>
      </c>
      <c r="B287" s="2976" t="s">
        <v>3719</v>
      </c>
      <c r="C287" s="2976" t="s">
        <v>3720</v>
      </c>
      <c r="D287" s="2976">
        <v>226.71</v>
      </c>
      <c r="E287" s="3036" t="s">
        <v>4151</v>
      </c>
    </row>
    <row r="288" spans="1:5">
      <c r="A288" s="3035">
        <v>287</v>
      </c>
      <c r="B288" s="2976" t="s">
        <v>3721</v>
      </c>
      <c r="C288" s="2976" t="s">
        <v>3722</v>
      </c>
      <c r="D288" s="2976">
        <v>132.12</v>
      </c>
      <c r="E288" s="3036" t="s">
        <v>4151</v>
      </c>
    </row>
    <row r="289" spans="1:5">
      <c r="A289" s="3035">
        <v>288</v>
      </c>
      <c r="B289" s="2976" t="s">
        <v>3723</v>
      </c>
      <c r="C289" s="2976" t="s">
        <v>3724</v>
      </c>
      <c r="D289" s="2976">
        <v>134.58000000000001</v>
      </c>
      <c r="E289" s="3036" t="s">
        <v>4151</v>
      </c>
    </row>
    <row r="290" spans="1:5">
      <c r="A290" s="3035">
        <v>289</v>
      </c>
      <c r="B290" s="2976" t="s">
        <v>3725</v>
      </c>
      <c r="C290" s="2976" t="s">
        <v>3726</v>
      </c>
      <c r="D290" s="2976">
        <v>144.88</v>
      </c>
      <c r="E290" s="3036" t="s">
        <v>4151</v>
      </c>
    </row>
    <row r="291" spans="1:5">
      <c r="A291" s="3035">
        <v>290</v>
      </c>
      <c r="B291" s="2976" t="s">
        <v>3727</v>
      </c>
      <c r="C291" s="2976" t="s">
        <v>3728</v>
      </c>
      <c r="D291" s="2976">
        <v>46.77</v>
      </c>
      <c r="E291" s="3036" t="s">
        <v>4151</v>
      </c>
    </row>
    <row r="292" spans="1:5">
      <c r="A292" s="3035">
        <v>291</v>
      </c>
      <c r="B292" s="2976" t="s">
        <v>3729</v>
      </c>
      <c r="C292" s="2976" t="s">
        <v>3730</v>
      </c>
      <c r="D292" s="2976">
        <v>52.49</v>
      </c>
      <c r="E292" s="3036" t="s">
        <v>4151</v>
      </c>
    </row>
    <row r="293" spans="1:5">
      <c r="A293" s="3035">
        <v>292</v>
      </c>
      <c r="B293" s="2976" t="s">
        <v>3731</v>
      </c>
      <c r="C293" s="2976" t="s">
        <v>3732</v>
      </c>
      <c r="D293" s="2976">
        <v>52.02</v>
      </c>
      <c r="E293" s="3036" t="s">
        <v>4151</v>
      </c>
    </row>
    <row r="294" spans="1:5">
      <c r="A294" s="3035">
        <v>293</v>
      </c>
      <c r="B294" s="2976" t="s">
        <v>3733</v>
      </c>
      <c r="C294" s="2976" t="s">
        <v>3734</v>
      </c>
      <c r="D294" s="2976">
        <v>45.35</v>
      </c>
      <c r="E294" s="3036" t="s">
        <v>4151</v>
      </c>
    </row>
    <row r="295" spans="1:5">
      <c r="A295" s="3035">
        <v>294</v>
      </c>
      <c r="B295" s="2976" t="s">
        <v>3735</v>
      </c>
      <c r="C295" s="2976" t="s">
        <v>3736</v>
      </c>
      <c r="D295" s="2976">
        <v>49.22</v>
      </c>
      <c r="E295" s="3036" t="s">
        <v>4151</v>
      </c>
    </row>
    <row r="296" spans="1:5">
      <c r="A296" s="3035">
        <v>295</v>
      </c>
      <c r="B296" s="2976" t="s">
        <v>3737</v>
      </c>
      <c r="C296" s="2976" t="s">
        <v>3738</v>
      </c>
      <c r="D296" s="2976">
        <v>43.52</v>
      </c>
      <c r="E296" s="3036" t="s">
        <v>4151</v>
      </c>
    </row>
    <row r="297" spans="1:5">
      <c r="A297" s="3035">
        <v>296</v>
      </c>
      <c r="B297" s="2976" t="s">
        <v>3739</v>
      </c>
      <c r="C297" s="2976" t="s">
        <v>3740</v>
      </c>
      <c r="D297" s="2976">
        <v>42.98</v>
      </c>
      <c r="E297" s="3036" t="s">
        <v>4151</v>
      </c>
    </row>
    <row r="298" spans="1:5">
      <c r="A298" s="3035">
        <v>297</v>
      </c>
      <c r="B298" s="2976" t="s">
        <v>3741</v>
      </c>
      <c r="C298" s="2976" t="s">
        <v>3742</v>
      </c>
      <c r="D298" s="2976">
        <v>39.22</v>
      </c>
      <c r="E298" s="3036" t="s">
        <v>4151</v>
      </c>
    </row>
    <row r="299" spans="1:5">
      <c r="A299" s="3035">
        <v>298</v>
      </c>
      <c r="B299" s="2976" t="s">
        <v>3743</v>
      </c>
      <c r="C299" s="2976" t="s">
        <v>3744</v>
      </c>
      <c r="D299" s="2976">
        <v>33.42</v>
      </c>
      <c r="E299" s="3036" t="s">
        <v>4151</v>
      </c>
    </row>
    <row r="300" spans="1:5">
      <c r="A300" s="3035">
        <v>299</v>
      </c>
      <c r="B300" s="2976" t="s">
        <v>3745</v>
      </c>
      <c r="C300" s="2976" t="s">
        <v>3746</v>
      </c>
      <c r="D300" s="2976">
        <v>40.659999999999997</v>
      </c>
      <c r="E300" s="3036" t="s">
        <v>4151</v>
      </c>
    </row>
    <row r="301" spans="1:5">
      <c r="A301" s="3035">
        <v>300</v>
      </c>
      <c r="B301" s="2976" t="s">
        <v>3747</v>
      </c>
      <c r="C301" s="2976" t="s">
        <v>3748</v>
      </c>
      <c r="D301" s="2976">
        <v>41.59</v>
      </c>
      <c r="E301" s="3036" t="s">
        <v>4151</v>
      </c>
    </row>
    <row r="302" spans="1:5">
      <c r="A302" s="3035">
        <v>301</v>
      </c>
      <c r="B302" s="2976" t="s">
        <v>3749</v>
      </c>
      <c r="C302" s="2976" t="s">
        <v>3750</v>
      </c>
      <c r="D302" s="2976">
        <v>42.53</v>
      </c>
      <c r="E302" s="3036" t="s">
        <v>4151</v>
      </c>
    </row>
    <row r="303" spans="1:5">
      <c r="A303" s="3035">
        <v>302</v>
      </c>
      <c r="B303" s="2976" t="s">
        <v>3751</v>
      </c>
      <c r="C303" s="2976" t="s">
        <v>3752</v>
      </c>
      <c r="D303" s="2976">
        <v>43.46</v>
      </c>
      <c r="E303" s="3036" t="s">
        <v>4151</v>
      </c>
    </row>
    <row r="304" spans="1:5">
      <c r="A304" s="3035">
        <v>303</v>
      </c>
      <c r="B304" s="2976" t="s">
        <v>3753</v>
      </c>
      <c r="C304" s="2976" t="s">
        <v>3754</v>
      </c>
      <c r="D304" s="2976">
        <v>45.27</v>
      </c>
      <c r="E304" s="3036" t="s">
        <v>4151</v>
      </c>
    </row>
    <row r="305" spans="1:5">
      <c r="A305" s="3035">
        <v>304</v>
      </c>
      <c r="B305" s="2976" t="s">
        <v>3755</v>
      </c>
      <c r="C305" s="2976" t="s">
        <v>3756</v>
      </c>
      <c r="D305" s="2976">
        <v>29.08</v>
      </c>
      <c r="E305" s="3036" t="s">
        <v>4151</v>
      </c>
    </row>
    <row r="306" spans="1:5">
      <c r="A306" s="3035">
        <v>305</v>
      </c>
      <c r="B306" s="2976" t="s">
        <v>3757</v>
      </c>
      <c r="C306" s="2976" t="s">
        <v>3758</v>
      </c>
      <c r="D306" s="2976">
        <v>34.43</v>
      </c>
      <c r="E306" s="3036" t="s">
        <v>4151</v>
      </c>
    </row>
    <row r="307" spans="1:5">
      <c r="A307" s="3035">
        <v>306</v>
      </c>
      <c r="B307" s="2976" t="s">
        <v>3759</v>
      </c>
      <c r="C307" s="2976" t="s">
        <v>3760</v>
      </c>
      <c r="D307" s="2976">
        <v>34.04</v>
      </c>
      <c r="E307" s="3036" t="s">
        <v>4151</v>
      </c>
    </row>
    <row r="308" spans="1:5">
      <c r="A308" s="3035">
        <v>307</v>
      </c>
      <c r="B308" s="2976" t="s">
        <v>3761</v>
      </c>
      <c r="C308" s="2976" t="s">
        <v>3762</v>
      </c>
      <c r="D308" s="2976">
        <v>33.18</v>
      </c>
      <c r="E308" s="3036" t="s">
        <v>4151</v>
      </c>
    </row>
    <row r="309" spans="1:5">
      <c r="A309" s="3035">
        <v>308</v>
      </c>
      <c r="B309" s="2976" t="s">
        <v>3763</v>
      </c>
      <c r="C309" s="2976" t="s">
        <v>3764</v>
      </c>
      <c r="D309" s="2976">
        <v>36.74</v>
      </c>
      <c r="E309" s="3036" t="s">
        <v>4151</v>
      </c>
    </row>
    <row r="310" spans="1:5">
      <c r="A310" s="3035">
        <v>309</v>
      </c>
      <c r="B310" s="2976" t="s">
        <v>3765</v>
      </c>
      <c r="C310" s="2976" t="s">
        <v>3766</v>
      </c>
      <c r="D310" s="2976">
        <v>36.74</v>
      </c>
      <c r="E310" s="3036" t="s">
        <v>4151</v>
      </c>
    </row>
    <row r="311" spans="1:5">
      <c r="A311" s="3035">
        <v>310</v>
      </c>
      <c r="B311" s="2976" t="s">
        <v>3767</v>
      </c>
      <c r="C311" s="2976" t="s">
        <v>3768</v>
      </c>
      <c r="D311" s="2976">
        <v>36.74</v>
      </c>
      <c r="E311" s="3036" t="s">
        <v>4151</v>
      </c>
    </row>
    <row r="312" spans="1:5">
      <c r="A312" s="3035">
        <v>311</v>
      </c>
      <c r="B312" s="2976" t="s">
        <v>3769</v>
      </c>
      <c r="C312" s="2976" t="s">
        <v>3770</v>
      </c>
      <c r="D312" s="2976">
        <v>32.32</v>
      </c>
      <c r="E312" s="3036" t="s">
        <v>4151</v>
      </c>
    </row>
    <row r="313" spans="1:5">
      <c r="A313" s="3035">
        <v>312</v>
      </c>
      <c r="B313" s="2976" t="s">
        <v>3771</v>
      </c>
      <c r="C313" s="2976" t="s">
        <v>3772</v>
      </c>
      <c r="D313" s="2976">
        <v>38.28</v>
      </c>
      <c r="E313" s="3036" t="s">
        <v>4151</v>
      </c>
    </row>
    <row r="314" spans="1:5">
      <c r="A314" s="3035">
        <v>313</v>
      </c>
      <c r="B314" s="2976" t="s">
        <v>3773</v>
      </c>
      <c r="C314" s="2976" t="s">
        <v>3774</v>
      </c>
      <c r="D314" s="2976">
        <v>64.239999999999995</v>
      </c>
      <c r="E314" s="3036" t="s">
        <v>4151</v>
      </c>
    </row>
    <row r="315" spans="1:5">
      <c r="A315" s="3035">
        <v>314</v>
      </c>
      <c r="B315" s="2976" t="s">
        <v>3775</v>
      </c>
      <c r="C315" s="2976" t="s">
        <v>3776</v>
      </c>
      <c r="D315" s="2976">
        <v>329.46</v>
      </c>
      <c r="E315" s="3036" t="s">
        <v>4151</v>
      </c>
    </row>
    <row r="316" spans="1:5">
      <c r="A316" s="3035">
        <v>315</v>
      </c>
      <c r="B316" s="2976" t="s">
        <v>3777</v>
      </c>
      <c r="C316" s="2976" t="s">
        <v>3778</v>
      </c>
      <c r="D316" s="2976">
        <v>260.02</v>
      </c>
      <c r="E316" s="3036" t="s">
        <v>4151</v>
      </c>
    </row>
    <row r="317" spans="1:5">
      <c r="A317" s="3035">
        <v>316</v>
      </c>
      <c r="B317" s="2976" t="s">
        <v>3779</v>
      </c>
      <c r="C317" s="2976" t="s">
        <v>3780</v>
      </c>
      <c r="D317" s="2976">
        <v>233.07</v>
      </c>
      <c r="E317" s="3036" t="s">
        <v>4151</v>
      </c>
    </row>
    <row r="318" spans="1:5">
      <c r="A318" s="3035">
        <v>317</v>
      </c>
      <c r="B318" s="2976" t="s">
        <v>3781</v>
      </c>
      <c r="C318" s="2976" t="s">
        <v>3782</v>
      </c>
      <c r="D318" s="2976">
        <v>56.9</v>
      </c>
      <c r="E318" s="3036" t="s">
        <v>4151</v>
      </c>
    </row>
    <row r="319" spans="1:5">
      <c r="A319" s="3035">
        <v>318</v>
      </c>
      <c r="B319" s="2976" t="s">
        <v>3783</v>
      </c>
      <c r="C319" s="2976" t="s">
        <v>3784</v>
      </c>
      <c r="D319" s="2976">
        <v>42.82</v>
      </c>
      <c r="E319" s="3036" t="s">
        <v>4151</v>
      </c>
    </row>
    <row r="320" spans="1:5">
      <c r="A320" s="3035">
        <v>319</v>
      </c>
      <c r="B320" s="2976" t="s">
        <v>3785</v>
      </c>
      <c r="C320" s="2976" t="s">
        <v>3786</v>
      </c>
      <c r="D320" s="2976">
        <v>33.81</v>
      </c>
      <c r="E320" s="3036" t="s">
        <v>4151</v>
      </c>
    </row>
    <row r="321" spans="1:5">
      <c r="A321" s="3035">
        <v>320</v>
      </c>
      <c r="B321" s="2976" t="s">
        <v>3787</v>
      </c>
      <c r="C321" s="2976" t="s">
        <v>3788</v>
      </c>
      <c r="D321" s="2976">
        <v>41</v>
      </c>
      <c r="E321" s="3036" t="s">
        <v>4151</v>
      </c>
    </row>
    <row r="322" spans="1:5">
      <c r="A322" s="3035">
        <v>321</v>
      </c>
      <c r="B322" s="2976" t="s">
        <v>3789</v>
      </c>
      <c r="C322" s="2976" t="s">
        <v>3790</v>
      </c>
      <c r="D322" s="2976">
        <v>40.21</v>
      </c>
      <c r="E322" s="3036" t="s">
        <v>4151</v>
      </c>
    </row>
    <row r="323" spans="1:5">
      <c r="A323" s="3035">
        <v>322</v>
      </c>
      <c r="B323" s="2976" t="s">
        <v>3791</v>
      </c>
      <c r="C323" s="2976" t="s">
        <v>3792</v>
      </c>
      <c r="D323" s="2976">
        <v>42.82</v>
      </c>
      <c r="E323" s="3036" t="s">
        <v>4151</v>
      </c>
    </row>
    <row r="324" spans="1:5">
      <c r="A324" s="3035">
        <v>323</v>
      </c>
      <c r="B324" s="2976" t="s">
        <v>3793</v>
      </c>
      <c r="C324" s="2976" t="s">
        <v>3794</v>
      </c>
      <c r="D324" s="2976">
        <v>42.82</v>
      </c>
      <c r="E324" s="3036" t="s">
        <v>4151</v>
      </c>
    </row>
    <row r="325" spans="1:5">
      <c r="A325" s="3035">
        <v>324</v>
      </c>
      <c r="B325" s="2976" t="s">
        <v>3795</v>
      </c>
      <c r="C325" s="2976" t="s">
        <v>3796</v>
      </c>
      <c r="D325" s="2976">
        <v>42.82</v>
      </c>
      <c r="E325" s="3036" t="s">
        <v>4151</v>
      </c>
    </row>
    <row r="326" spans="1:5">
      <c r="A326" s="3035">
        <v>325</v>
      </c>
      <c r="B326" s="2976" t="s">
        <v>3797</v>
      </c>
      <c r="C326" s="2976" t="s">
        <v>3798</v>
      </c>
      <c r="D326" s="2976">
        <v>42.82</v>
      </c>
      <c r="E326" s="3036" t="s">
        <v>4151</v>
      </c>
    </row>
    <row r="327" spans="1:5">
      <c r="A327" s="3035">
        <v>326</v>
      </c>
      <c r="B327" s="2976" t="s">
        <v>3799</v>
      </c>
      <c r="C327" s="2976" t="s">
        <v>3800</v>
      </c>
      <c r="D327" s="2976">
        <v>43.38</v>
      </c>
      <c r="E327" s="3036" t="s">
        <v>4151</v>
      </c>
    </row>
    <row r="328" spans="1:5">
      <c r="A328" s="3035">
        <v>327</v>
      </c>
      <c r="B328" s="2976" t="s">
        <v>3801</v>
      </c>
      <c r="C328" s="2976" t="s">
        <v>3802</v>
      </c>
      <c r="D328" s="2976">
        <v>44.17</v>
      </c>
      <c r="E328" s="3036" t="s">
        <v>4151</v>
      </c>
    </row>
    <row r="329" spans="1:5">
      <c r="A329" s="3035">
        <v>328</v>
      </c>
      <c r="B329" s="2976" t="s">
        <v>3803</v>
      </c>
      <c r="C329" s="2976" t="s">
        <v>3804</v>
      </c>
      <c r="D329" s="2976">
        <v>33.83</v>
      </c>
      <c r="E329" s="3036" t="s">
        <v>4151</v>
      </c>
    </row>
    <row r="330" spans="1:5">
      <c r="A330" s="3035">
        <v>329</v>
      </c>
      <c r="B330" s="2976" t="s">
        <v>3805</v>
      </c>
      <c r="C330" s="2976" t="s">
        <v>3806</v>
      </c>
      <c r="D330" s="2976">
        <v>25.22</v>
      </c>
      <c r="E330" s="3036" t="s">
        <v>4151</v>
      </c>
    </row>
    <row r="331" spans="1:5">
      <c r="A331" s="3035">
        <v>330</v>
      </c>
      <c r="B331" s="2976" t="s">
        <v>3807</v>
      </c>
      <c r="C331" s="2976" t="s">
        <v>3808</v>
      </c>
      <c r="D331" s="2976">
        <v>27.56</v>
      </c>
      <c r="E331" s="3036" t="s">
        <v>4151</v>
      </c>
    </row>
    <row r="332" spans="1:5">
      <c r="A332" s="3035">
        <v>331</v>
      </c>
      <c r="B332" s="2976" t="s">
        <v>3809</v>
      </c>
      <c r="C332" s="2976" t="s">
        <v>3810</v>
      </c>
      <c r="D332" s="2976">
        <v>31.49</v>
      </c>
      <c r="E332" s="3036" t="s">
        <v>4151</v>
      </c>
    </row>
    <row r="333" spans="1:5">
      <c r="A333" s="3035">
        <v>332</v>
      </c>
      <c r="B333" s="2976" t="s">
        <v>3811</v>
      </c>
      <c r="C333" s="2976" t="s">
        <v>3812</v>
      </c>
      <c r="D333" s="2976">
        <v>31.49</v>
      </c>
      <c r="E333" s="3036" t="s">
        <v>4151</v>
      </c>
    </row>
    <row r="334" spans="1:5">
      <c r="A334" s="3035">
        <v>333</v>
      </c>
      <c r="B334" s="2976" t="s">
        <v>3813</v>
      </c>
      <c r="C334" s="2976" t="s">
        <v>3814</v>
      </c>
      <c r="D334" s="2976">
        <v>27.56</v>
      </c>
      <c r="E334" s="3036" t="s">
        <v>4151</v>
      </c>
    </row>
    <row r="335" spans="1:5">
      <c r="A335" s="3035">
        <v>334</v>
      </c>
      <c r="B335" s="2976" t="s">
        <v>3815</v>
      </c>
      <c r="C335" s="2976" t="s">
        <v>3816</v>
      </c>
      <c r="D335" s="2976">
        <v>27.56</v>
      </c>
      <c r="E335" s="3036" t="s">
        <v>4151</v>
      </c>
    </row>
    <row r="336" spans="1:5">
      <c r="A336" s="3035">
        <v>335</v>
      </c>
      <c r="B336" s="2976" t="s">
        <v>3817</v>
      </c>
      <c r="C336" s="2976" t="s">
        <v>3818</v>
      </c>
      <c r="D336" s="2976">
        <v>31.49</v>
      </c>
      <c r="E336" s="3036" t="s">
        <v>4151</v>
      </c>
    </row>
    <row r="337" spans="1:5">
      <c r="A337" s="3035">
        <v>336</v>
      </c>
      <c r="B337" s="2976" t="s">
        <v>3819</v>
      </c>
      <c r="C337" s="2976" t="s">
        <v>3820</v>
      </c>
      <c r="D337" s="2976">
        <v>31.49</v>
      </c>
      <c r="E337" s="3036" t="s">
        <v>4151</v>
      </c>
    </row>
    <row r="338" spans="1:5">
      <c r="A338" s="3035">
        <v>337</v>
      </c>
      <c r="B338" s="2976" t="s">
        <v>3821</v>
      </c>
      <c r="C338" s="2976" t="s">
        <v>3822</v>
      </c>
      <c r="D338" s="2976">
        <v>27.56</v>
      </c>
      <c r="E338" s="3036" t="s">
        <v>4151</v>
      </c>
    </row>
    <row r="339" spans="1:5">
      <c r="A339" s="3035">
        <v>338</v>
      </c>
      <c r="B339" s="2976" t="s">
        <v>3823</v>
      </c>
      <c r="C339" s="2976" t="s">
        <v>3824</v>
      </c>
      <c r="D339" s="2976">
        <v>25.18</v>
      </c>
      <c r="E339" s="3036" t="s">
        <v>4151</v>
      </c>
    </row>
    <row r="340" spans="1:5">
      <c r="A340" s="3035">
        <v>339</v>
      </c>
      <c r="B340" s="2976" t="s">
        <v>3825</v>
      </c>
      <c r="C340" s="2976" t="s">
        <v>3826</v>
      </c>
      <c r="D340" s="2976">
        <v>33.83</v>
      </c>
      <c r="E340" s="3036" t="s">
        <v>4151</v>
      </c>
    </row>
    <row r="341" spans="1:5">
      <c r="A341" s="3035">
        <v>340</v>
      </c>
      <c r="B341" s="2976" t="s">
        <v>3827</v>
      </c>
      <c r="C341" s="2976" t="s">
        <v>3828</v>
      </c>
      <c r="D341" s="2976">
        <v>44.17</v>
      </c>
      <c r="E341" s="3036" t="s">
        <v>4151</v>
      </c>
    </row>
    <row r="342" spans="1:5">
      <c r="A342" s="3035">
        <v>341</v>
      </c>
      <c r="B342" s="2976" t="s">
        <v>3829</v>
      </c>
      <c r="C342" s="2976" t="s">
        <v>3830</v>
      </c>
      <c r="D342" s="2976">
        <v>43.38</v>
      </c>
      <c r="E342" s="3036" t="s">
        <v>4151</v>
      </c>
    </row>
    <row r="343" spans="1:5">
      <c r="A343" s="3035">
        <v>342</v>
      </c>
      <c r="B343" s="2976" t="s">
        <v>3831</v>
      </c>
      <c r="C343" s="2976" t="s">
        <v>3832</v>
      </c>
      <c r="D343" s="2976">
        <v>42.82</v>
      </c>
      <c r="E343" s="3036" t="s">
        <v>4151</v>
      </c>
    </row>
    <row r="344" spans="1:5">
      <c r="A344" s="3035">
        <v>343</v>
      </c>
      <c r="B344" s="2976" t="s">
        <v>3833</v>
      </c>
      <c r="C344" s="2976" t="s">
        <v>3834</v>
      </c>
      <c r="D344" s="2976">
        <v>42.82</v>
      </c>
      <c r="E344" s="3036" t="s">
        <v>4151</v>
      </c>
    </row>
    <row r="345" spans="1:5">
      <c r="A345" s="3035">
        <v>344</v>
      </c>
      <c r="B345" s="2976" t="s">
        <v>3835</v>
      </c>
      <c r="C345" s="2976" t="s">
        <v>3836</v>
      </c>
      <c r="D345" s="2976">
        <v>42.82</v>
      </c>
      <c r="E345" s="3036" t="s">
        <v>4151</v>
      </c>
    </row>
    <row r="346" spans="1:5">
      <c r="A346" s="3035">
        <v>345</v>
      </c>
      <c r="B346" s="2976" t="s">
        <v>3837</v>
      </c>
      <c r="C346" s="2976" t="s">
        <v>3838</v>
      </c>
      <c r="D346" s="2976">
        <v>42.82</v>
      </c>
      <c r="E346" s="3036" t="s">
        <v>4151</v>
      </c>
    </row>
    <row r="347" spans="1:5">
      <c r="A347" s="3035">
        <v>346</v>
      </c>
      <c r="B347" s="2976" t="s">
        <v>3839</v>
      </c>
      <c r="C347" s="2976" t="s">
        <v>3840</v>
      </c>
      <c r="D347" s="2976">
        <v>40.21</v>
      </c>
      <c r="E347" s="3036" t="s">
        <v>4151</v>
      </c>
    </row>
    <row r="348" spans="1:5">
      <c r="A348" s="3035">
        <v>347</v>
      </c>
      <c r="B348" s="2976" t="s">
        <v>3841</v>
      </c>
      <c r="C348" s="2976" t="s">
        <v>3842</v>
      </c>
      <c r="D348" s="2976">
        <v>41</v>
      </c>
      <c r="E348" s="3036" t="s">
        <v>4151</v>
      </c>
    </row>
    <row r="349" spans="1:5">
      <c r="A349" s="3035">
        <v>348</v>
      </c>
      <c r="B349" s="2976" t="s">
        <v>3843</v>
      </c>
      <c r="C349" s="2976" t="s">
        <v>3844</v>
      </c>
      <c r="D349" s="2976">
        <v>33.81</v>
      </c>
      <c r="E349" s="3036" t="s">
        <v>4151</v>
      </c>
    </row>
    <row r="350" spans="1:5">
      <c r="A350" s="3035">
        <v>349</v>
      </c>
      <c r="B350" s="2976" t="s">
        <v>3845</v>
      </c>
      <c r="C350" s="2976" t="s">
        <v>3846</v>
      </c>
      <c r="D350" s="2976">
        <v>42.82</v>
      </c>
      <c r="E350" s="3036" t="s">
        <v>4151</v>
      </c>
    </row>
    <row r="351" spans="1:5">
      <c r="A351" s="3035">
        <v>350</v>
      </c>
      <c r="B351" s="2976" t="s">
        <v>3847</v>
      </c>
      <c r="C351" s="2976" t="s">
        <v>3848</v>
      </c>
      <c r="D351" s="2976">
        <v>56.9</v>
      </c>
      <c r="E351" s="3036" t="s">
        <v>4151</v>
      </c>
    </row>
    <row r="352" spans="1:5">
      <c r="A352" s="3035">
        <v>351</v>
      </c>
      <c r="B352" s="2976" t="s">
        <v>3849</v>
      </c>
      <c r="C352" s="2976" t="s">
        <v>3850</v>
      </c>
      <c r="D352" s="2976">
        <v>21.74</v>
      </c>
      <c r="E352" s="3036" t="s">
        <v>4151</v>
      </c>
    </row>
    <row r="353" spans="1:5">
      <c r="A353" s="3035">
        <v>352</v>
      </c>
      <c r="B353" s="2976" t="s">
        <v>3851</v>
      </c>
      <c r="C353" s="2976" t="s">
        <v>3852</v>
      </c>
      <c r="D353" s="2976">
        <v>25.21</v>
      </c>
      <c r="E353" s="3036" t="s">
        <v>4151</v>
      </c>
    </row>
    <row r="354" spans="1:5">
      <c r="A354" s="3035">
        <v>353</v>
      </c>
      <c r="B354" s="2976" t="s">
        <v>3853</v>
      </c>
      <c r="C354" s="2976" t="s">
        <v>3854</v>
      </c>
      <c r="D354" s="2976">
        <v>45.65</v>
      </c>
      <c r="E354" s="3036" t="s">
        <v>4151</v>
      </c>
    </row>
    <row r="355" spans="1:5">
      <c r="A355" s="3035">
        <v>354</v>
      </c>
      <c r="B355" s="2976" t="s">
        <v>3855</v>
      </c>
      <c r="C355" s="2976" t="s">
        <v>3856</v>
      </c>
      <c r="D355" s="2976">
        <v>108.12</v>
      </c>
      <c r="E355" s="3036" t="s">
        <v>4151</v>
      </c>
    </row>
    <row r="356" spans="1:5">
      <c r="A356" s="3035">
        <v>355</v>
      </c>
      <c r="B356" s="2976" t="s">
        <v>3857</v>
      </c>
      <c r="C356" s="2976" t="s">
        <v>3858</v>
      </c>
      <c r="D356" s="2976">
        <v>118.68</v>
      </c>
      <c r="E356" s="3036" t="s">
        <v>4151</v>
      </c>
    </row>
    <row r="357" spans="1:5">
      <c r="A357" s="3035">
        <v>356</v>
      </c>
      <c r="B357" s="2976" t="s">
        <v>3859</v>
      </c>
      <c r="C357" s="2976" t="s">
        <v>3860</v>
      </c>
      <c r="D357" s="2976">
        <v>123.53</v>
      </c>
      <c r="E357" s="3036" t="s">
        <v>4151</v>
      </c>
    </row>
    <row r="358" spans="1:5">
      <c r="A358" s="3035">
        <v>357</v>
      </c>
      <c r="B358" s="2976" t="s">
        <v>3861</v>
      </c>
      <c r="C358" s="2976" t="s">
        <v>3862</v>
      </c>
      <c r="D358" s="2976">
        <v>226.71</v>
      </c>
      <c r="E358" s="3036" t="s">
        <v>4151</v>
      </c>
    </row>
    <row r="359" spans="1:5">
      <c r="A359" s="3035">
        <v>358</v>
      </c>
      <c r="B359" s="2976" t="s">
        <v>3863</v>
      </c>
      <c r="C359" s="2976" t="s">
        <v>3864</v>
      </c>
      <c r="D359" s="2976">
        <v>156.71</v>
      </c>
      <c r="E359" s="3036" t="s">
        <v>4151</v>
      </c>
    </row>
    <row r="360" spans="1:5">
      <c r="A360" s="3035">
        <v>359</v>
      </c>
      <c r="B360" s="2976" t="s">
        <v>3865</v>
      </c>
      <c r="C360" s="2976" t="s">
        <v>3866</v>
      </c>
      <c r="D360" s="2976">
        <v>87.82</v>
      </c>
      <c r="E360" s="3036" t="s">
        <v>4151</v>
      </c>
    </row>
    <row r="361" spans="1:5">
      <c r="A361" s="3035">
        <v>360</v>
      </c>
      <c r="B361" s="2976" t="s">
        <v>3867</v>
      </c>
      <c r="C361" s="2976" t="s">
        <v>3868</v>
      </c>
      <c r="D361" s="2976">
        <v>71.489999999999995</v>
      </c>
      <c r="E361" s="3036" t="s">
        <v>4151</v>
      </c>
    </row>
    <row r="362" spans="1:5">
      <c r="A362" s="3035">
        <v>361</v>
      </c>
      <c r="B362" s="2976" t="s">
        <v>3869</v>
      </c>
      <c r="C362" s="2976" t="s">
        <v>3870</v>
      </c>
      <c r="D362" s="2976">
        <v>183.56</v>
      </c>
      <c r="E362" s="3036" t="s">
        <v>4151</v>
      </c>
    </row>
    <row r="363" spans="1:5">
      <c r="A363" s="3035">
        <v>362</v>
      </c>
      <c r="B363" s="2976" t="s">
        <v>3871</v>
      </c>
      <c r="C363" s="2976" t="s">
        <v>3872</v>
      </c>
      <c r="D363" s="2976">
        <v>206.84</v>
      </c>
      <c r="E363" s="3036" t="s">
        <v>4151</v>
      </c>
    </row>
    <row r="364" spans="1:5">
      <c r="A364" s="3035">
        <v>363</v>
      </c>
      <c r="B364" s="2976" t="s">
        <v>3873</v>
      </c>
      <c r="C364" s="2976" t="s">
        <v>3874</v>
      </c>
      <c r="D364" s="2976">
        <v>144.30000000000001</v>
      </c>
      <c r="E364" s="3036" t="s">
        <v>4151</v>
      </c>
    </row>
    <row r="365" spans="1:5">
      <c r="A365" s="3035">
        <v>364</v>
      </c>
      <c r="B365" s="2976" t="s">
        <v>3875</v>
      </c>
      <c r="C365" s="2976" t="s">
        <v>3876</v>
      </c>
      <c r="D365" s="2976">
        <v>145.16</v>
      </c>
      <c r="E365" s="3036" t="s">
        <v>4151</v>
      </c>
    </row>
    <row r="366" spans="1:5">
      <c r="A366" s="3035">
        <v>365</v>
      </c>
      <c r="B366" s="2976" t="s">
        <v>3877</v>
      </c>
      <c r="C366" s="2976" t="s">
        <v>3878</v>
      </c>
      <c r="D366" s="2976">
        <v>155.71</v>
      </c>
      <c r="E366" s="3036" t="s">
        <v>4151</v>
      </c>
    </row>
    <row r="367" spans="1:5">
      <c r="A367" s="3035">
        <v>366</v>
      </c>
      <c r="B367" s="2976" t="s">
        <v>3879</v>
      </c>
      <c r="C367" s="2976" t="s">
        <v>3880</v>
      </c>
      <c r="D367" s="2976">
        <v>136.41</v>
      </c>
      <c r="E367" s="3036" t="s">
        <v>4151</v>
      </c>
    </row>
    <row r="368" spans="1:5">
      <c r="A368" s="3035">
        <v>367</v>
      </c>
      <c r="B368" s="2976" t="s">
        <v>3881</v>
      </c>
      <c r="C368" s="2976" t="s">
        <v>3882</v>
      </c>
      <c r="D368" s="2976">
        <v>230.85</v>
      </c>
      <c r="E368" s="3036" t="s">
        <v>4151</v>
      </c>
    </row>
    <row r="369" spans="1:5">
      <c r="A369" s="3035">
        <v>368</v>
      </c>
      <c r="B369" s="2976" t="s">
        <v>3883</v>
      </c>
      <c r="C369" s="2976" t="s">
        <v>3884</v>
      </c>
      <c r="D369" s="2976">
        <v>230.85</v>
      </c>
      <c r="E369" s="3036" t="s">
        <v>4151</v>
      </c>
    </row>
    <row r="370" spans="1:5">
      <c r="A370" s="3035">
        <v>369</v>
      </c>
      <c r="B370" s="2976" t="s">
        <v>3885</v>
      </c>
      <c r="C370" s="2976" t="s">
        <v>3886</v>
      </c>
      <c r="D370" s="2976">
        <v>136.41</v>
      </c>
      <c r="E370" s="3036" t="s">
        <v>4151</v>
      </c>
    </row>
    <row r="371" spans="1:5">
      <c r="A371" s="3035">
        <v>370</v>
      </c>
      <c r="B371" s="2976" t="s">
        <v>3887</v>
      </c>
      <c r="C371" s="2976" t="s">
        <v>3888</v>
      </c>
      <c r="D371" s="2976">
        <v>155.71</v>
      </c>
      <c r="E371" s="3036" t="s">
        <v>4151</v>
      </c>
    </row>
    <row r="372" spans="1:5">
      <c r="A372" s="3035">
        <v>371</v>
      </c>
      <c r="B372" s="2976" t="s">
        <v>3889</v>
      </c>
      <c r="C372" s="2976" t="s">
        <v>3890</v>
      </c>
      <c r="D372" s="2976">
        <v>145.16</v>
      </c>
      <c r="E372" s="3036" t="s">
        <v>4151</v>
      </c>
    </row>
    <row r="373" spans="1:5">
      <c r="A373" s="3035">
        <v>372</v>
      </c>
      <c r="B373" s="2976" t="s">
        <v>3891</v>
      </c>
      <c r="C373" s="2976" t="s">
        <v>3892</v>
      </c>
      <c r="D373" s="2976">
        <v>144.30000000000001</v>
      </c>
      <c r="E373" s="3036" t="s">
        <v>4151</v>
      </c>
    </row>
    <row r="374" spans="1:5">
      <c r="A374" s="3035">
        <v>373</v>
      </c>
      <c r="B374" s="2976" t="s">
        <v>3893</v>
      </c>
      <c r="C374" s="2976" t="s">
        <v>3894</v>
      </c>
      <c r="D374" s="2976">
        <v>206.84</v>
      </c>
      <c r="E374" s="3036" t="s">
        <v>4151</v>
      </c>
    </row>
    <row r="375" spans="1:5">
      <c r="A375" s="3035">
        <v>374</v>
      </c>
      <c r="B375" s="2976" t="s">
        <v>3895</v>
      </c>
      <c r="C375" s="2976" t="s">
        <v>3896</v>
      </c>
      <c r="D375" s="2976">
        <v>183.56</v>
      </c>
      <c r="E375" s="3036" t="s">
        <v>4151</v>
      </c>
    </row>
    <row r="376" spans="1:5">
      <c r="A376" s="3035">
        <v>375</v>
      </c>
      <c r="B376" s="2976" t="s">
        <v>3897</v>
      </c>
      <c r="C376" s="2976" t="s">
        <v>3898</v>
      </c>
      <c r="D376" s="2976">
        <v>71.489999999999995</v>
      </c>
      <c r="E376" s="3036" t="s">
        <v>4151</v>
      </c>
    </row>
    <row r="377" spans="1:5">
      <c r="A377" s="3035">
        <v>376</v>
      </c>
      <c r="B377" s="2976" t="s">
        <v>3899</v>
      </c>
      <c r="C377" s="2976" t="s">
        <v>3900</v>
      </c>
      <c r="D377" s="2976">
        <v>87.82</v>
      </c>
      <c r="E377" s="3036" t="s">
        <v>4151</v>
      </c>
    </row>
    <row r="378" spans="1:5">
      <c r="A378" s="3035">
        <v>377</v>
      </c>
      <c r="B378" s="2976" t="s">
        <v>3901</v>
      </c>
      <c r="C378" s="2976" t="s">
        <v>3902</v>
      </c>
      <c r="D378" s="2976">
        <v>156.71</v>
      </c>
      <c r="E378" s="3036" t="s">
        <v>4151</v>
      </c>
    </row>
    <row r="379" spans="1:5">
      <c r="A379" s="3035">
        <v>378</v>
      </c>
      <c r="B379" s="2976" t="s">
        <v>3903</v>
      </c>
      <c r="C379" s="2976" t="s">
        <v>3904</v>
      </c>
      <c r="D379" s="2976">
        <v>3699.95</v>
      </c>
      <c r="E379" s="3036" t="s">
        <v>4151</v>
      </c>
    </row>
    <row r="380" spans="1:5">
      <c r="A380" s="3035">
        <v>379</v>
      </c>
      <c r="B380" s="2976" t="s">
        <v>3905</v>
      </c>
      <c r="C380" s="2976" t="s">
        <v>3906</v>
      </c>
      <c r="D380" s="2976">
        <v>59.36</v>
      </c>
      <c r="E380" s="3036" t="s">
        <v>4151</v>
      </c>
    </row>
    <row r="381" spans="1:5">
      <c r="A381" s="3035">
        <v>380</v>
      </c>
      <c r="B381" s="2976" t="s">
        <v>3907</v>
      </c>
      <c r="C381" s="2976" t="s">
        <v>3908</v>
      </c>
      <c r="D381" s="2976">
        <v>61.23</v>
      </c>
      <c r="E381" s="3036" t="s">
        <v>4151</v>
      </c>
    </row>
    <row r="382" spans="1:5">
      <c r="A382" s="3035">
        <v>381</v>
      </c>
      <c r="B382" s="2976" t="s">
        <v>3909</v>
      </c>
      <c r="C382" s="2976" t="s">
        <v>3910</v>
      </c>
      <c r="D382" s="2976">
        <v>58.73</v>
      </c>
      <c r="E382" s="3036" t="s">
        <v>4151</v>
      </c>
    </row>
    <row r="383" spans="1:5">
      <c r="A383" s="3035">
        <v>382</v>
      </c>
      <c r="B383" s="2976" t="s">
        <v>3911</v>
      </c>
      <c r="C383" s="2976" t="s">
        <v>3912</v>
      </c>
      <c r="D383" s="2976">
        <v>58.73</v>
      </c>
      <c r="E383" s="3036" t="s">
        <v>4151</v>
      </c>
    </row>
    <row r="384" spans="1:5">
      <c r="A384" s="3035">
        <v>383</v>
      </c>
      <c r="B384" s="2976" t="s">
        <v>3913</v>
      </c>
      <c r="C384" s="2976" t="s">
        <v>3914</v>
      </c>
      <c r="D384" s="2976">
        <v>50.62</v>
      </c>
      <c r="E384" s="3036" t="s">
        <v>4151</v>
      </c>
    </row>
    <row r="385" spans="1:5">
      <c r="A385" s="3035">
        <v>384</v>
      </c>
      <c r="B385" s="2976" t="s">
        <v>3915</v>
      </c>
      <c r="C385" s="2976" t="s">
        <v>3916</v>
      </c>
      <c r="D385" s="2976">
        <v>50.62</v>
      </c>
      <c r="E385" s="3036" t="s">
        <v>4151</v>
      </c>
    </row>
    <row r="386" spans="1:5">
      <c r="A386" s="3035">
        <v>385</v>
      </c>
      <c r="B386" s="2976" t="s">
        <v>3917</v>
      </c>
      <c r="C386" s="2976" t="s">
        <v>3918</v>
      </c>
      <c r="D386" s="2976">
        <v>89.81</v>
      </c>
      <c r="E386" s="3036" t="s">
        <v>4151</v>
      </c>
    </row>
    <row r="387" spans="1:5">
      <c r="A387" s="3035">
        <v>386</v>
      </c>
      <c r="B387" s="2976" t="s">
        <v>3919</v>
      </c>
      <c r="C387" s="2976" t="s">
        <v>3920</v>
      </c>
      <c r="D387" s="2976">
        <v>69.33</v>
      </c>
      <c r="E387" s="3036" t="s">
        <v>4151</v>
      </c>
    </row>
    <row r="388" spans="1:5">
      <c r="A388" s="3035">
        <v>387</v>
      </c>
      <c r="B388" s="2976" t="s">
        <v>3921</v>
      </c>
      <c r="C388" s="2976" t="s">
        <v>3922</v>
      </c>
      <c r="D388" s="2976">
        <v>108.53</v>
      </c>
      <c r="E388" s="3036" t="s">
        <v>4151</v>
      </c>
    </row>
    <row r="389" spans="1:5">
      <c r="A389" s="3035">
        <v>388</v>
      </c>
      <c r="B389" s="2976" t="s">
        <v>3923</v>
      </c>
      <c r="C389" s="2976" t="s">
        <v>3924</v>
      </c>
      <c r="D389" s="2976">
        <v>73.78</v>
      </c>
      <c r="E389" s="3036" t="s">
        <v>4151</v>
      </c>
    </row>
    <row r="390" spans="1:5">
      <c r="A390" s="3035">
        <v>389</v>
      </c>
      <c r="B390" s="2976" t="s">
        <v>3925</v>
      </c>
      <c r="C390" s="2976" t="s">
        <v>3926</v>
      </c>
      <c r="D390" s="2976">
        <v>71.92</v>
      </c>
      <c r="E390" s="3036" t="s">
        <v>4151</v>
      </c>
    </row>
    <row r="391" spans="1:5">
      <c r="A391" s="3035">
        <v>390</v>
      </c>
      <c r="B391" s="2976" t="s">
        <v>3927</v>
      </c>
      <c r="C391" s="2976" t="s">
        <v>3928</v>
      </c>
      <c r="D391" s="2976">
        <v>67.42</v>
      </c>
      <c r="E391" s="3036" t="s">
        <v>4151</v>
      </c>
    </row>
    <row r="392" spans="1:5">
      <c r="A392" s="3035">
        <v>391</v>
      </c>
      <c r="B392" s="2976" t="s">
        <v>3929</v>
      </c>
      <c r="C392" s="2976" t="s">
        <v>3930</v>
      </c>
      <c r="D392" s="2976">
        <v>56.19</v>
      </c>
      <c r="E392" s="3036" t="s">
        <v>4151</v>
      </c>
    </row>
    <row r="393" spans="1:5">
      <c r="A393" s="3035">
        <v>392</v>
      </c>
      <c r="B393" s="2976" t="s">
        <v>3931</v>
      </c>
      <c r="C393" s="2976" t="s">
        <v>3932</v>
      </c>
      <c r="D393" s="2976">
        <v>51.2</v>
      </c>
      <c r="E393" s="3036" t="s">
        <v>4151</v>
      </c>
    </row>
    <row r="394" spans="1:5">
      <c r="A394" s="3035">
        <v>393</v>
      </c>
      <c r="B394" s="2976" t="s">
        <v>3933</v>
      </c>
      <c r="C394" s="2976" t="s">
        <v>3934</v>
      </c>
      <c r="D394" s="2976">
        <v>59.13</v>
      </c>
      <c r="E394" s="3036" t="s">
        <v>4151</v>
      </c>
    </row>
    <row r="395" spans="1:5">
      <c r="A395" s="3035">
        <v>394</v>
      </c>
      <c r="B395" s="2976" t="s">
        <v>3935</v>
      </c>
      <c r="C395" s="2976" t="s">
        <v>3936</v>
      </c>
      <c r="D395" s="2976">
        <v>63.2</v>
      </c>
      <c r="E395" s="3036" t="s">
        <v>4151</v>
      </c>
    </row>
    <row r="396" spans="1:5">
      <c r="A396" s="3035">
        <v>395</v>
      </c>
      <c r="B396" s="2976" t="s">
        <v>3937</v>
      </c>
      <c r="C396" s="2976" t="s">
        <v>3938</v>
      </c>
      <c r="D396" s="2976">
        <v>61.55</v>
      </c>
      <c r="E396" s="3036" t="s">
        <v>4151</v>
      </c>
    </row>
    <row r="397" spans="1:5">
      <c r="A397" s="3035">
        <v>396</v>
      </c>
      <c r="B397" s="2976" t="s">
        <v>3939</v>
      </c>
      <c r="C397" s="2976" t="s">
        <v>3940</v>
      </c>
      <c r="D397" s="2976">
        <v>65.63</v>
      </c>
      <c r="E397" s="3036" t="s">
        <v>4151</v>
      </c>
    </row>
    <row r="398" spans="1:5">
      <c r="A398" s="3035">
        <v>397</v>
      </c>
      <c r="B398" s="2976" t="s">
        <v>3941</v>
      </c>
      <c r="C398" s="2976" t="s">
        <v>3942</v>
      </c>
      <c r="D398" s="2976">
        <v>84.56</v>
      </c>
      <c r="E398" s="3036" t="s">
        <v>4151</v>
      </c>
    </row>
    <row r="399" spans="1:5">
      <c r="A399" s="3035">
        <v>398</v>
      </c>
      <c r="B399" s="2976" t="s">
        <v>3943</v>
      </c>
      <c r="C399" s="2976" t="s">
        <v>3944</v>
      </c>
      <c r="D399" s="2976">
        <v>102.67</v>
      </c>
      <c r="E399" s="3036" t="s">
        <v>4151</v>
      </c>
    </row>
    <row r="400" spans="1:5">
      <c r="A400" s="3035">
        <v>399</v>
      </c>
      <c r="B400" s="2976" t="s">
        <v>3945</v>
      </c>
      <c r="C400" s="2976" t="s">
        <v>3946</v>
      </c>
      <c r="D400" s="2976">
        <v>154.66999999999999</v>
      </c>
      <c r="E400" s="3036" t="s">
        <v>4151</v>
      </c>
    </row>
    <row r="401" spans="1:5">
      <c r="A401" s="3035">
        <v>400</v>
      </c>
      <c r="B401" s="2976" t="s">
        <v>3947</v>
      </c>
      <c r="C401" s="2976" t="s">
        <v>3948</v>
      </c>
      <c r="D401" s="2976">
        <v>323.12</v>
      </c>
      <c r="E401" s="3036" t="s">
        <v>4151</v>
      </c>
    </row>
    <row r="402" spans="1:5">
      <c r="A402" s="3035">
        <v>401</v>
      </c>
      <c r="B402" s="2976" t="s">
        <v>3949</v>
      </c>
      <c r="C402" s="2976" t="s">
        <v>3950</v>
      </c>
      <c r="D402" s="2976">
        <v>260.77999999999997</v>
      </c>
      <c r="E402" s="3036" t="s">
        <v>4151</v>
      </c>
    </row>
    <row r="403" spans="1:5">
      <c r="A403" s="3035">
        <v>402</v>
      </c>
      <c r="B403" s="2976" t="s">
        <v>3951</v>
      </c>
      <c r="C403" s="2976" t="s">
        <v>3952</v>
      </c>
      <c r="D403" s="2976">
        <v>227.56</v>
      </c>
      <c r="E403" s="3036" t="s">
        <v>4151</v>
      </c>
    </row>
    <row r="404" spans="1:5">
      <c r="A404" s="3035">
        <v>403</v>
      </c>
      <c r="B404" s="2976" t="s">
        <v>3953</v>
      </c>
      <c r="C404" s="2976" t="s">
        <v>3954</v>
      </c>
      <c r="D404" s="2976">
        <v>84.7</v>
      </c>
      <c r="E404" s="3036" t="s">
        <v>4151</v>
      </c>
    </row>
    <row r="405" spans="1:5">
      <c r="A405" s="3035">
        <v>404</v>
      </c>
      <c r="B405" s="2976" t="s">
        <v>3955</v>
      </c>
      <c r="C405" s="2976" t="s">
        <v>3956</v>
      </c>
      <c r="D405" s="2976">
        <v>100.76</v>
      </c>
      <c r="E405" s="3036" t="s">
        <v>4151</v>
      </c>
    </row>
    <row r="406" spans="1:5">
      <c r="A406" s="3035">
        <v>405</v>
      </c>
      <c r="B406" s="2976" t="s">
        <v>3957</v>
      </c>
      <c r="C406" s="2976" t="s">
        <v>3958</v>
      </c>
      <c r="D406" s="2976">
        <v>105.24</v>
      </c>
      <c r="E406" s="3036" t="s">
        <v>4151</v>
      </c>
    </row>
    <row r="407" spans="1:5">
      <c r="A407" s="3035">
        <v>406</v>
      </c>
      <c r="B407" s="2976" t="s">
        <v>3959</v>
      </c>
      <c r="C407" s="2976" t="s">
        <v>3960</v>
      </c>
      <c r="D407" s="2976">
        <v>109.55</v>
      </c>
      <c r="E407" s="3036" t="s">
        <v>4151</v>
      </c>
    </row>
    <row r="408" spans="1:5">
      <c r="A408" s="3035">
        <v>407</v>
      </c>
      <c r="B408" s="2976" t="s">
        <v>3961</v>
      </c>
      <c r="C408" s="2976" t="s">
        <v>3962</v>
      </c>
      <c r="D408" s="2976">
        <v>109.55</v>
      </c>
      <c r="E408" s="3036" t="s">
        <v>4151</v>
      </c>
    </row>
    <row r="409" spans="1:5">
      <c r="A409" s="3035">
        <v>408</v>
      </c>
      <c r="B409" s="2976" t="s">
        <v>3963</v>
      </c>
      <c r="C409" s="2976" t="s">
        <v>3964</v>
      </c>
      <c r="D409" s="2976">
        <v>113.35</v>
      </c>
      <c r="E409" s="3036" t="s">
        <v>4151</v>
      </c>
    </row>
    <row r="410" spans="1:5">
      <c r="A410" s="3035">
        <v>409</v>
      </c>
      <c r="B410" s="2976" t="s">
        <v>3965</v>
      </c>
      <c r="C410" s="2976" t="s">
        <v>3966</v>
      </c>
      <c r="D410" s="2976">
        <v>125.64</v>
      </c>
      <c r="E410" s="3036" t="s">
        <v>4151</v>
      </c>
    </row>
    <row r="411" spans="1:5">
      <c r="A411" s="3035">
        <v>410</v>
      </c>
      <c r="B411" s="2976" t="s">
        <v>3967</v>
      </c>
      <c r="C411" s="2976" t="s">
        <v>3968</v>
      </c>
      <c r="D411" s="2976">
        <v>115.27</v>
      </c>
      <c r="E411" s="3036" t="s">
        <v>4151</v>
      </c>
    </row>
    <row r="412" spans="1:5">
      <c r="A412" s="3035">
        <v>411</v>
      </c>
      <c r="B412" s="2976" t="s">
        <v>3969</v>
      </c>
      <c r="C412" s="2976" t="s">
        <v>3970</v>
      </c>
      <c r="D412" s="2976">
        <v>115.31</v>
      </c>
      <c r="E412" s="3036" t="s">
        <v>4151</v>
      </c>
    </row>
    <row r="413" spans="1:5">
      <c r="A413" s="3035">
        <v>412</v>
      </c>
      <c r="B413" s="2976" t="s">
        <v>3971</v>
      </c>
      <c r="C413" s="2976" t="s">
        <v>3972</v>
      </c>
      <c r="D413" s="2976">
        <v>115.27</v>
      </c>
      <c r="E413" s="3036" t="s">
        <v>4151</v>
      </c>
    </row>
    <row r="414" spans="1:5">
      <c r="A414" s="3035">
        <v>413</v>
      </c>
      <c r="B414" s="2976" t="s">
        <v>3973</v>
      </c>
      <c r="C414" s="2976" t="s">
        <v>3974</v>
      </c>
      <c r="D414" s="2976">
        <v>127.56</v>
      </c>
      <c r="E414" s="3036" t="s">
        <v>4151</v>
      </c>
    </row>
    <row r="415" spans="1:5">
      <c r="A415" s="3035">
        <v>414</v>
      </c>
      <c r="B415" s="2976" t="s">
        <v>3975</v>
      </c>
      <c r="C415" s="2976" t="s">
        <v>3976</v>
      </c>
      <c r="D415" s="2976">
        <v>113.35</v>
      </c>
      <c r="E415" s="3036" t="s">
        <v>4151</v>
      </c>
    </row>
    <row r="416" spans="1:5">
      <c r="A416" s="3035">
        <v>415</v>
      </c>
      <c r="B416" s="2976" t="s">
        <v>3977</v>
      </c>
      <c r="C416" s="2976" t="s">
        <v>3978</v>
      </c>
      <c r="D416" s="2976">
        <v>109.55</v>
      </c>
      <c r="E416" s="3036" t="s">
        <v>4151</v>
      </c>
    </row>
    <row r="417" spans="1:5">
      <c r="A417" s="3035">
        <v>416</v>
      </c>
      <c r="B417" s="2976" t="s">
        <v>3979</v>
      </c>
      <c r="C417" s="2976" t="s">
        <v>3980</v>
      </c>
      <c r="D417" s="2976">
        <v>109.55</v>
      </c>
      <c r="E417" s="3036" t="s">
        <v>4151</v>
      </c>
    </row>
    <row r="418" spans="1:5">
      <c r="A418" s="3035">
        <v>417</v>
      </c>
      <c r="B418" s="2976" t="s">
        <v>3981</v>
      </c>
      <c r="C418" s="2976" t="s">
        <v>3982</v>
      </c>
      <c r="D418" s="2976">
        <v>105.24</v>
      </c>
      <c r="E418" s="3036" t="s">
        <v>4151</v>
      </c>
    </row>
    <row r="419" spans="1:5">
      <c r="A419" s="3035">
        <v>418</v>
      </c>
      <c r="B419" s="2976" t="s">
        <v>3983</v>
      </c>
      <c r="C419" s="2976" t="s">
        <v>3984</v>
      </c>
      <c r="D419" s="2976">
        <v>100.76</v>
      </c>
      <c r="E419" s="3036" t="s">
        <v>4151</v>
      </c>
    </row>
    <row r="420" spans="1:5">
      <c r="A420" s="3035">
        <v>419</v>
      </c>
      <c r="B420" s="2976" t="s">
        <v>3985</v>
      </c>
      <c r="C420" s="2976" t="s">
        <v>3986</v>
      </c>
      <c r="D420" s="2976">
        <v>84.7</v>
      </c>
      <c r="E420" s="3036" t="s">
        <v>4151</v>
      </c>
    </row>
    <row r="421" spans="1:5">
      <c r="A421" s="3035">
        <v>420</v>
      </c>
      <c r="B421" s="2976" t="s">
        <v>3987</v>
      </c>
      <c r="C421" s="2976" t="s">
        <v>3988</v>
      </c>
      <c r="D421" s="2976">
        <v>21.23</v>
      </c>
      <c r="E421" s="3036" t="s">
        <v>4151</v>
      </c>
    </row>
    <row r="422" spans="1:5">
      <c r="A422" s="3035">
        <v>421</v>
      </c>
      <c r="B422" s="2976" t="s">
        <v>3989</v>
      </c>
      <c r="C422" s="2976" t="s">
        <v>3990</v>
      </c>
      <c r="D422" s="2976">
        <v>24.61</v>
      </c>
      <c r="E422" s="3036" t="s">
        <v>4151</v>
      </c>
    </row>
    <row r="423" spans="1:5">
      <c r="A423" s="3035">
        <v>422</v>
      </c>
      <c r="B423" s="2976" t="s">
        <v>3991</v>
      </c>
      <c r="C423" s="2976" t="s">
        <v>3992</v>
      </c>
      <c r="D423" s="2976">
        <v>44.57</v>
      </c>
      <c r="E423" s="3036" t="s">
        <v>4151</v>
      </c>
    </row>
    <row r="424" spans="1:5">
      <c r="A424" s="3035">
        <v>423</v>
      </c>
      <c r="B424" s="2976" t="s">
        <v>3993</v>
      </c>
      <c r="C424" s="2976" t="s">
        <v>3994</v>
      </c>
      <c r="D424" s="2976">
        <v>105.57</v>
      </c>
      <c r="E424" s="3036" t="s">
        <v>4151</v>
      </c>
    </row>
    <row r="425" spans="1:5">
      <c r="A425" s="3035">
        <v>424</v>
      </c>
      <c r="B425" s="2976" t="s">
        <v>3995</v>
      </c>
      <c r="C425" s="2976" t="s">
        <v>3996</v>
      </c>
      <c r="D425" s="2976">
        <v>115.88</v>
      </c>
      <c r="E425" s="3036" t="s">
        <v>4151</v>
      </c>
    </row>
    <row r="426" spans="1:5">
      <c r="A426" s="3035">
        <v>425</v>
      </c>
      <c r="B426" s="2976" t="s">
        <v>3997</v>
      </c>
      <c r="C426" s="2976" t="s">
        <v>3998</v>
      </c>
      <c r="D426" s="2976">
        <v>120.61</v>
      </c>
      <c r="E426" s="3036" t="s">
        <v>4151</v>
      </c>
    </row>
    <row r="427" spans="1:5">
      <c r="A427" s="3035">
        <v>426</v>
      </c>
      <c r="B427" s="2976" t="s">
        <v>3999</v>
      </c>
      <c r="C427" s="2976" t="s">
        <v>4000</v>
      </c>
      <c r="D427" s="2976">
        <v>221.36</v>
      </c>
      <c r="E427" s="3036" t="s">
        <v>4151</v>
      </c>
    </row>
    <row r="428" spans="1:5">
      <c r="A428" s="3035">
        <v>427</v>
      </c>
      <c r="B428" s="2976" t="s">
        <v>4001</v>
      </c>
      <c r="C428" s="2976" t="s">
        <v>4002</v>
      </c>
      <c r="D428" s="2976">
        <v>153.01</v>
      </c>
      <c r="E428" s="3036" t="s">
        <v>4151</v>
      </c>
    </row>
    <row r="429" spans="1:5">
      <c r="A429" s="3035">
        <v>428</v>
      </c>
      <c r="B429" s="2976" t="s">
        <v>4003</v>
      </c>
      <c r="C429" s="2976" t="s">
        <v>4004</v>
      </c>
      <c r="D429" s="2976">
        <v>85.75</v>
      </c>
      <c r="E429" s="3036" t="s">
        <v>4151</v>
      </c>
    </row>
    <row r="430" spans="1:5">
      <c r="A430" s="3035">
        <v>429</v>
      </c>
      <c r="B430" s="2976" t="s">
        <v>4005</v>
      </c>
      <c r="C430" s="2976" t="s">
        <v>4006</v>
      </c>
      <c r="D430" s="2976">
        <v>69.81</v>
      </c>
      <c r="E430" s="3036" t="s">
        <v>4151</v>
      </c>
    </row>
    <row r="431" spans="1:5">
      <c r="A431" s="3035">
        <v>430</v>
      </c>
      <c r="B431" s="2976" t="s">
        <v>4007</v>
      </c>
      <c r="C431" s="2976" t="s">
        <v>4008</v>
      </c>
      <c r="D431" s="2976">
        <v>179.92</v>
      </c>
      <c r="E431" s="3036" t="s">
        <v>4151</v>
      </c>
    </row>
    <row r="432" spans="1:5">
      <c r="A432" s="3035">
        <v>431</v>
      </c>
      <c r="B432" s="2976" t="s">
        <v>4009</v>
      </c>
      <c r="C432" s="2976" t="s">
        <v>4010</v>
      </c>
      <c r="D432" s="2976">
        <v>201.95</v>
      </c>
      <c r="E432" s="3036" t="s">
        <v>4151</v>
      </c>
    </row>
    <row r="433" spans="1:5">
      <c r="A433" s="3035">
        <v>432</v>
      </c>
      <c r="B433" s="2976" t="s">
        <v>4011</v>
      </c>
      <c r="C433" s="2976" t="s">
        <v>4012</v>
      </c>
      <c r="D433" s="2976">
        <v>140.88999999999999</v>
      </c>
      <c r="E433" s="3036" t="s">
        <v>4151</v>
      </c>
    </row>
    <row r="434" spans="1:5">
      <c r="A434" s="3035">
        <v>433</v>
      </c>
      <c r="B434" s="2976" t="s">
        <v>4013</v>
      </c>
      <c r="C434" s="2976" t="s">
        <v>4014</v>
      </c>
      <c r="D434" s="2976">
        <v>141.72999999999999</v>
      </c>
      <c r="E434" s="3036" t="s">
        <v>4151</v>
      </c>
    </row>
    <row r="435" spans="1:5">
      <c r="A435" s="3035">
        <v>434</v>
      </c>
      <c r="B435" s="2976" t="s">
        <v>4015</v>
      </c>
      <c r="C435" s="2976" t="s">
        <v>4016</v>
      </c>
      <c r="D435" s="2976">
        <v>152.03</v>
      </c>
      <c r="E435" s="3036" t="s">
        <v>4151</v>
      </c>
    </row>
    <row r="436" spans="1:5">
      <c r="A436" s="3035">
        <v>435</v>
      </c>
      <c r="B436" s="2976" t="s">
        <v>4017</v>
      </c>
      <c r="C436" s="2976" t="s">
        <v>4018</v>
      </c>
      <c r="D436" s="2976">
        <v>133.19</v>
      </c>
      <c r="E436" s="3036" t="s">
        <v>4151</v>
      </c>
    </row>
    <row r="437" spans="1:5">
      <c r="A437" s="3035">
        <v>436</v>
      </c>
      <c r="B437" s="2976" t="s">
        <v>4019</v>
      </c>
      <c r="C437" s="2976" t="s">
        <v>4020</v>
      </c>
      <c r="D437" s="2976">
        <v>225.39</v>
      </c>
      <c r="E437" s="3036" t="s">
        <v>4151</v>
      </c>
    </row>
    <row r="438" spans="1:5">
      <c r="A438" s="3035">
        <v>437</v>
      </c>
      <c r="B438" s="2976" t="s">
        <v>4021</v>
      </c>
      <c r="C438" s="2976" t="s">
        <v>4022</v>
      </c>
      <c r="D438" s="2976">
        <v>225.39</v>
      </c>
      <c r="E438" s="3036" t="s">
        <v>4151</v>
      </c>
    </row>
    <row r="439" spans="1:5">
      <c r="A439" s="3035">
        <v>438</v>
      </c>
      <c r="B439" s="2976" t="s">
        <v>4023</v>
      </c>
      <c r="C439" s="2976" t="s">
        <v>4024</v>
      </c>
      <c r="D439" s="2976">
        <v>133.21</v>
      </c>
      <c r="E439" s="3036" t="s">
        <v>4151</v>
      </c>
    </row>
    <row r="440" spans="1:5">
      <c r="A440" s="3035">
        <v>439</v>
      </c>
      <c r="B440" s="2976" t="s">
        <v>4025</v>
      </c>
      <c r="C440" s="2976" t="s">
        <v>4026</v>
      </c>
      <c r="D440" s="2976">
        <v>152.03</v>
      </c>
      <c r="E440" s="3036" t="s">
        <v>4151</v>
      </c>
    </row>
    <row r="441" spans="1:5">
      <c r="A441" s="3035">
        <v>440</v>
      </c>
      <c r="B441" s="2976" t="s">
        <v>4027</v>
      </c>
      <c r="C441" s="2976" t="s">
        <v>4028</v>
      </c>
      <c r="D441" s="2976">
        <v>141.72999999999999</v>
      </c>
      <c r="E441" s="3036" t="s">
        <v>4151</v>
      </c>
    </row>
    <row r="442" spans="1:5">
      <c r="A442" s="3035">
        <v>441</v>
      </c>
      <c r="B442" s="2976" t="s">
        <v>4029</v>
      </c>
      <c r="C442" s="2976" t="s">
        <v>4030</v>
      </c>
      <c r="D442" s="2976">
        <v>140.88999999999999</v>
      </c>
      <c r="E442" s="3036" t="s">
        <v>4151</v>
      </c>
    </row>
    <row r="443" spans="1:5">
      <c r="A443" s="3035">
        <v>442</v>
      </c>
      <c r="B443" s="2976" t="s">
        <v>4031</v>
      </c>
      <c r="C443" s="2976" t="s">
        <v>4032</v>
      </c>
      <c r="D443" s="2976">
        <v>201.95</v>
      </c>
      <c r="E443" s="3036" t="s">
        <v>4151</v>
      </c>
    </row>
    <row r="444" spans="1:5">
      <c r="A444" s="3035">
        <v>443</v>
      </c>
      <c r="B444" s="2976" t="s">
        <v>4033</v>
      </c>
      <c r="C444" s="2976" t="s">
        <v>4034</v>
      </c>
      <c r="D444" s="2976">
        <v>179.22</v>
      </c>
      <c r="E444" s="3036" t="s">
        <v>4151</v>
      </c>
    </row>
    <row r="445" spans="1:5">
      <c r="A445" s="3035">
        <v>444</v>
      </c>
      <c r="B445" s="2976" t="s">
        <v>4035</v>
      </c>
      <c r="C445" s="2976" t="s">
        <v>4036</v>
      </c>
      <c r="D445" s="2976">
        <v>69.81</v>
      </c>
      <c r="E445" s="3036" t="s">
        <v>4151</v>
      </c>
    </row>
    <row r="446" spans="1:5">
      <c r="A446" s="3035">
        <v>445</v>
      </c>
      <c r="B446" s="2976" t="s">
        <v>4037</v>
      </c>
      <c r="C446" s="2976" t="s">
        <v>4038</v>
      </c>
      <c r="D446" s="2976">
        <v>85.75</v>
      </c>
      <c r="E446" s="3036" t="s">
        <v>4151</v>
      </c>
    </row>
    <row r="447" spans="1:5">
      <c r="A447" s="3035">
        <v>446</v>
      </c>
      <c r="B447" s="2976" t="s">
        <v>4039</v>
      </c>
      <c r="C447" s="2976" t="s">
        <v>4040</v>
      </c>
      <c r="D447" s="2976">
        <v>153.01</v>
      </c>
      <c r="E447" s="3036" t="s">
        <v>4151</v>
      </c>
    </row>
    <row r="448" spans="1:5">
      <c r="A448" s="3035">
        <v>447</v>
      </c>
      <c r="B448" s="2976" t="s">
        <v>4041</v>
      </c>
      <c r="C448" s="2976" t="s">
        <v>4042</v>
      </c>
      <c r="D448" s="2976">
        <v>221.36</v>
      </c>
      <c r="E448" s="3036" t="s">
        <v>4151</v>
      </c>
    </row>
    <row r="449" spans="1:5">
      <c r="A449" s="3035">
        <v>448</v>
      </c>
      <c r="B449" s="2976" t="s">
        <v>4043</v>
      </c>
      <c r="C449" s="2976" t="s">
        <v>4044</v>
      </c>
      <c r="D449" s="2976">
        <v>129.12</v>
      </c>
      <c r="E449" s="3036" t="s">
        <v>4151</v>
      </c>
    </row>
    <row r="450" spans="1:5">
      <c r="A450" s="3035">
        <v>449</v>
      </c>
      <c r="B450" s="2976" t="s">
        <v>4045</v>
      </c>
      <c r="C450" s="2976" t="s">
        <v>4046</v>
      </c>
      <c r="D450" s="2976">
        <v>131.28</v>
      </c>
      <c r="E450" s="3036" t="s">
        <v>4151</v>
      </c>
    </row>
    <row r="451" spans="1:5">
      <c r="A451" s="3035">
        <v>450</v>
      </c>
      <c r="B451" s="2976" t="s">
        <v>4047</v>
      </c>
      <c r="C451" s="2976" t="s">
        <v>4048</v>
      </c>
      <c r="D451" s="2976">
        <v>1533.04</v>
      </c>
      <c r="E451" s="3036" t="s">
        <v>4151</v>
      </c>
    </row>
    <row r="452" spans="1:5">
      <c r="A452" s="3035">
        <v>451</v>
      </c>
      <c r="B452" s="2976" t="s">
        <v>4049</v>
      </c>
      <c r="C452" s="2976" t="s">
        <v>4050</v>
      </c>
      <c r="D452" s="2976">
        <v>106.09</v>
      </c>
      <c r="E452" s="3036" t="s">
        <v>4151</v>
      </c>
    </row>
    <row r="453" spans="1:5">
      <c r="A453" s="3035">
        <v>452</v>
      </c>
      <c r="B453" s="2976" t="s">
        <v>4051</v>
      </c>
      <c r="C453" s="2976" t="s">
        <v>4052</v>
      </c>
      <c r="D453" s="2976">
        <v>72.12</v>
      </c>
      <c r="E453" s="3036" t="s">
        <v>4151</v>
      </c>
    </row>
    <row r="454" spans="1:5">
      <c r="A454" s="3035">
        <v>453</v>
      </c>
      <c r="B454" s="2976" t="s">
        <v>4053</v>
      </c>
      <c r="C454" s="2976" t="s">
        <v>4054</v>
      </c>
      <c r="D454" s="2976">
        <v>70.31</v>
      </c>
      <c r="E454" s="3036" t="s">
        <v>4151</v>
      </c>
    </row>
    <row r="455" spans="1:5">
      <c r="A455" s="3035">
        <v>454</v>
      </c>
      <c r="B455" s="2976" t="s">
        <v>4055</v>
      </c>
      <c r="C455" s="2976" t="s">
        <v>4056</v>
      </c>
      <c r="D455" s="2976">
        <v>65.900000000000006</v>
      </c>
      <c r="E455" s="3036" t="s">
        <v>4151</v>
      </c>
    </row>
    <row r="456" spans="1:5">
      <c r="A456" s="3035">
        <v>455</v>
      </c>
      <c r="B456" s="2976" t="s">
        <v>4057</v>
      </c>
      <c r="C456" s="2976" t="s">
        <v>4058</v>
      </c>
      <c r="D456" s="2976">
        <v>54.92</v>
      </c>
      <c r="E456" s="3036" t="s">
        <v>4151</v>
      </c>
    </row>
    <row r="457" spans="1:5">
      <c r="A457" s="3035">
        <v>456</v>
      </c>
      <c r="B457" s="2976" t="s">
        <v>4059</v>
      </c>
      <c r="C457" s="2976" t="s">
        <v>4060</v>
      </c>
      <c r="D457" s="2976">
        <v>48.38</v>
      </c>
      <c r="E457" s="3036" t="s">
        <v>4151</v>
      </c>
    </row>
    <row r="458" spans="1:5">
      <c r="A458" s="3035">
        <v>457</v>
      </c>
      <c r="B458" s="2976" t="s">
        <v>4061</v>
      </c>
      <c r="C458" s="2976" t="s">
        <v>4062</v>
      </c>
      <c r="D458" s="2976">
        <v>48.38</v>
      </c>
      <c r="E458" s="3036" t="s">
        <v>4151</v>
      </c>
    </row>
    <row r="459" spans="1:5">
      <c r="A459" s="3035">
        <v>458</v>
      </c>
      <c r="B459" s="2976" t="s">
        <v>4063</v>
      </c>
      <c r="C459" s="2976" t="s">
        <v>4064</v>
      </c>
      <c r="D459" s="2976">
        <v>70.98</v>
      </c>
      <c r="E459" s="3036" t="s">
        <v>4151</v>
      </c>
    </row>
    <row r="460" spans="1:5">
      <c r="A460" s="3035">
        <v>459</v>
      </c>
      <c r="B460" s="2976" t="s">
        <v>4065</v>
      </c>
      <c r="C460" s="2976" t="s">
        <v>4066</v>
      </c>
      <c r="D460" s="2976">
        <v>98.9</v>
      </c>
      <c r="E460" s="3036" t="s">
        <v>4151</v>
      </c>
    </row>
    <row r="461" spans="1:5">
      <c r="A461" s="3035">
        <v>460</v>
      </c>
      <c r="B461" s="2976" t="s">
        <v>4067</v>
      </c>
      <c r="C461" s="2976" t="s">
        <v>4068</v>
      </c>
      <c r="D461" s="2976">
        <v>151.19999999999999</v>
      </c>
      <c r="E461" s="3036" t="s">
        <v>4151</v>
      </c>
    </row>
    <row r="462" spans="1:5">
      <c r="A462" s="3035">
        <v>461</v>
      </c>
      <c r="B462" s="2976" t="s">
        <v>4069</v>
      </c>
      <c r="C462" s="2976" t="s">
        <v>4070</v>
      </c>
      <c r="D462" s="2976">
        <v>212.55</v>
      </c>
      <c r="E462" s="3036" t="s">
        <v>4151</v>
      </c>
    </row>
    <row r="463" spans="1:5">
      <c r="A463" s="3035">
        <v>462</v>
      </c>
      <c r="B463" s="2976" t="s">
        <v>4071</v>
      </c>
      <c r="C463" s="2976" t="s">
        <v>4072</v>
      </c>
      <c r="D463" s="2976">
        <v>76.099999999999994</v>
      </c>
      <c r="E463" s="3036" t="s">
        <v>4151</v>
      </c>
    </row>
    <row r="464" spans="1:5">
      <c r="A464" s="3035">
        <v>463</v>
      </c>
      <c r="B464" s="2976" t="s">
        <v>4073</v>
      </c>
      <c r="C464" s="2976" t="s">
        <v>4074</v>
      </c>
      <c r="D464" s="2976">
        <v>108.51</v>
      </c>
      <c r="E464" s="3036" t="s">
        <v>4151</v>
      </c>
    </row>
    <row r="465" spans="1:5">
      <c r="A465" s="3035">
        <v>464</v>
      </c>
      <c r="B465" s="2976" t="s">
        <v>4075</v>
      </c>
      <c r="C465" s="2976" t="s">
        <v>4076</v>
      </c>
      <c r="D465" s="2976">
        <v>112.68</v>
      </c>
      <c r="E465" s="3036" t="s">
        <v>4151</v>
      </c>
    </row>
    <row r="466" spans="1:5">
      <c r="A466" s="3035">
        <v>465</v>
      </c>
      <c r="B466" s="2976" t="s">
        <v>4077</v>
      </c>
      <c r="C466" s="2976" t="s">
        <v>4078</v>
      </c>
      <c r="D466" s="2976">
        <v>54.28</v>
      </c>
      <c r="E466" s="3036" t="s">
        <v>4151</v>
      </c>
    </row>
    <row r="467" spans="1:5">
      <c r="A467" s="3035">
        <v>466</v>
      </c>
      <c r="B467" s="2976" t="s">
        <v>4079</v>
      </c>
      <c r="C467" s="2976" t="s">
        <v>4080</v>
      </c>
      <c r="D467" s="2976">
        <v>113.01</v>
      </c>
      <c r="E467" s="3036" t="s">
        <v>4151</v>
      </c>
    </row>
    <row r="468" spans="1:5">
      <c r="A468" s="3035">
        <v>467</v>
      </c>
      <c r="B468" s="2976" t="s">
        <v>4081</v>
      </c>
      <c r="C468" s="2976" t="s">
        <v>4082</v>
      </c>
      <c r="D468" s="2976">
        <v>113.01</v>
      </c>
      <c r="E468" s="3036" t="s">
        <v>4151</v>
      </c>
    </row>
    <row r="469" spans="1:5">
      <c r="A469" s="3035">
        <v>468</v>
      </c>
      <c r="B469" s="2976" t="s">
        <v>4083</v>
      </c>
      <c r="C469" s="2976" t="s">
        <v>4084</v>
      </c>
      <c r="D469" s="2976">
        <v>54.28</v>
      </c>
      <c r="E469" s="3036" t="s">
        <v>4151</v>
      </c>
    </row>
    <row r="470" spans="1:5">
      <c r="A470" s="3035">
        <v>469</v>
      </c>
      <c r="B470" s="2976" t="s">
        <v>4085</v>
      </c>
      <c r="C470" s="2976" t="s">
        <v>4086</v>
      </c>
      <c r="D470" s="2976">
        <v>112.68</v>
      </c>
      <c r="E470" s="3036" t="s">
        <v>4151</v>
      </c>
    </row>
    <row r="471" spans="1:5">
      <c r="A471" s="3035">
        <v>470</v>
      </c>
      <c r="B471" s="2976" t="s">
        <v>4087</v>
      </c>
      <c r="C471" s="2976" t="s">
        <v>4088</v>
      </c>
      <c r="D471" s="2976">
        <v>108.51</v>
      </c>
      <c r="E471" s="3036" t="s">
        <v>4151</v>
      </c>
    </row>
    <row r="472" spans="1:5">
      <c r="A472" s="3035">
        <v>471</v>
      </c>
      <c r="B472" s="2976" t="s">
        <v>4089</v>
      </c>
      <c r="C472" s="2976" t="s">
        <v>4090</v>
      </c>
      <c r="D472" s="2976">
        <v>78.14</v>
      </c>
      <c r="E472" s="3036" t="s">
        <v>4151</v>
      </c>
    </row>
    <row r="473" spans="1:5">
      <c r="A473" s="3035">
        <v>472</v>
      </c>
      <c r="B473" s="2976" t="s">
        <v>4091</v>
      </c>
      <c r="C473" s="2976" t="s">
        <v>4092</v>
      </c>
      <c r="D473" s="2976">
        <v>77.19</v>
      </c>
      <c r="E473" s="3036" t="s">
        <v>4151</v>
      </c>
    </row>
    <row r="474" spans="1:5">
      <c r="A474" s="3472" t="s">
        <v>4152</v>
      </c>
      <c r="B474" s="3473"/>
      <c r="C474" s="3474"/>
      <c r="D474" s="3037">
        <v>68327.850000000006</v>
      </c>
      <c r="E474" s="3038"/>
    </row>
  </sheetData>
  <mergeCells count="1">
    <mergeCell ref="A474:C474"/>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1637</v>
      </c>
      <c r="B2" s="3158" t="s">
        <v>1638</v>
      </c>
      <c r="C2" s="3158" t="s">
        <v>1639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spans="1:9" ht="15">
      <c r="A3" s="3152"/>
      <c r="B3" s="3152"/>
      <c r="C3" s="3152"/>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80630</v>
      </c>
      <c r="I4" s="1042">
        <f ca="1">结果表!I118</f>
        <v>11800</v>
      </c>
    </row>
    <row r="5" spans="1:9" ht="30" customHeight="1">
      <c r="A5" s="3152" t="s">
        <v>1636</v>
      </c>
      <c r="B5" s="3152"/>
      <c r="C5" s="3152"/>
      <c r="D5" s="3153" t="e">
        <f ca="1">结果表!D119</f>
        <v>#REF!</v>
      </c>
      <c r="E5" s="3153"/>
      <c r="F5" s="3153" t="e">
        <f ca="1">结果表!F119</f>
        <v>#REF!</v>
      </c>
      <c r="G5" s="3153"/>
      <c r="H5" s="3153" t="str">
        <f ca="1">结果表!H119</f>
        <v>捌亿零陆佰叁拾万元整</v>
      </c>
      <c r="I5" s="3153"/>
    </row>
    <row r="6" spans="1:9" ht="15.75">
      <c r="A6" s="3151" t="str">
        <f>结果表!A120</f>
        <v>估价师知悉的法定优先受偿款</v>
      </c>
      <c r="B6" s="3151"/>
      <c r="C6" s="3151"/>
      <c r="D6" s="3151">
        <f>结果表!D120</f>
        <v>0</v>
      </c>
      <c r="E6" s="3151"/>
      <c r="F6" s="3151"/>
      <c r="G6" s="3151"/>
      <c r="H6" s="3151"/>
      <c r="I6" s="3151"/>
    </row>
    <row r="7" spans="1:9" ht="15">
      <c r="A7" s="3152" t="s">
        <v>1636</v>
      </c>
      <c r="B7" s="3152"/>
      <c r="C7" s="3152"/>
      <c r="D7" s="3154" t="str">
        <f>结果表!D121</f>
        <v>零元整</v>
      </c>
      <c r="E7" s="3155"/>
      <c r="F7" s="3155"/>
      <c r="G7" s="3155"/>
      <c r="H7" s="3155"/>
      <c r="I7" s="3156"/>
    </row>
    <row r="8" spans="1:9" ht="15.75">
      <c r="A8" s="3151" t="str">
        <f>结果表!A122</f>
        <v>房地产抵押价值</v>
      </c>
      <c r="B8" s="3151"/>
      <c r="C8" s="3151"/>
      <c r="D8" s="3151">
        <f ca="1">结果表!D122</f>
        <v>80630</v>
      </c>
      <c r="E8" s="3151"/>
      <c r="F8" s="3151"/>
      <c r="G8" s="3151"/>
      <c r="H8" s="3151"/>
      <c r="I8" s="3151"/>
    </row>
    <row r="9" spans="1:9" ht="15">
      <c r="A9" s="3152" t="s">
        <v>1636</v>
      </c>
      <c r="B9" s="3152"/>
      <c r="C9" s="3152"/>
      <c r="D9" s="3153" t="str">
        <f ca="1">结果表!D123</f>
        <v>捌亿零陆佰叁拾万元整</v>
      </c>
      <c r="E9" s="3153"/>
      <c r="F9" s="3153"/>
      <c r="G9" s="3153"/>
      <c r="H9" s="3153"/>
      <c r="I9" s="3153"/>
    </row>
    <row r="10" spans="1:9" ht="15.75">
      <c r="A10" s="3151" t="str">
        <f>结果表!A124</f>
        <v/>
      </c>
      <c r="B10" s="3151"/>
      <c r="C10" s="3151"/>
      <c r="D10" s="3151" t="str">
        <f>结果表!D124</f>
        <v>——</v>
      </c>
      <c r="E10" s="3151"/>
      <c r="F10" s="3151"/>
      <c r="G10" s="3151"/>
      <c r="H10" s="3151"/>
      <c r="I10" s="3151"/>
    </row>
    <row r="11" spans="1:9" ht="15">
      <c r="A11" s="3152" t="s">
        <v>1636</v>
      </c>
      <c r="B11" s="3152"/>
      <c r="C11" s="3152"/>
      <c r="D11" s="3153" t="e">
        <f>结果表!D125</f>
        <v>#VALUE!</v>
      </c>
      <c r="E11" s="3153"/>
      <c r="F11" s="3153"/>
      <c r="G11" s="3153"/>
      <c r="H11" s="3153"/>
      <c r="I11" s="3153"/>
    </row>
    <row r="12" spans="1:9" ht="15.75">
      <c r="A12" s="3151" t="str">
        <f>结果表!A126</f>
        <v>抵押净值</v>
      </c>
      <c r="B12" s="3151"/>
      <c r="C12" s="3151"/>
      <c r="D12" s="3151">
        <f ca="1">结果表!D126</f>
        <v>69397</v>
      </c>
      <c r="E12" s="3151"/>
      <c r="F12" s="3151"/>
      <c r="G12" s="3151"/>
      <c r="H12" s="3151"/>
      <c r="I12" s="3151"/>
    </row>
    <row r="13" spans="1:9" ht="15.75" thickBot="1">
      <c r="A13" s="3148" t="s">
        <v>1636</v>
      </c>
      <c r="B13" s="3148"/>
      <c r="C13" s="3148"/>
      <c r="D13" s="3149" t="str">
        <f ca="1">结果表!D127</f>
        <v>陆亿玖仟叁佰玖拾柒万元整</v>
      </c>
      <c r="E13" s="3149"/>
      <c r="F13" s="3149"/>
      <c r="G13" s="3149"/>
      <c r="H13" s="3149"/>
      <c r="I13" s="3149"/>
    </row>
    <row r="14" spans="1:9" ht="15" thickTop="1">
      <c r="A14" s="3150" t="s">
        <v>1641</v>
      </c>
      <c r="B14" s="3150"/>
      <c r="C14" s="3150"/>
      <c r="D14" s="3150"/>
      <c r="E14" s="3150"/>
      <c r="F14" s="3150"/>
      <c r="G14" s="3150"/>
      <c r="H14" s="3150"/>
      <c r="I14" s="315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
  <sheetViews>
    <sheetView topLeftCell="A7" workbookViewId="0">
      <selection activeCell="J19" sqref="J19"/>
    </sheetView>
  </sheetViews>
  <sheetFormatPr defaultRowHeight="13.5"/>
  <sheetData>
    <row r="1" spans="1:6" ht="14.25" thickBot="1">
      <c r="A1" s="3136" t="s">
        <v>4260</v>
      </c>
      <c r="B1" s="1840"/>
      <c r="C1" s="3039" t="e">
        <f>C23-#REF!</f>
        <v>#REF!</v>
      </c>
      <c r="D1" s="3040" t="e">
        <f>#REF!</f>
        <v>#REF!</v>
      </c>
      <c r="E1" s="1864"/>
      <c r="F1" s="1864"/>
    </row>
    <row r="2" spans="1:6">
      <c r="A2" s="3041" t="s">
        <v>1392</v>
      </c>
      <c r="B2" s="3042" t="s">
        <v>1393</v>
      </c>
      <c r="C2" s="3043" t="s">
        <v>1394</v>
      </c>
      <c r="D2" s="3042" t="s">
        <v>1395</v>
      </c>
      <c r="E2" s="3044" t="s">
        <v>1396</v>
      </c>
      <c r="F2" s="3045"/>
    </row>
    <row r="3" spans="1:6" ht="36">
      <c r="A3" s="3127">
        <v>1</v>
      </c>
      <c r="B3" s="3046" t="s">
        <v>1397</v>
      </c>
      <c r="C3" s="3047" t="e">
        <f>C4+C8+C10</f>
        <v>#REF!</v>
      </c>
      <c r="D3" s="3048"/>
      <c r="E3" s="3049"/>
      <c r="F3" s="3050"/>
    </row>
    <row r="4" spans="1:6">
      <c r="A4" s="3128">
        <v>-1</v>
      </c>
      <c r="B4" s="3051" t="s">
        <v>1486</v>
      </c>
      <c r="C4" s="3052" t="e">
        <f>ROUND(F4*F6*F5*(1-F7)/10000,0)</f>
        <v>#REF!</v>
      </c>
      <c r="D4" s="3053" t="s">
        <v>3026</v>
      </c>
      <c r="E4" s="3054" t="s">
        <v>1487</v>
      </c>
      <c r="F4" s="1279">
        <f>租约!H16</f>
        <v>0</v>
      </c>
    </row>
    <row r="5" spans="1:6">
      <c r="A5" s="3055"/>
      <c r="B5" s="3056"/>
      <c r="C5" s="3057"/>
      <c r="D5" s="3058"/>
      <c r="E5" s="3059" t="s">
        <v>1402</v>
      </c>
      <c r="F5" s="3060" t="e">
        <f>#REF!</f>
        <v>#REF!</v>
      </c>
    </row>
    <row r="6" spans="1:6">
      <c r="A6" s="3061"/>
      <c r="B6" s="3056"/>
      <c r="C6" s="3062"/>
      <c r="D6" s="3058"/>
      <c r="E6" s="3063" t="s">
        <v>1403</v>
      </c>
      <c r="F6" s="3064" t="e">
        <f>#REF!</f>
        <v>#REF!</v>
      </c>
    </row>
    <row r="7" spans="1:6">
      <c r="A7" s="3061"/>
      <c r="B7" s="3056"/>
      <c r="C7" s="3062"/>
      <c r="D7" s="3058"/>
      <c r="E7" s="3063" t="s">
        <v>1404</v>
      </c>
      <c r="F7" s="3065" t="e">
        <f>'数据-取费表'!#REF!</f>
        <v>#REF!</v>
      </c>
    </row>
    <row r="8" spans="1:6" ht="24">
      <c r="A8" s="3129">
        <v>-2</v>
      </c>
      <c r="B8" s="3066" t="s">
        <v>1405</v>
      </c>
      <c r="C8" s="3067" t="e">
        <f>ROUND(IF(F8="押一",C4/12*#REF!,IF(F8="押二",C4/12*2*#REF!,IF(F8="押三",C4/12*3*#REF!,C9*#REF!))),0)</f>
        <v>#REF!</v>
      </c>
      <c r="D8" s="3068" t="s">
        <v>3035</v>
      </c>
      <c r="E8" s="3069" t="s">
        <v>1406</v>
      </c>
      <c r="F8" s="3070" t="s">
        <v>4123</v>
      </c>
    </row>
    <row r="9" spans="1:6" ht="36">
      <c r="A9" s="3071"/>
      <c r="B9" s="3072" t="s">
        <v>1384</v>
      </c>
      <c r="C9" s="3073"/>
      <c r="D9" s="3068"/>
      <c r="E9" s="3074"/>
      <c r="F9" s="3075"/>
    </row>
    <row r="10" spans="1:6" ht="14.25" thickBot="1">
      <c r="A10" s="3130">
        <v>-3</v>
      </c>
      <c r="B10" s="3076" t="s">
        <v>1409</v>
      </c>
      <c r="C10" s="3077"/>
      <c r="D10" s="3068"/>
      <c r="E10" s="3074"/>
      <c r="F10" s="3075"/>
    </row>
    <row r="11" spans="1:6" ht="14.25" thickTop="1">
      <c r="A11" s="3078">
        <v>2</v>
      </c>
      <c r="B11" s="3079" t="s">
        <v>1410</v>
      </c>
      <c r="C11" s="3080" t="e">
        <f>#REF!</f>
        <v>#REF!</v>
      </c>
      <c r="D11" s="3081"/>
      <c r="E11" s="3082"/>
      <c r="F11" s="3075"/>
    </row>
    <row r="12" spans="1:6">
      <c r="A12" s="3083"/>
      <c r="B12" s="3084" t="s">
        <v>1474</v>
      </c>
      <c r="C12" s="3085" t="e">
        <f>#REF!</f>
        <v>#REF!</v>
      </c>
      <c r="D12" s="3086"/>
      <c r="E12" s="3087"/>
      <c r="F12" s="3088"/>
    </row>
    <row r="13" spans="1:6">
      <c r="A13" s="3131">
        <v>3</v>
      </c>
      <c r="B13" s="3079" t="s">
        <v>1420</v>
      </c>
      <c r="C13" s="3067" t="e">
        <f>ROUND(C14+C19+C20+C21,0)</f>
        <v>#REF!</v>
      </c>
      <c r="D13" s="3089" t="s">
        <v>1421</v>
      </c>
      <c r="E13" s="3090"/>
      <c r="F13" s="3050"/>
    </row>
    <row r="14" spans="1:6" ht="49.5">
      <c r="A14" s="3132">
        <v>-1</v>
      </c>
      <c r="B14" s="3084" t="s">
        <v>1425</v>
      </c>
      <c r="C14" s="3092" t="e">
        <f>ROUND(IF(项目基本情况!#REF!="自然人",C3*F14,C15+C16+C17),1)</f>
        <v>#REF!</v>
      </c>
      <c r="D14" s="3093" t="s">
        <v>1426</v>
      </c>
      <c r="E14" s="3094" t="s">
        <v>1427</v>
      </c>
      <c r="F14" s="3095" t="e">
        <f ca="1">IF(项目基本情况!#REF!="企业","",IF(INDIRECT("'数据-取费表'!c"&amp;$G$1)="住宅",5%,IF(F4*F5*F6/12/(1+'数据-取费表'!#REF!)&gt;20000,12%,7%)))</f>
        <v>#REF!</v>
      </c>
    </row>
    <row r="15" spans="1:6" ht="37.5">
      <c r="A15" s="3091" t="s">
        <v>1031</v>
      </c>
      <c r="B15" s="3084" t="s">
        <v>1429</v>
      </c>
      <c r="C15" s="3092" t="e">
        <f>IF(项目基本情况!#REF!="自然人","——",ROUND(C3*F15/(1+'数据-取费表'!#REF!),2))</f>
        <v>#REF!</v>
      </c>
      <c r="D15" s="3094" t="s">
        <v>1430</v>
      </c>
      <c r="E15" s="3084" t="s">
        <v>1418</v>
      </c>
      <c r="F15" s="3096" t="e">
        <f t="shared" ref="F15" si="0">#REF!</f>
        <v>#REF!</v>
      </c>
    </row>
    <row r="16" spans="1:6" ht="25.5">
      <c r="A16" s="3091" t="s">
        <v>1488</v>
      </c>
      <c r="B16" s="3084" t="s">
        <v>1433</v>
      </c>
      <c r="C16" s="3092" t="e">
        <f ca="1">IF(项目基本情况!#REF!="自然人","——",IF(D16="按租金收入计税",ROUND(C3*F16,2),IF(D16="按房产原值计税",ROUND(C12*F16*0.7,2),INDIRECT("'数据-取费表'!Aj"&amp;$G$1))))</f>
        <v>#REF!</v>
      </c>
      <c r="D16" s="3094" t="s">
        <v>3104</v>
      </c>
      <c r="E16" s="3084" t="s">
        <v>1418</v>
      </c>
      <c r="F16" s="3097" t="e">
        <f t="shared" ref="F16" si="1">#REF!</f>
        <v>#REF!</v>
      </c>
    </row>
    <row r="17" spans="1:6" ht="24.75">
      <c r="A17" s="3091" t="s">
        <v>1491</v>
      </c>
      <c r="B17" s="3098" t="s">
        <v>1437</v>
      </c>
      <c r="C17" s="3099" t="e">
        <f>IF(项目基本情况!#REF!="自然人","——",ROUND(F17*F18/10000,2))</f>
        <v>#REF!</v>
      </c>
      <c r="D17" s="3100" t="s">
        <v>1438</v>
      </c>
      <c r="E17" s="3084" t="s">
        <v>1439</v>
      </c>
      <c r="F17" s="3101" t="e">
        <f t="shared" ref="F17" si="2">#REF!</f>
        <v>#REF!</v>
      </c>
    </row>
    <row r="18" spans="1:6">
      <c r="A18" s="3102"/>
      <c r="B18" s="3103"/>
      <c r="C18" s="3104"/>
      <c r="D18" s="3105"/>
      <c r="E18" s="3084" t="s">
        <v>1443</v>
      </c>
      <c r="F18" s="3064" t="e">
        <f t="shared" ref="F18" si="3">#REF!</f>
        <v>#REF!</v>
      </c>
    </row>
    <row r="19" spans="1:6" ht="36.75">
      <c r="A19" s="3132">
        <v>-2</v>
      </c>
      <c r="B19" s="3084" t="s">
        <v>1445</v>
      </c>
      <c r="C19" s="3092" t="e">
        <f>ROUND(C12*F19,1)</f>
        <v>#REF!</v>
      </c>
      <c r="D19" s="3094" t="s">
        <v>1478</v>
      </c>
      <c r="E19" s="3084" t="s">
        <v>1418</v>
      </c>
      <c r="F19" s="3106" t="e">
        <f t="shared" ref="F19" si="4">#REF!</f>
        <v>#REF!</v>
      </c>
    </row>
    <row r="20" spans="1:6" ht="24.75">
      <c r="A20" s="3132">
        <v>-3</v>
      </c>
      <c r="B20" s="3084" t="s">
        <v>1449</v>
      </c>
      <c r="C20" s="3092" t="e">
        <f>ROUND(C11*F20,1)</f>
        <v>#REF!</v>
      </c>
      <c r="D20" s="3094" t="s">
        <v>1450</v>
      </c>
      <c r="E20" s="3084" t="s">
        <v>1418</v>
      </c>
      <c r="F20" s="3107" t="e">
        <f t="shared" ref="F20" si="5">#REF!</f>
        <v>#REF!</v>
      </c>
    </row>
    <row r="21" spans="1:6" ht="24.75">
      <c r="A21" s="3132">
        <v>-4</v>
      </c>
      <c r="B21" s="3084" t="s">
        <v>1435</v>
      </c>
      <c r="C21" s="3092" t="e">
        <f>ROUND(C3*F21,1)</f>
        <v>#REF!</v>
      </c>
      <c r="D21" s="3094" t="s">
        <v>1455</v>
      </c>
      <c r="E21" s="3084" t="s">
        <v>1418</v>
      </c>
      <c r="F21" s="3108" t="e">
        <f t="shared" ref="F21" si="6">#REF!</f>
        <v>#REF!</v>
      </c>
    </row>
    <row r="22" spans="1:6" ht="36">
      <c r="A22" s="3133">
        <v>4</v>
      </c>
      <c r="B22" s="3109" t="s">
        <v>1459</v>
      </c>
      <c r="C22" s="3067" t="e">
        <f>C3-C13</f>
        <v>#REF!</v>
      </c>
      <c r="D22" s="3093" t="s">
        <v>1460</v>
      </c>
      <c r="E22" s="3110"/>
      <c r="F22" s="3111"/>
    </row>
    <row r="23" spans="1:6" ht="36.75">
      <c r="A23" s="3134">
        <v>5</v>
      </c>
      <c r="B23" s="3112" t="s">
        <v>1481</v>
      </c>
      <c r="C23" s="3113" t="e">
        <f>ROUND(C22*(1-((1+F25)/(1+F23))^F24)/(F23-F25),0)</f>
        <v>#REF!</v>
      </c>
      <c r="D23" s="3100" t="s">
        <v>1465</v>
      </c>
      <c r="E23" s="3084" t="s">
        <v>1466</v>
      </c>
      <c r="F23" s="3108" t="e">
        <f>#REF!</f>
        <v>#REF!</v>
      </c>
    </row>
    <row r="24" spans="1:6" ht="51">
      <c r="A24" s="3114"/>
      <c r="B24" s="3115"/>
      <c r="C24" s="3116"/>
      <c r="D24" s="3117" t="s">
        <v>1469</v>
      </c>
      <c r="E24" s="3084" t="s">
        <v>1470</v>
      </c>
      <c r="F24" s="3118" t="e">
        <f>#REF!</f>
        <v>#REF!</v>
      </c>
    </row>
    <row r="25" spans="1:6">
      <c r="A25" s="3119"/>
      <c r="B25" s="3120"/>
      <c r="C25" s="3121"/>
      <c r="D25" s="3105"/>
      <c r="E25" s="3084" t="s">
        <v>1473</v>
      </c>
      <c r="F25" s="3065" t="e">
        <f>'数据-取费表'!#REF!</f>
        <v>#REF!</v>
      </c>
    </row>
    <row r="26" spans="1:6" ht="14.25" thickBot="1">
      <c r="A26" s="3135">
        <v>6</v>
      </c>
      <c r="B26" s="3122" t="s">
        <v>1483</v>
      </c>
      <c r="C26" s="3123" t="e">
        <f>ROUND(C23*10000/F26,0)</f>
        <v>#REF!</v>
      </c>
      <c r="D26" s="3124" t="s">
        <v>1484</v>
      </c>
      <c r="E26" s="3125" t="s">
        <v>1485</v>
      </c>
      <c r="F26" s="3126" t="e">
        <f>#REF!</f>
        <v>#REF!</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D16">
      <formula1>"按租金收入计税,按房产原值计税,按票据"</formula1>
    </dataValidation>
    <dataValidation type="list" allowBlank="1" showInputMessage="1" showErrorMessage="1" sqref="F8">
      <formula1>"押一,押二,押三,自定义"</formula1>
    </dataValidation>
  </dataValidations>
  <pageMargins left="0.7" right="0.7" top="0.75" bottom="0.75" header="0.3" footer="0.3"/>
  <pageSetup paperSize="9" orientation="portrait" verticalDpi="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5"/>
  <sheetViews>
    <sheetView topLeftCell="A438" workbookViewId="0">
      <selection activeCell="E475" sqref="E475"/>
    </sheetView>
  </sheetViews>
  <sheetFormatPr defaultRowHeight="13.5"/>
  <cols>
    <col min="3" max="3" width="30.25" customWidth="1"/>
  </cols>
  <sheetData>
    <row r="1" spans="1:6" ht="14.25" thickTop="1">
      <c r="A1" s="3484"/>
      <c r="B1" s="3485" t="s">
        <v>4264</v>
      </c>
      <c r="C1" s="3481" t="s">
        <v>4265</v>
      </c>
      <c r="D1" s="3475" t="s">
        <v>4148</v>
      </c>
      <c r="E1" s="3476" t="s">
        <v>4261</v>
      </c>
      <c r="F1" s="3477"/>
    </row>
    <row r="2" spans="1:6">
      <c r="A2" s="3484"/>
      <c r="B2" s="3485"/>
      <c r="C2" s="3482"/>
      <c r="D2" s="3483"/>
      <c r="E2" s="3478" t="s">
        <v>4262</v>
      </c>
      <c r="F2" s="3478" t="s">
        <v>4263</v>
      </c>
    </row>
    <row r="3" spans="1:6" ht="15.75">
      <c r="A3" s="3479"/>
      <c r="B3" s="3480">
        <v>1</v>
      </c>
      <c r="C3" s="3480" t="s">
        <v>3149</v>
      </c>
      <c r="D3" s="3480">
        <v>1631.58</v>
      </c>
      <c r="E3" s="3480">
        <v>1246</v>
      </c>
      <c r="F3" s="3480">
        <v>7638</v>
      </c>
    </row>
    <row r="4" spans="1:6" ht="15.75">
      <c r="A4" s="3479"/>
      <c r="B4" s="3480">
        <v>2</v>
      </c>
      <c r="C4" s="3480" t="s">
        <v>3151</v>
      </c>
      <c r="D4" s="3480">
        <v>1585.8</v>
      </c>
      <c r="E4" s="3480">
        <v>1151</v>
      </c>
      <c r="F4" s="3480">
        <v>7256</v>
      </c>
    </row>
    <row r="5" spans="1:6" ht="15.75">
      <c r="A5" s="3479"/>
      <c r="B5" s="3480">
        <v>3</v>
      </c>
      <c r="C5" s="3480" t="s">
        <v>3153</v>
      </c>
      <c r="D5" s="3480">
        <v>1588.17</v>
      </c>
      <c r="E5" s="3480">
        <v>1092</v>
      </c>
      <c r="F5" s="3480">
        <v>6876</v>
      </c>
    </row>
    <row r="6" spans="1:6">
      <c r="B6" s="3480">
        <v>4</v>
      </c>
      <c r="C6" s="3480" t="s">
        <v>3155</v>
      </c>
      <c r="D6" s="3480">
        <v>1333.62</v>
      </c>
      <c r="E6" s="3480">
        <v>1019</v>
      </c>
      <c r="F6" s="3480">
        <v>7638</v>
      </c>
    </row>
    <row r="7" spans="1:6">
      <c r="B7" s="3480">
        <v>5</v>
      </c>
      <c r="C7" s="3480" t="s">
        <v>3157</v>
      </c>
      <c r="D7" s="3480">
        <v>1315.17</v>
      </c>
      <c r="E7" s="3480">
        <v>954</v>
      </c>
      <c r="F7" s="3480">
        <v>7256</v>
      </c>
    </row>
    <row r="8" spans="1:6">
      <c r="B8" s="3480">
        <v>6</v>
      </c>
      <c r="C8" s="3480" t="s">
        <v>3159</v>
      </c>
      <c r="D8" s="3480">
        <v>26.43</v>
      </c>
      <c r="E8" s="3480">
        <v>20</v>
      </c>
      <c r="F8" s="3480">
        <v>7638</v>
      </c>
    </row>
    <row r="9" spans="1:6">
      <c r="B9" s="3480">
        <v>7</v>
      </c>
      <c r="C9" s="3480" t="s">
        <v>3161</v>
      </c>
      <c r="D9" s="3480">
        <v>37.799999999999997</v>
      </c>
      <c r="E9" s="3480">
        <v>29</v>
      </c>
      <c r="F9" s="3480">
        <v>7638</v>
      </c>
    </row>
    <row r="10" spans="1:6">
      <c r="B10" s="3480">
        <v>8</v>
      </c>
      <c r="C10" s="3480" t="s">
        <v>3163</v>
      </c>
      <c r="D10" s="3480">
        <v>64.959999999999994</v>
      </c>
      <c r="E10" s="3480">
        <v>50</v>
      </c>
      <c r="F10" s="3480">
        <v>7638</v>
      </c>
    </row>
    <row r="11" spans="1:6">
      <c r="B11" s="3480">
        <v>9</v>
      </c>
      <c r="C11" s="3480" t="s">
        <v>3165</v>
      </c>
      <c r="D11" s="3480">
        <v>27.01</v>
      </c>
      <c r="E11" s="3480">
        <v>21</v>
      </c>
      <c r="F11" s="3480">
        <v>7638</v>
      </c>
    </row>
    <row r="12" spans="1:6">
      <c r="B12" s="3480">
        <v>10</v>
      </c>
      <c r="C12" s="3480" t="s">
        <v>3167</v>
      </c>
      <c r="D12" s="3480">
        <v>28.81</v>
      </c>
      <c r="E12" s="3480">
        <v>22</v>
      </c>
      <c r="F12" s="3480">
        <v>7638</v>
      </c>
    </row>
    <row r="13" spans="1:6">
      <c r="B13" s="3480">
        <v>11</v>
      </c>
      <c r="C13" s="3480" t="s">
        <v>3169</v>
      </c>
      <c r="D13" s="3480">
        <v>50.99</v>
      </c>
      <c r="E13" s="3480">
        <v>39</v>
      </c>
      <c r="F13" s="3480">
        <v>7638</v>
      </c>
    </row>
    <row r="14" spans="1:6">
      <c r="B14" s="3480">
        <v>12</v>
      </c>
      <c r="C14" s="3480" t="s">
        <v>3171</v>
      </c>
      <c r="D14" s="3480">
        <v>60.18</v>
      </c>
      <c r="E14" s="3480">
        <v>46</v>
      </c>
      <c r="F14" s="3480">
        <v>7638</v>
      </c>
    </row>
    <row r="15" spans="1:6">
      <c r="B15" s="3480">
        <v>13</v>
      </c>
      <c r="C15" s="3480" t="s">
        <v>3173</v>
      </c>
      <c r="D15" s="3480">
        <v>22.6</v>
      </c>
      <c r="E15" s="3480">
        <v>17</v>
      </c>
      <c r="F15" s="3480">
        <v>7638</v>
      </c>
    </row>
    <row r="16" spans="1:6">
      <c r="B16" s="3480">
        <v>14</v>
      </c>
      <c r="C16" s="3480" t="s">
        <v>3175</v>
      </c>
      <c r="D16" s="3480">
        <v>28.01</v>
      </c>
      <c r="E16" s="3480">
        <v>21</v>
      </c>
      <c r="F16" s="3480">
        <v>7638</v>
      </c>
    </row>
    <row r="17" spans="2:6">
      <c r="B17" s="3480">
        <v>15</v>
      </c>
      <c r="C17" s="3480" t="s">
        <v>3177</v>
      </c>
      <c r="D17" s="3480">
        <v>48.52</v>
      </c>
      <c r="E17" s="3480">
        <v>37</v>
      </c>
      <c r="F17" s="3480">
        <v>7638</v>
      </c>
    </row>
    <row r="18" spans="2:6">
      <c r="B18" s="3480">
        <v>16</v>
      </c>
      <c r="C18" s="3480" t="s">
        <v>3179</v>
      </c>
      <c r="D18" s="3480">
        <v>34.21</v>
      </c>
      <c r="E18" s="3480">
        <v>26</v>
      </c>
      <c r="F18" s="3480">
        <v>7638</v>
      </c>
    </row>
    <row r="19" spans="2:6">
      <c r="B19" s="3480">
        <v>17</v>
      </c>
      <c r="C19" s="3480" t="s">
        <v>3181</v>
      </c>
      <c r="D19" s="3480">
        <v>42.45</v>
      </c>
      <c r="E19" s="3480">
        <v>32</v>
      </c>
      <c r="F19" s="3480">
        <v>7638</v>
      </c>
    </row>
    <row r="20" spans="2:6">
      <c r="B20" s="3480">
        <v>18</v>
      </c>
      <c r="C20" s="3480" t="s">
        <v>3183</v>
      </c>
      <c r="D20" s="3480">
        <v>42.45</v>
      </c>
      <c r="E20" s="3480">
        <v>32</v>
      </c>
      <c r="F20" s="3480">
        <v>7638</v>
      </c>
    </row>
    <row r="21" spans="2:6">
      <c r="B21" s="3480">
        <v>19</v>
      </c>
      <c r="C21" s="3480" t="s">
        <v>3185</v>
      </c>
      <c r="D21" s="3480">
        <v>42.45</v>
      </c>
      <c r="E21" s="3480">
        <v>32</v>
      </c>
      <c r="F21" s="3480">
        <v>7638</v>
      </c>
    </row>
    <row r="22" spans="2:6">
      <c r="B22" s="3480">
        <v>20</v>
      </c>
      <c r="C22" s="3480" t="s">
        <v>3187</v>
      </c>
      <c r="D22" s="3480">
        <v>41.81</v>
      </c>
      <c r="E22" s="3480">
        <v>32</v>
      </c>
      <c r="F22" s="3480">
        <v>7638</v>
      </c>
    </row>
    <row r="23" spans="2:6">
      <c r="B23" s="3480">
        <v>21</v>
      </c>
      <c r="C23" s="3480" t="s">
        <v>3189</v>
      </c>
      <c r="D23" s="3480">
        <v>25.88</v>
      </c>
      <c r="E23" s="3480">
        <v>20</v>
      </c>
      <c r="F23" s="3480">
        <v>7638</v>
      </c>
    </row>
    <row r="24" spans="2:6">
      <c r="B24" s="3480">
        <v>22</v>
      </c>
      <c r="C24" s="3480" t="s">
        <v>3191</v>
      </c>
      <c r="D24" s="3480">
        <v>39.04</v>
      </c>
      <c r="E24" s="3480">
        <v>30</v>
      </c>
      <c r="F24" s="3480">
        <v>7638</v>
      </c>
    </row>
    <row r="25" spans="2:6">
      <c r="B25" s="3480">
        <v>23</v>
      </c>
      <c r="C25" s="3480" t="s">
        <v>3193</v>
      </c>
      <c r="D25" s="3480">
        <v>77.22</v>
      </c>
      <c r="E25" s="3480">
        <v>59</v>
      </c>
      <c r="F25" s="3480">
        <v>7638</v>
      </c>
    </row>
    <row r="26" spans="2:6">
      <c r="B26" s="3480">
        <v>24</v>
      </c>
      <c r="C26" s="3480" t="s">
        <v>3195</v>
      </c>
      <c r="D26" s="3480">
        <v>70.98</v>
      </c>
      <c r="E26" s="3480">
        <v>54</v>
      </c>
      <c r="F26" s="3480">
        <v>7638</v>
      </c>
    </row>
    <row r="27" spans="2:6">
      <c r="B27" s="3480">
        <v>25</v>
      </c>
      <c r="C27" s="3480" t="s">
        <v>3197</v>
      </c>
      <c r="D27" s="3480">
        <v>69.91</v>
      </c>
      <c r="E27" s="3480">
        <v>53</v>
      </c>
      <c r="F27" s="3480">
        <v>7638</v>
      </c>
    </row>
    <row r="28" spans="2:6">
      <c r="B28" s="3480">
        <v>26</v>
      </c>
      <c r="C28" s="3480" t="s">
        <v>3199</v>
      </c>
      <c r="D28" s="3480">
        <v>71.180000000000007</v>
      </c>
      <c r="E28" s="3480">
        <v>54</v>
      </c>
      <c r="F28" s="3480">
        <v>7638</v>
      </c>
    </row>
    <row r="29" spans="2:6">
      <c r="B29" s="3480">
        <v>27</v>
      </c>
      <c r="C29" s="3480" t="s">
        <v>3201</v>
      </c>
      <c r="D29" s="3480">
        <v>114.79</v>
      </c>
      <c r="E29" s="3480">
        <v>88</v>
      </c>
      <c r="F29" s="3480">
        <v>7638</v>
      </c>
    </row>
    <row r="30" spans="2:6">
      <c r="B30" s="3480">
        <v>28</v>
      </c>
      <c r="C30" s="3480" t="s">
        <v>3203</v>
      </c>
      <c r="D30" s="3480">
        <v>37.21</v>
      </c>
      <c r="E30" s="3480">
        <v>28</v>
      </c>
      <c r="F30" s="3480">
        <v>7638</v>
      </c>
    </row>
    <row r="31" spans="2:6">
      <c r="B31" s="3480">
        <v>29</v>
      </c>
      <c r="C31" s="3480" t="s">
        <v>3205</v>
      </c>
      <c r="D31" s="3480">
        <v>38.590000000000003</v>
      </c>
      <c r="E31" s="3480">
        <v>29</v>
      </c>
      <c r="F31" s="3480">
        <v>7638</v>
      </c>
    </row>
    <row r="32" spans="2:6">
      <c r="B32" s="3480">
        <v>30</v>
      </c>
      <c r="C32" s="3480" t="s">
        <v>3207</v>
      </c>
      <c r="D32" s="3480">
        <v>37.9</v>
      </c>
      <c r="E32" s="3480">
        <v>29</v>
      </c>
      <c r="F32" s="3480">
        <v>7638</v>
      </c>
    </row>
    <row r="33" spans="2:6">
      <c r="B33" s="3480">
        <v>31</v>
      </c>
      <c r="C33" s="3480" t="s">
        <v>3209</v>
      </c>
      <c r="D33" s="3480">
        <v>38.590000000000003</v>
      </c>
      <c r="E33" s="3480">
        <v>29</v>
      </c>
      <c r="F33" s="3480">
        <v>7638</v>
      </c>
    </row>
    <row r="34" spans="2:6">
      <c r="B34" s="3480">
        <v>32</v>
      </c>
      <c r="C34" s="3480" t="s">
        <v>3211</v>
      </c>
      <c r="D34" s="3480">
        <v>45.48</v>
      </c>
      <c r="E34" s="3480">
        <v>35</v>
      </c>
      <c r="F34" s="3480">
        <v>7638</v>
      </c>
    </row>
    <row r="35" spans="2:6">
      <c r="B35" s="3480">
        <v>33</v>
      </c>
      <c r="C35" s="3480" t="s">
        <v>3213</v>
      </c>
      <c r="D35" s="3480">
        <v>46.17</v>
      </c>
      <c r="E35" s="3480">
        <v>35</v>
      </c>
      <c r="F35" s="3480">
        <v>7638</v>
      </c>
    </row>
    <row r="36" spans="2:6">
      <c r="B36" s="3480">
        <v>34</v>
      </c>
      <c r="C36" s="3480" t="s">
        <v>3215</v>
      </c>
      <c r="D36" s="3480">
        <v>46.17</v>
      </c>
      <c r="E36" s="3480">
        <v>35</v>
      </c>
      <c r="F36" s="3480">
        <v>7638</v>
      </c>
    </row>
    <row r="37" spans="2:6">
      <c r="B37" s="3480">
        <v>35</v>
      </c>
      <c r="C37" s="3480" t="s">
        <v>3217</v>
      </c>
      <c r="D37" s="3480">
        <v>46.17</v>
      </c>
      <c r="E37" s="3480">
        <v>35</v>
      </c>
      <c r="F37" s="3480">
        <v>7638</v>
      </c>
    </row>
    <row r="38" spans="2:6">
      <c r="B38" s="3480">
        <v>36</v>
      </c>
      <c r="C38" s="3480" t="s">
        <v>3219</v>
      </c>
      <c r="D38" s="3480">
        <v>41.35</v>
      </c>
      <c r="E38" s="3480">
        <v>32</v>
      </c>
      <c r="F38" s="3480">
        <v>7638</v>
      </c>
    </row>
    <row r="39" spans="2:6">
      <c r="B39" s="3480">
        <v>37</v>
      </c>
      <c r="C39" s="3480" t="s">
        <v>3221</v>
      </c>
      <c r="D39" s="3480">
        <v>41.35</v>
      </c>
      <c r="E39" s="3480">
        <v>32</v>
      </c>
      <c r="F39" s="3480">
        <v>7638</v>
      </c>
    </row>
    <row r="40" spans="2:6">
      <c r="B40" s="3480">
        <v>38</v>
      </c>
      <c r="C40" s="3480" t="s">
        <v>3223</v>
      </c>
      <c r="D40" s="3480">
        <v>41.35</v>
      </c>
      <c r="E40" s="3480">
        <v>32</v>
      </c>
      <c r="F40" s="3480">
        <v>7638</v>
      </c>
    </row>
    <row r="41" spans="2:6">
      <c r="B41" s="3480">
        <v>39</v>
      </c>
      <c r="C41" s="3480" t="s">
        <v>3225</v>
      </c>
      <c r="D41" s="3480">
        <v>2592.6999999999998</v>
      </c>
      <c r="E41" s="3480">
        <v>1881</v>
      </c>
      <c r="F41" s="3480">
        <v>7256</v>
      </c>
    </row>
    <row r="42" spans="2:6">
      <c r="B42" s="3480">
        <v>40</v>
      </c>
      <c r="C42" s="3480" t="s">
        <v>3227</v>
      </c>
      <c r="D42" s="3480">
        <v>34.630000000000003</v>
      </c>
      <c r="E42" s="3480">
        <v>26</v>
      </c>
      <c r="F42" s="3480">
        <v>7638</v>
      </c>
    </row>
    <row r="43" spans="2:6">
      <c r="B43" s="3480">
        <v>41</v>
      </c>
      <c r="C43" s="3480" t="s">
        <v>3229</v>
      </c>
      <c r="D43" s="3480">
        <v>1298.05</v>
      </c>
      <c r="E43" s="3480">
        <v>991</v>
      </c>
      <c r="F43" s="3480">
        <v>7638</v>
      </c>
    </row>
    <row r="44" spans="2:6">
      <c r="B44" s="3480">
        <v>42</v>
      </c>
      <c r="C44" s="3480" t="s">
        <v>3231</v>
      </c>
      <c r="D44" s="3480">
        <v>1174.06</v>
      </c>
      <c r="E44" s="3480">
        <v>852</v>
      </c>
      <c r="F44" s="3480">
        <v>7256</v>
      </c>
    </row>
    <row r="45" spans="2:6">
      <c r="B45" s="3480">
        <v>43</v>
      </c>
      <c r="C45" s="3480" t="s">
        <v>3233</v>
      </c>
      <c r="D45" s="3480">
        <v>1091.3</v>
      </c>
      <c r="E45" s="3480">
        <v>750</v>
      </c>
      <c r="F45" s="3480">
        <v>6873</v>
      </c>
    </row>
    <row r="46" spans="2:6">
      <c r="B46" s="3480">
        <v>44</v>
      </c>
      <c r="C46" s="3480" t="s">
        <v>3235</v>
      </c>
      <c r="D46" s="3480">
        <v>1886.31</v>
      </c>
      <c r="E46" s="3480">
        <v>1441</v>
      </c>
      <c r="F46" s="3480">
        <v>7638</v>
      </c>
    </row>
    <row r="47" spans="2:6">
      <c r="B47" s="3480">
        <v>45</v>
      </c>
      <c r="C47" s="3480" t="s">
        <v>3237</v>
      </c>
      <c r="D47" s="3480">
        <v>23.37</v>
      </c>
      <c r="E47" s="3480">
        <v>17</v>
      </c>
      <c r="F47" s="3480">
        <v>7256</v>
      </c>
    </row>
    <row r="48" spans="2:6">
      <c r="B48" s="3480">
        <v>46</v>
      </c>
      <c r="C48" s="3480" t="s">
        <v>3239</v>
      </c>
      <c r="D48" s="3480">
        <v>42.37</v>
      </c>
      <c r="E48" s="3480">
        <v>31</v>
      </c>
      <c r="F48" s="3480">
        <v>7256</v>
      </c>
    </row>
    <row r="49" spans="2:6">
      <c r="B49" s="3480">
        <v>47</v>
      </c>
      <c r="C49" s="3480" t="s">
        <v>3241</v>
      </c>
      <c r="D49" s="3480">
        <v>45.01</v>
      </c>
      <c r="E49" s="3480">
        <v>33</v>
      </c>
      <c r="F49" s="3480">
        <v>7256</v>
      </c>
    </row>
    <row r="50" spans="2:6">
      <c r="B50" s="3480">
        <v>48</v>
      </c>
      <c r="C50" s="3480" t="s">
        <v>3243</v>
      </c>
      <c r="D50" s="3480">
        <v>47.94</v>
      </c>
      <c r="E50" s="3480">
        <v>35</v>
      </c>
      <c r="F50" s="3480">
        <v>7256</v>
      </c>
    </row>
    <row r="51" spans="2:6">
      <c r="B51" s="3480">
        <v>49</v>
      </c>
      <c r="C51" s="3480" t="s">
        <v>3245</v>
      </c>
      <c r="D51" s="3480">
        <v>48.02</v>
      </c>
      <c r="E51" s="3480">
        <v>35</v>
      </c>
      <c r="F51" s="3480">
        <v>7256</v>
      </c>
    </row>
    <row r="52" spans="2:6">
      <c r="B52" s="3480">
        <v>50</v>
      </c>
      <c r="C52" s="3480" t="s">
        <v>3247</v>
      </c>
      <c r="D52" s="3480">
        <v>45.01</v>
      </c>
      <c r="E52" s="3480">
        <v>33</v>
      </c>
      <c r="F52" s="3480">
        <v>7256</v>
      </c>
    </row>
    <row r="53" spans="2:6">
      <c r="B53" s="3480">
        <v>51</v>
      </c>
      <c r="C53" s="3480" t="s">
        <v>3249</v>
      </c>
      <c r="D53" s="3480">
        <v>45.01</v>
      </c>
      <c r="E53" s="3480">
        <v>33</v>
      </c>
      <c r="F53" s="3480">
        <v>7256</v>
      </c>
    </row>
    <row r="54" spans="2:6">
      <c r="B54" s="3480">
        <v>52</v>
      </c>
      <c r="C54" s="3480" t="s">
        <v>3251</v>
      </c>
      <c r="D54" s="3480">
        <v>45.01</v>
      </c>
      <c r="E54" s="3480">
        <v>33</v>
      </c>
      <c r="F54" s="3480">
        <v>7256</v>
      </c>
    </row>
    <row r="55" spans="2:6">
      <c r="B55" s="3480">
        <v>53</v>
      </c>
      <c r="C55" s="3480" t="s">
        <v>3253</v>
      </c>
      <c r="D55" s="3480">
        <v>50.02</v>
      </c>
      <c r="E55" s="3480">
        <v>36</v>
      </c>
      <c r="F55" s="3480">
        <v>7256</v>
      </c>
    </row>
    <row r="56" spans="2:6">
      <c r="B56" s="3480">
        <v>54</v>
      </c>
      <c r="C56" s="3480" t="s">
        <v>3255</v>
      </c>
      <c r="D56" s="3480">
        <v>45.01</v>
      </c>
      <c r="E56" s="3480">
        <v>33</v>
      </c>
      <c r="F56" s="3480">
        <v>7256</v>
      </c>
    </row>
    <row r="57" spans="2:6">
      <c r="B57" s="3480">
        <v>55</v>
      </c>
      <c r="C57" s="3480" t="s">
        <v>3257</v>
      </c>
      <c r="D57" s="3480">
        <v>47.87</v>
      </c>
      <c r="E57" s="3480">
        <v>35</v>
      </c>
      <c r="F57" s="3480">
        <v>7256</v>
      </c>
    </row>
    <row r="58" spans="2:6">
      <c r="B58" s="3480">
        <v>56</v>
      </c>
      <c r="C58" s="3480" t="s">
        <v>3259</v>
      </c>
      <c r="D58" s="3480">
        <v>45.01</v>
      </c>
      <c r="E58" s="3480">
        <v>33</v>
      </c>
      <c r="F58" s="3480">
        <v>7256</v>
      </c>
    </row>
    <row r="59" spans="2:6">
      <c r="B59" s="3480">
        <v>57</v>
      </c>
      <c r="C59" s="3480" t="s">
        <v>3261</v>
      </c>
      <c r="D59" s="3480">
        <v>45.01</v>
      </c>
      <c r="E59" s="3480">
        <v>33</v>
      </c>
      <c r="F59" s="3480">
        <v>7256</v>
      </c>
    </row>
    <row r="60" spans="2:6">
      <c r="B60" s="3480">
        <v>58</v>
      </c>
      <c r="C60" s="3480" t="s">
        <v>3263</v>
      </c>
      <c r="D60" s="3480">
        <v>45.01</v>
      </c>
      <c r="E60" s="3480">
        <v>33</v>
      </c>
      <c r="F60" s="3480">
        <v>7256</v>
      </c>
    </row>
    <row r="61" spans="2:6">
      <c r="B61" s="3480">
        <v>59</v>
      </c>
      <c r="C61" s="3480" t="s">
        <v>3265</v>
      </c>
      <c r="D61" s="3480">
        <v>45.01</v>
      </c>
      <c r="E61" s="3480">
        <v>33</v>
      </c>
      <c r="F61" s="3480">
        <v>7256</v>
      </c>
    </row>
    <row r="62" spans="2:6">
      <c r="B62" s="3480">
        <v>60</v>
      </c>
      <c r="C62" s="3480" t="s">
        <v>3267</v>
      </c>
      <c r="D62" s="3480">
        <v>45.83</v>
      </c>
      <c r="E62" s="3480">
        <v>33</v>
      </c>
      <c r="F62" s="3480">
        <v>7256</v>
      </c>
    </row>
    <row r="63" spans="2:6">
      <c r="B63" s="3480">
        <v>61</v>
      </c>
      <c r="C63" s="3480" t="s">
        <v>3269</v>
      </c>
      <c r="D63" s="3480">
        <v>40.590000000000003</v>
      </c>
      <c r="E63" s="3480">
        <v>29</v>
      </c>
      <c r="F63" s="3480">
        <v>7256</v>
      </c>
    </row>
    <row r="64" spans="2:6">
      <c r="B64" s="3480">
        <v>62</v>
      </c>
      <c r="C64" s="3480" t="s">
        <v>3271</v>
      </c>
      <c r="D64" s="3480">
        <v>83.05</v>
      </c>
      <c r="E64" s="3480">
        <v>60</v>
      </c>
      <c r="F64" s="3480">
        <v>7256</v>
      </c>
    </row>
    <row r="65" spans="2:6">
      <c r="B65" s="3480">
        <v>63</v>
      </c>
      <c r="C65" s="3480" t="s">
        <v>3273</v>
      </c>
      <c r="D65" s="3480">
        <v>55.66</v>
      </c>
      <c r="E65" s="3480">
        <v>40</v>
      </c>
      <c r="F65" s="3480">
        <v>7256</v>
      </c>
    </row>
    <row r="66" spans="2:6">
      <c r="B66" s="3480">
        <v>64</v>
      </c>
      <c r="C66" s="3480" t="s">
        <v>3275</v>
      </c>
      <c r="D66" s="3480">
        <v>55.95</v>
      </c>
      <c r="E66" s="3480">
        <v>41</v>
      </c>
      <c r="F66" s="3480">
        <v>7256</v>
      </c>
    </row>
    <row r="67" spans="2:6">
      <c r="B67" s="3480">
        <v>65</v>
      </c>
      <c r="C67" s="3480" t="s">
        <v>3277</v>
      </c>
      <c r="D67" s="3480">
        <v>55.95</v>
      </c>
      <c r="E67" s="3480">
        <v>41</v>
      </c>
      <c r="F67" s="3480">
        <v>7256</v>
      </c>
    </row>
    <row r="68" spans="2:6">
      <c r="B68" s="3480">
        <v>66</v>
      </c>
      <c r="C68" s="3480" t="s">
        <v>3279</v>
      </c>
      <c r="D68" s="3480">
        <v>55.66</v>
      </c>
      <c r="E68" s="3480">
        <v>40</v>
      </c>
      <c r="F68" s="3480">
        <v>7256</v>
      </c>
    </row>
    <row r="69" spans="2:6">
      <c r="B69" s="3480">
        <v>67</v>
      </c>
      <c r="C69" s="3480" t="s">
        <v>3281</v>
      </c>
      <c r="D69" s="3480">
        <v>55.95</v>
      </c>
      <c r="E69" s="3480">
        <v>41</v>
      </c>
      <c r="F69" s="3480">
        <v>7256</v>
      </c>
    </row>
    <row r="70" spans="2:6">
      <c r="B70" s="3480">
        <v>68</v>
      </c>
      <c r="C70" s="3480" t="s">
        <v>3283</v>
      </c>
      <c r="D70" s="3480">
        <v>55.95</v>
      </c>
      <c r="E70" s="3480">
        <v>41</v>
      </c>
      <c r="F70" s="3480">
        <v>7256</v>
      </c>
    </row>
    <row r="71" spans="2:6">
      <c r="B71" s="3480">
        <v>69</v>
      </c>
      <c r="C71" s="3480" t="s">
        <v>3285</v>
      </c>
      <c r="D71" s="3480">
        <v>73.31</v>
      </c>
      <c r="E71" s="3480">
        <v>53</v>
      </c>
      <c r="F71" s="3480">
        <v>7256</v>
      </c>
    </row>
    <row r="72" spans="2:6">
      <c r="B72" s="3480">
        <v>70</v>
      </c>
      <c r="C72" s="3480" t="s">
        <v>3287</v>
      </c>
      <c r="D72" s="3480">
        <v>39.26</v>
      </c>
      <c r="E72" s="3480">
        <v>28</v>
      </c>
      <c r="F72" s="3480">
        <v>7256</v>
      </c>
    </row>
    <row r="73" spans="2:6">
      <c r="B73" s="3480">
        <v>71</v>
      </c>
      <c r="C73" s="3480" t="s">
        <v>3289</v>
      </c>
      <c r="D73" s="3480">
        <v>41.42</v>
      </c>
      <c r="E73" s="3480">
        <v>30</v>
      </c>
      <c r="F73" s="3480">
        <v>7256</v>
      </c>
    </row>
    <row r="74" spans="2:6">
      <c r="B74" s="3480">
        <v>72</v>
      </c>
      <c r="C74" s="3480" t="s">
        <v>3291</v>
      </c>
      <c r="D74" s="3480">
        <v>57.01</v>
      </c>
      <c r="E74" s="3480">
        <v>41</v>
      </c>
      <c r="F74" s="3480">
        <v>7256</v>
      </c>
    </row>
    <row r="75" spans="2:6">
      <c r="B75" s="3480">
        <v>73</v>
      </c>
      <c r="C75" s="3480" t="s">
        <v>3293</v>
      </c>
      <c r="D75" s="3480">
        <v>58.89</v>
      </c>
      <c r="E75" s="3480">
        <v>43</v>
      </c>
      <c r="F75" s="3480">
        <v>7256</v>
      </c>
    </row>
    <row r="76" spans="2:6">
      <c r="B76" s="3480">
        <v>74</v>
      </c>
      <c r="C76" s="3480" t="s">
        <v>3295</v>
      </c>
      <c r="D76" s="3480">
        <v>58.67</v>
      </c>
      <c r="E76" s="3480">
        <v>43</v>
      </c>
      <c r="F76" s="3480">
        <v>7256</v>
      </c>
    </row>
    <row r="77" spans="2:6">
      <c r="B77" s="3480">
        <v>75</v>
      </c>
      <c r="C77" s="3480" t="s">
        <v>3297</v>
      </c>
      <c r="D77" s="3480">
        <v>57.85</v>
      </c>
      <c r="E77" s="3480">
        <v>42</v>
      </c>
      <c r="F77" s="3480">
        <v>7256</v>
      </c>
    </row>
    <row r="78" spans="2:6">
      <c r="B78" s="3480">
        <v>76</v>
      </c>
      <c r="C78" s="3480" t="s">
        <v>3299</v>
      </c>
      <c r="D78" s="3480">
        <v>55.66</v>
      </c>
      <c r="E78" s="3480">
        <v>40</v>
      </c>
      <c r="F78" s="3480">
        <v>7256</v>
      </c>
    </row>
    <row r="79" spans="2:6">
      <c r="B79" s="3480">
        <v>77</v>
      </c>
      <c r="C79" s="3480" t="s">
        <v>3301</v>
      </c>
      <c r="D79" s="3480">
        <v>96.66</v>
      </c>
      <c r="E79" s="3480">
        <v>70</v>
      </c>
      <c r="F79" s="3480">
        <v>7256</v>
      </c>
    </row>
    <row r="80" spans="2:6">
      <c r="B80" s="3480">
        <v>78</v>
      </c>
      <c r="C80" s="3480" t="s">
        <v>3303</v>
      </c>
      <c r="D80" s="3480">
        <v>39.57</v>
      </c>
      <c r="E80" s="3480">
        <v>27</v>
      </c>
      <c r="F80" s="3480">
        <v>6823</v>
      </c>
    </row>
    <row r="81" spans="2:6">
      <c r="B81" s="3480">
        <v>79</v>
      </c>
      <c r="C81" s="3480" t="s">
        <v>3305</v>
      </c>
      <c r="D81" s="3480">
        <v>42.13</v>
      </c>
      <c r="E81" s="3480">
        <v>29</v>
      </c>
      <c r="F81" s="3480">
        <v>6883</v>
      </c>
    </row>
    <row r="82" spans="2:6">
      <c r="B82" s="3480">
        <v>80</v>
      </c>
      <c r="C82" s="3480" t="s">
        <v>3307</v>
      </c>
      <c r="D82" s="3480">
        <v>42.13</v>
      </c>
      <c r="E82" s="3480">
        <v>29</v>
      </c>
      <c r="F82" s="3480">
        <v>6883</v>
      </c>
    </row>
    <row r="83" spans="2:6">
      <c r="B83" s="3480">
        <v>81</v>
      </c>
      <c r="C83" s="3480" t="s">
        <v>3309</v>
      </c>
      <c r="D83" s="3480">
        <v>42.13</v>
      </c>
      <c r="E83" s="3480">
        <v>29</v>
      </c>
      <c r="F83" s="3480">
        <v>6883</v>
      </c>
    </row>
    <row r="84" spans="2:6">
      <c r="B84" s="3480">
        <v>82</v>
      </c>
      <c r="C84" s="3480" t="s">
        <v>3311</v>
      </c>
      <c r="D84" s="3480">
        <v>42.13</v>
      </c>
      <c r="E84" s="3480">
        <v>29</v>
      </c>
      <c r="F84" s="3480">
        <v>6883</v>
      </c>
    </row>
    <row r="85" spans="2:6">
      <c r="B85" s="3480">
        <v>83</v>
      </c>
      <c r="C85" s="3480" t="s">
        <v>3313</v>
      </c>
      <c r="D85" s="3480">
        <v>42.13</v>
      </c>
      <c r="E85" s="3480">
        <v>29</v>
      </c>
      <c r="F85" s="3480">
        <v>6883</v>
      </c>
    </row>
    <row r="86" spans="2:6">
      <c r="B86" s="3480">
        <v>84</v>
      </c>
      <c r="C86" s="3480" t="s">
        <v>3315</v>
      </c>
      <c r="D86" s="3480">
        <v>42.13</v>
      </c>
      <c r="E86" s="3480">
        <v>29</v>
      </c>
      <c r="F86" s="3480">
        <v>6883</v>
      </c>
    </row>
    <row r="87" spans="2:6">
      <c r="B87" s="3480">
        <v>85</v>
      </c>
      <c r="C87" s="3480" t="s">
        <v>3317</v>
      </c>
      <c r="D87" s="3480">
        <v>50.52</v>
      </c>
      <c r="E87" s="3480">
        <v>35</v>
      </c>
      <c r="F87" s="3480">
        <v>6928</v>
      </c>
    </row>
    <row r="88" spans="2:6">
      <c r="B88" s="3480">
        <v>86</v>
      </c>
      <c r="C88" s="3480" t="s">
        <v>3319</v>
      </c>
      <c r="D88" s="3480">
        <v>42.13</v>
      </c>
      <c r="E88" s="3480">
        <v>29</v>
      </c>
      <c r="F88" s="3480">
        <v>6883</v>
      </c>
    </row>
    <row r="89" spans="2:6">
      <c r="B89" s="3480">
        <v>87</v>
      </c>
      <c r="C89" s="3480" t="s">
        <v>3321</v>
      </c>
      <c r="D89" s="3480">
        <v>42.13</v>
      </c>
      <c r="E89" s="3480">
        <v>29</v>
      </c>
      <c r="F89" s="3480">
        <v>6883</v>
      </c>
    </row>
    <row r="90" spans="2:6">
      <c r="B90" s="3480">
        <v>88</v>
      </c>
      <c r="C90" s="3480" t="s">
        <v>3323</v>
      </c>
      <c r="D90" s="3480">
        <v>42.13</v>
      </c>
      <c r="E90" s="3480">
        <v>29</v>
      </c>
      <c r="F90" s="3480">
        <v>6883</v>
      </c>
    </row>
    <row r="91" spans="2:6">
      <c r="B91" s="3480">
        <v>89</v>
      </c>
      <c r="C91" s="3480" t="s">
        <v>3325</v>
      </c>
      <c r="D91" s="3480">
        <v>42.13</v>
      </c>
      <c r="E91" s="3480">
        <v>29</v>
      </c>
      <c r="F91" s="3480">
        <v>6883</v>
      </c>
    </row>
    <row r="92" spans="2:6">
      <c r="B92" s="3480">
        <v>90</v>
      </c>
      <c r="C92" s="3480" t="s">
        <v>3327</v>
      </c>
      <c r="D92" s="3480">
        <v>42.13</v>
      </c>
      <c r="E92" s="3480">
        <v>29</v>
      </c>
      <c r="F92" s="3480">
        <v>6883</v>
      </c>
    </row>
    <row r="93" spans="2:6">
      <c r="B93" s="3480">
        <v>91</v>
      </c>
      <c r="C93" s="3480" t="s">
        <v>3329</v>
      </c>
      <c r="D93" s="3480">
        <v>42.13</v>
      </c>
      <c r="E93" s="3480">
        <v>29</v>
      </c>
      <c r="F93" s="3480">
        <v>6883</v>
      </c>
    </row>
    <row r="94" spans="2:6">
      <c r="B94" s="3480">
        <v>92</v>
      </c>
      <c r="C94" s="3480" t="s">
        <v>3331</v>
      </c>
      <c r="D94" s="3480">
        <v>42.98</v>
      </c>
      <c r="E94" s="3480">
        <v>30</v>
      </c>
      <c r="F94" s="3480">
        <v>6980</v>
      </c>
    </row>
    <row r="95" spans="2:6">
      <c r="B95" s="3480">
        <v>93</v>
      </c>
      <c r="C95" s="3480" t="s">
        <v>3333</v>
      </c>
      <c r="D95" s="3480">
        <v>35.65</v>
      </c>
      <c r="E95" s="3480">
        <v>25</v>
      </c>
      <c r="F95" s="3480">
        <v>7013</v>
      </c>
    </row>
    <row r="96" spans="2:6">
      <c r="B96" s="3480">
        <v>94</v>
      </c>
      <c r="C96" s="3480" t="s">
        <v>3335</v>
      </c>
      <c r="D96" s="3480">
        <v>41.83</v>
      </c>
      <c r="E96" s="3480">
        <v>29</v>
      </c>
      <c r="F96" s="3480">
        <v>6933</v>
      </c>
    </row>
    <row r="97" spans="2:6">
      <c r="B97" s="3480">
        <v>95</v>
      </c>
      <c r="C97" s="3480" t="s">
        <v>3337</v>
      </c>
      <c r="D97" s="3480">
        <v>42.13</v>
      </c>
      <c r="E97" s="3480">
        <v>29</v>
      </c>
      <c r="F97" s="3480">
        <v>6883</v>
      </c>
    </row>
    <row r="98" spans="2:6">
      <c r="B98" s="3480">
        <v>96</v>
      </c>
      <c r="C98" s="3480" t="s">
        <v>3339</v>
      </c>
      <c r="D98" s="3480">
        <v>42.13</v>
      </c>
      <c r="E98" s="3480">
        <v>29</v>
      </c>
      <c r="F98" s="3480">
        <v>6883</v>
      </c>
    </row>
    <row r="99" spans="2:6">
      <c r="B99" s="3480">
        <v>97</v>
      </c>
      <c r="C99" s="3480" t="s">
        <v>3341</v>
      </c>
      <c r="D99" s="3480">
        <v>41.83</v>
      </c>
      <c r="E99" s="3480">
        <v>29</v>
      </c>
      <c r="F99" s="3480">
        <v>6933</v>
      </c>
    </row>
    <row r="100" spans="2:6">
      <c r="B100" s="3480">
        <v>98</v>
      </c>
      <c r="C100" s="3480" t="s">
        <v>3343</v>
      </c>
      <c r="D100" s="3480">
        <v>42.13</v>
      </c>
      <c r="E100" s="3480">
        <v>29</v>
      </c>
      <c r="F100" s="3480">
        <v>6883</v>
      </c>
    </row>
    <row r="101" spans="2:6">
      <c r="B101" s="3480">
        <v>99</v>
      </c>
      <c r="C101" s="3480" t="s">
        <v>3345</v>
      </c>
      <c r="D101" s="3480">
        <v>42.13</v>
      </c>
      <c r="E101" s="3480">
        <v>29</v>
      </c>
      <c r="F101" s="3480">
        <v>6883</v>
      </c>
    </row>
    <row r="102" spans="2:6">
      <c r="B102" s="3480">
        <v>100</v>
      </c>
      <c r="C102" s="3480" t="s">
        <v>3347</v>
      </c>
      <c r="D102" s="3480">
        <v>42.13</v>
      </c>
      <c r="E102" s="3480">
        <v>29</v>
      </c>
      <c r="F102" s="3480">
        <v>6883</v>
      </c>
    </row>
    <row r="103" spans="2:6">
      <c r="B103" s="3480">
        <v>101</v>
      </c>
      <c r="C103" s="3480" t="s">
        <v>3349</v>
      </c>
      <c r="D103" s="3480">
        <v>63.28</v>
      </c>
      <c r="E103" s="3480">
        <v>44</v>
      </c>
      <c r="F103" s="3480">
        <v>6953</v>
      </c>
    </row>
    <row r="104" spans="2:6">
      <c r="B104" s="3480">
        <v>102</v>
      </c>
      <c r="C104" s="3480" t="s">
        <v>3351</v>
      </c>
      <c r="D104" s="3480">
        <v>62.1</v>
      </c>
      <c r="E104" s="3480">
        <v>43</v>
      </c>
      <c r="F104" s="3480">
        <v>6924</v>
      </c>
    </row>
    <row r="105" spans="2:6">
      <c r="B105" s="3480">
        <v>103</v>
      </c>
      <c r="C105" s="3480" t="s">
        <v>3353</v>
      </c>
      <c r="D105" s="3480">
        <v>42.13</v>
      </c>
      <c r="E105" s="3480">
        <v>29</v>
      </c>
      <c r="F105" s="3480">
        <v>6883</v>
      </c>
    </row>
    <row r="106" spans="2:6">
      <c r="B106" s="3480">
        <v>104</v>
      </c>
      <c r="C106" s="3480" t="s">
        <v>3355</v>
      </c>
      <c r="D106" s="3480">
        <v>42.13</v>
      </c>
      <c r="E106" s="3480">
        <v>29</v>
      </c>
      <c r="F106" s="3480">
        <v>6883</v>
      </c>
    </row>
    <row r="107" spans="2:6">
      <c r="B107" s="3480">
        <v>105</v>
      </c>
      <c r="C107" s="3480" t="s">
        <v>3357</v>
      </c>
      <c r="D107" s="3480">
        <v>41.83</v>
      </c>
      <c r="E107" s="3480">
        <v>29</v>
      </c>
      <c r="F107" s="3480">
        <v>6933</v>
      </c>
    </row>
    <row r="108" spans="2:6">
      <c r="B108" s="3480">
        <v>106</v>
      </c>
      <c r="C108" s="3480" t="s">
        <v>3359</v>
      </c>
      <c r="D108" s="3480">
        <v>42.13</v>
      </c>
      <c r="E108" s="3480">
        <v>29</v>
      </c>
      <c r="F108" s="3480">
        <v>6883</v>
      </c>
    </row>
    <row r="109" spans="2:6">
      <c r="B109" s="3480">
        <v>107</v>
      </c>
      <c r="C109" s="3480" t="s">
        <v>3361</v>
      </c>
      <c r="D109" s="3480">
        <v>41.83</v>
      </c>
      <c r="E109" s="3480">
        <v>29</v>
      </c>
      <c r="F109" s="3480">
        <v>6933</v>
      </c>
    </row>
    <row r="110" spans="2:6">
      <c r="B110" s="3480">
        <v>108</v>
      </c>
      <c r="C110" s="3480" t="s">
        <v>3363</v>
      </c>
      <c r="D110" s="3480">
        <v>57.34</v>
      </c>
      <c r="E110" s="3480">
        <v>36</v>
      </c>
      <c r="F110" s="3480">
        <v>6278</v>
      </c>
    </row>
    <row r="111" spans="2:6">
      <c r="B111" s="3480">
        <v>109</v>
      </c>
      <c r="C111" s="3480" t="s">
        <v>3365</v>
      </c>
      <c r="D111" s="3480">
        <v>720.27</v>
      </c>
      <c r="E111" s="3480">
        <v>550</v>
      </c>
      <c r="F111" s="3480">
        <v>7638</v>
      </c>
    </row>
    <row r="112" spans="2:6">
      <c r="B112" s="3480">
        <v>110</v>
      </c>
      <c r="C112" s="3480" t="s">
        <v>3367</v>
      </c>
      <c r="D112" s="3480">
        <v>2406.44</v>
      </c>
      <c r="E112" s="3480">
        <v>4599</v>
      </c>
      <c r="F112" s="3480">
        <v>19113</v>
      </c>
    </row>
    <row r="113" spans="2:6">
      <c r="B113" s="3480">
        <v>111</v>
      </c>
      <c r="C113" s="3480" t="s">
        <v>3369</v>
      </c>
      <c r="D113" s="3480">
        <v>123.82</v>
      </c>
      <c r="E113" s="3480">
        <v>237</v>
      </c>
      <c r="F113" s="3480">
        <v>19113</v>
      </c>
    </row>
    <row r="114" spans="2:6">
      <c r="B114" s="3480">
        <v>112</v>
      </c>
      <c r="C114" s="3480" t="s">
        <v>3371</v>
      </c>
      <c r="D114" s="3480">
        <v>58.65</v>
      </c>
      <c r="E114" s="3480">
        <v>112</v>
      </c>
      <c r="F114" s="3480">
        <v>19113</v>
      </c>
    </row>
    <row r="115" spans="2:6">
      <c r="B115" s="3480">
        <v>113</v>
      </c>
      <c r="C115" s="3480" t="s">
        <v>3373</v>
      </c>
      <c r="D115" s="3480">
        <v>58.65</v>
      </c>
      <c r="E115" s="3480">
        <v>112</v>
      </c>
      <c r="F115" s="3480">
        <v>19113</v>
      </c>
    </row>
    <row r="116" spans="2:6">
      <c r="B116" s="3480">
        <v>114</v>
      </c>
      <c r="C116" s="3480" t="s">
        <v>3375</v>
      </c>
      <c r="D116" s="3480">
        <v>58.65</v>
      </c>
      <c r="E116" s="3480">
        <v>112</v>
      </c>
      <c r="F116" s="3480">
        <v>19113</v>
      </c>
    </row>
    <row r="117" spans="2:6">
      <c r="B117" s="3480">
        <v>115</v>
      </c>
      <c r="C117" s="3480" t="s">
        <v>3377</v>
      </c>
      <c r="D117" s="3480">
        <v>58.65</v>
      </c>
      <c r="E117" s="3480">
        <v>112</v>
      </c>
      <c r="F117" s="3480">
        <v>19113</v>
      </c>
    </row>
    <row r="118" spans="2:6">
      <c r="B118" s="3480">
        <v>116</v>
      </c>
      <c r="C118" s="3480" t="s">
        <v>3379</v>
      </c>
      <c r="D118" s="3480">
        <v>58.65</v>
      </c>
      <c r="E118" s="3480">
        <v>112</v>
      </c>
      <c r="F118" s="3480">
        <v>19113</v>
      </c>
    </row>
    <row r="119" spans="2:6">
      <c r="B119" s="3480">
        <v>117</v>
      </c>
      <c r="C119" s="3480" t="s">
        <v>3381</v>
      </c>
      <c r="D119" s="3480">
        <v>58.65</v>
      </c>
      <c r="E119" s="3480">
        <v>112</v>
      </c>
      <c r="F119" s="3480">
        <v>19113</v>
      </c>
    </row>
    <row r="120" spans="2:6">
      <c r="B120" s="3480">
        <v>118</v>
      </c>
      <c r="C120" s="3480" t="s">
        <v>3383</v>
      </c>
      <c r="D120" s="3480">
        <v>58.65</v>
      </c>
      <c r="E120" s="3480">
        <v>112</v>
      </c>
      <c r="F120" s="3480">
        <v>19113</v>
      </c>
    </row>
    <row r="121" spans="2:6">
      <c r="B121" s="3480">
        <v>119</v>
      </c>
      <c r="C121" s="3480" t="s">
        <v>3385</v>
      </c>
      <c r="D121" s="3480">
        <v>58.65</v>
      </c>
      <c r="E121" s="3480">
        <v>112</v>
      </c>
      <c r="F121" s="3480">
        <v>19113</v>
      </c>
    </row>
    <row r="122" spans="2:6">
      <c r="B122" s="3480">
        <v>120</v>
      </c>
      <c r="C122" s="3480" t="s">
        <v>3387</v>
      </c>
      <c r="D122" s="3480">
        <v>58.65</v>
      </c>
      <c r="E122" s="3480">
        <v>112</v>
      </c>
      <c r="F122" s="3480">
        <v>19113</v>
      </c>
    </row>
    <row r="123" spans="2:6">
      <c r="B123" s="3480">
        <v>121</v>
      </c>
      <c r="C123" s="3480" t="s">
        <v>3389</v>
      </c>
      <c r="D123" s="3480">
        <v>58.65</v>
      </c>
      <c r="E123" s="3480">
        <v>112</v>
      </c>
      <c r="F123" s="3480">
        <v>19113</v>
      </c>
    </row>
    <row r="124" spans="2:6">
      <c r="B124" s="3480">
        <v>122</v>
      </c>
      <c r="C124" s="3480" t="s">
        <v>3391</v>
      </c>
      <c r="D124" s="3480">
        <v>53.35</v>
      </c>
      <c r="E124" s="3480">
        <v>102</v>
      </c>
      <c r="F124" s="3480">
        <v>19113</v>
      </c>
    </row>
    <row r="125" spans="2:6">
      <c r="B125" s="3480">
        <v>123</v>
      </c>
      <c r="C125" s="3480" t="s">
        <v>3393</v>
      </c>
      <c r="D125" s="3480">
        <v>122.69</v>
      </c>
      <c r="E125" s="3480">
        <v>234</v>
      </c>
      <c r="F125" s="3480">
        <v>19113</v>
      </c>
    </row>
    <row r="126" spans="2:6">
      <c r="B126" s="3480">
        <v>124</v>
      </c>
      <c r="C126" s="3480" t="s">
        <v>3395</v>
      </c>
      <c r="D126" s="3480">
        <v>83.16</v>
      </c>
      <c r="E126" s="3480">
        <v>159</v>
      </c>
      <c r="F126" s="3480">
        <v>19113</v>
      </c>
    </row>
    <row r="127" spans="2:6">
      <c r="B127" s="3480">
        <v>125</v>
      </c>
      <c r="C127" s="3480" t="s">
        <v>3397</v>
      </c>
      <c r="D127" s="3480">
        <v>89.03</v>
      </c>
      <c r="E127" s="3480">
        <v>170</v>
      </c>
      <c r="F127" s="3480">
        <v>19113</v>
      </c>
    </row>
    <row r="128" spans="2:6">
      <c r="B128" s="3480">
        <v>126</v>
      </c>
      <c r="C128" s="3480" t="s">
        <v>3399</v>
      </c>
      <c r="D128" s="3480">
        <v>80.650000000000006</v>
      </c>
      <c r="E128" s="3480">
        <v>154</v>
      </c>
      <c r="F128" s="3480">
        <v>19113</v>
      </c>
    </row>
    <row r="129" spans="2:6">
      <c r="B129" s="3480">
        <v>127</v>
      </c>
      <c r="C129" s="3480" t="s">
        <v>3401</v>
      </c>
      <c r="D129" s="3480">
        <v>127.75</v>
      </c>
      <c r="E129" s="3480">
        <v>244</v>
      </c>
      <c r="F129" s="3480">
        <v>19113</v>
      </c>
    </row>
    <row r="130" spans="2:6">
      <c r="B130" s="3480">
        <v>128</v>
      </c>
      <c r="C130" s="3480" t="s">
        <v>3403</v>
      </c>
      <c r="D130" s="3480">
        <v>66.48</v>
      </c>
      <c r="E130" s="3480">
        <v>127</v>
      </c>
      <c r="F130" s="3480">
        <v>19113</v>
      </c>
    </row>
    <row r="131" spans="2:6">
      <c r="B131" s="3480">
        <v>129</v>
      </c>
      <c r="C131" s="3480" t="s">
        <v>3405</v>
      </c>
      <c r="D131" s="3480">
        <v>67.680000000000007</v>
      </c>
      <c r="E131" s="3480">
        <v>129</v>
      </c>
      <c r="F131" s="3480">
        <v>19113</v>
      </c>
    </row>
    <row r="132" spans="2:6">
      <c r="B132" s="3480">
        <v>130</v>
      </c>
      <c r="C132" s="3480" t="s">
        <v>3407</v>
      </c>
      <c r="D132" s="3480">
        <v>67.680000000000007</v>
      </c>
      <c r="E132" s="3480">
        <v>129</v>
      </c>
      <c r="F132" s="3480">
        <v>19113</v>
      </c>
    </row>
    <row r="133" spans="2:6">
      <c r="B133" s="3480">
        <v>131</v>
      </c>
      <c r="C133" s="3480" t="s">
        <v>3409</v>
      </c>
      <c r="D133" s="3480">
        <v>63.87</v>
      </c>
      <c r="E133" s="3480">
        <v>122</v>
      </c>
      <c r="F133" s="3480">
        <v>19113</v>
      </c>
    </row>
    <row r="134" spans="2:6">
      <c r="B134" s="3480">
        <v>132</v>
      </c>
      <c r="C134" s="3480" t="s">
        <v>3411</v>
      </c>
      <c r="D134" s="3480">
        <v>67.680000000000007</v>
      </c>
      <c r="E134" s="3480">
        <v>129</v>
      </c>
      <c r="F134" s="3480">
        <v>19113</v>
      </c>
    </row>
    <row r="135" spans="2:6">
      <c r="B135" s="3480">
        <v>133</v>
      </c>
      <c r="C135" s="3480" t="s">
        <v>3413</v>
      </c>
      <c r="D135" s="3480">
        <v>67.680000000000007</v>
      </c>
      <c r="E135" s="3480">
        <v>129</v>
      </c>
      <c r="F135" s="3480">
        <v>19113</v>
      </c>
    </row>
    <row r="136" spans="2:6">
      <c r="B136" s="3480">
        <v>134</v>
      </c>
      <c r="C136" s="3480" t="s">
        <v>3415</v>
      </c>
      <c r="D136" s="3480">
        <v>68.89</v>
      </c>
      <c r="E136" s="3480">
        <v>132</v>
      </c>
      <c r="F136" s="3480">
        <v>19113</v>
      </c>
    </row>
    <row r="137" spans="2:6">
      <c r="B137" s="3480">
        <v>135</v>
      </c>
      <c r="C137" s="3480" t="s">
        <v>3417</v>
      </c>
      <c r="D137" s="3480">
        <v>44.18</v>
      </c>
      <c r="E137" s="3480">
        <v>84</v>
      </c>
      <c r="F137" s="3480">
        <v>19113</v>
      </c>
    </row>
    <row r="138" spans="2:6">
      <c r="B138" s="3480">
        <v>136</v>
      </c>
      <c r="C138" s="3480" t="s">
        <v>3419</v>
      </c>
      <c r="D138" s="3480">
        <v>43.93</v>
      </c>
      <c r="E138" s="3480">
        <v>84</v>
      </c>
      <c r="F138" s="3480">
        <v>19113</v>
      </c>
    </row>
    <row r="139" spans="2:6">
      <c r="B139" s="3480">
        <v>137</v>
      </c>
      <c r="C139" s="3480" t="s">
        <v>3421</v>
      </c>
      <c r="D139" s="3480">
        <v>42.05</v>
      </c>
      <c r="E139" s="3480">
        <v>80</v>
      </c>
      <c r="F139" s="3480">
        <v>19113</v>
      </c>
    </row>
    <row r="140" spans="2:6">
      <c r="B140" s="3480">
        <v>138</v>
      </c>
      <c r="C140" s="3480" t="s">
        <v>3423</v>
      </c>
      <c r="D140" s="3480">
        <v>46.06</v>
      </c>
      <c r="E140" s="3480">
        <v>88</v>
      </c>
      <c r="F140" s="3480">
        <v>19113</v>
      </c>
    </row>
    <row r="141" spans="2:6">
      <c r="B141" s="3480">
        <v>139</v>
      </c>
      <c r="C141" s="3480" t="s">
        <v>3425</v>
      </c>
      <c r="D141" s="3480">
        <v>68.89</v>
      </c>
      <c r="E141" s="3480">
        <v>132</v>
      </c>
      <c r="F141" s="3480">
        <v>19113</v>
      </c>
    </row>
    <row r="142" spans="2:6">
      <c r="B142" s="3480">
        <v>140</v>
      </c>
      <c r="C142" s="3480" t="s">
        <v>3427</v>
      </c>
      <c r="D142" s="3480">
        <v>67.680000000000007</v>
      </c>
      <c r="E142" s="3480">
        <v>129</v>
      </c>
      <c r="F142" s="3480">
        <v>19113</v>
      </c>
    </row>
    <row r="143" spans="2:6">
      <c r="B143" s="3480">
        <v>141</v>
      </c>
      <c r="C143" s="3480" t="s">
        <v>3429</v>
      </c>
      <c r="D143" s="3480">
        <v>67.680000000000007</v>
      </c>
      <c r="E143" s="3480">
        <v>129</v>
      </c>
      <c r="F143" s="3480">
        <v>19113</v>
      </c>
    </row>
    <row r="144" spans="2:6">
      <c r="B144" s="3480">
        <v>142</v>
      </c>
      <c r="C144" s="3480" t="s">
        <v>3431</v>
      </c>
      <c r="D144" s="3480">
        <v>63.87</v>
      </c>
      <c r="E144" s="3480">
        <v>122</v>
      </c>
      <c r="F144" s="3480">
        <v>19113</v>
      </c>
    </row>
    <row r="145" spans="2:6">
      <c r="B145" s="3480">
        <v>143</v>
      </c>
      <c r="C145" s="3480" t="s">
        <v>3433</v>
      </c>
      <c r="D145" s="3480">
        <v>67.680000000000007</v>
      </c>
      <c r="E145" s="3480">
        <v>129</v>
      </c>
      <c r="F145" s="3480">
        <v>19113</v>
      </c>
    </row>
    <row r="146" spans="2:6">
      <c r="B146" s="3480">
        <v>144</v>
      </c>
      <c r="C146" s="3480" t="s">
        <v>3435</v>
      </c>
      <c r="D146" s="3480">
        <v>67.680000000000007</v>
      </c>
      <c r="E146" s="3480">
        <v>129</v>
      </c>
      <c r="F146" s="3480">
        <v>19113</v>
      </c>
    </row>
    <row r="147" spans="2:6">
      <c r="B147" s="3480">
        <v>145</v>
      </c>
      <c r="C147" s="3480" t="s">
        <v>3437</v>
      </c>
      <c r="D147" s="3480">
        <v>83.4</v>
      </c>
      <c r="E147" s="3480">
        <v>159</v>
      </c>
      <c r="F147" s="3480">
        <v>19113</v>
      </c>
    </row>
    <row r="148" spans="2:6">
      <c r="B148" s="3480">
        <v>146</v>
      </c>
      <c r="C148" s="3480" t="s">
        <v>3439</v>
      </c>
      <c r="D148" s="3480">
        <v>121.05</v>
      </c>
      <c r="E148" s="3480">
        <v>231</v>
      </c>
      <c r="F148" s="3480">
        <v>19113</v>
      </c>
    </row>
    <row r="149" spans="2:6">
      <c r="B149" s="3480">
        <v>147</v>
      </c>
      <c r="C149" s="3480" t="s">
        <v>3441</v>
      </c>
      <c r="D149" s="3480">
        <v>71.489999999999995</v>
      </c>
      <c r="E149" s="3480">
        <v>137</v>
      </c>
      <c r="F149" s="3480">
        <v>19113</v>
      </c>
    </row>
    <row r="150" spans="2:6">
      <c r="B150" s="3480">
        <v>148</v>
      </c>
      <c r="C150" s="3480" t="s">
        <v>3443</v>
      </c>
      <c r="D150" s="3480">
        <v>57.9</v>
      </c>
      <c r="E150" s="3480">
        <v>111</v>
      </c>
      <c r="F150" s="3480">
        <v>19113</v>
      </c>
    </row>
    <row r="151" spans="2:6">
      <c r="B151" s="3480">
        <v>149</v>
      </c>
      <c r="C151" s="3480" t="s">
        <v>3445</v>
      </c>
      <c r="D151" s="3480">
        <v>57.9</v>
      </c>
      <c r="E151" s="3480">
        <v>111</v>
      </c>
      <c r="F151" s="3480">
        <v>19113</v>
      </c>
    </row>
    <row r="152" spans="2:6">
      <c r="B152" s="3480">
        <v>150</v>
      </c>
      <c r="C152" s="3480" t="s">
        <v>3447</v>
      </c>
      <c r="D152" s="3480">
        <v>78.66</v>
      </c>
      <c r="E152" s="3480">
        <v>150</v>
      </c>
      <c r="F152" s="3480">
        <v>19113</v>
      </c>
    </row>
    <row r="153" spans="2:6">
      <c r="B153" s="3480">
        <v>151</v>
      </c>
      <c r="C153" s="3480" t="s">
        <v>3449</v>
      </c>
      <c r="D153" s="3480">
        <v>120.98</v>
      </c>
      <c r="E153" s="3480">
        <v>231</v>
      </c>
      <c r="F153" s="3480">
        <v>19113</v>
      </c>
    </row>
    <row r="154" spans="2:6">
      <c r="B154" s="3480">
        <v>152</v>
      </c>
      <c r="C154" s="3480" t="s">
        <v>3451</v>
      </c>
      <c r="D154" s="3480">
        <v>67.489999999999995</v>
      </c>
      <c r="E154" s="3480">
        <v>129</v>
      </c>
      <c r="F154" s="3480">
        <v>19113</v>
      </c>
    </row>
    <row r="155" spans="2:6">
      <c r="B155" s="3480">
        <v>153</v>
      </c>
      <c r="C155" s="3480" t="s">
        <v>3453</v>
      </c>
      <c r="D155" s="3480">
        <v>61.8</v>
      </c>
      <c r="E155" s="3480">
        <v>118</v>
      </c>
      <c r="F155" s="3480">
        <v>19113</v>
      </c>
    </row>
    <row r="156" spans="2:6">
      <c r="B156" s="3480">
        <v>154</v>
      </c>
      <c r="C156" s="3480" t="s">
        <v>3455</v>
      </c>
      <c r="D156" s="3480">
        <v>59.85</v>
      </c>
      <c r="E156" s="3480">
        <v>114</v>
      </c>
      <c r="F156" s="3480">
        <v>19113</v>
      </c>
    </row>
    <row r="157" spans="2:6">
      <c r="B157" s="3480">
        <v>155</v>
      </c>
      <c r="C157" s="3480" t="s">
        <v>3457</v>
      </c>
      <c r="D157" s="3480">
        <v>31.18</v>
      </c>
      <c r="E157" s="3480">
        <v>60</v>
      </c>
      <c r="F157" s="3480">
        <v>19113</v>
      </c>
    </row>
    <row r="158" spans="2:6">
      <c r="B158" s="3480">
        <v>156</v>
      </c>
      <c r="C158" s="3480" t="s">
        <v>3459</v>
      </c>
      <c r="D158" s="3480">
        <v>61.98</v>
      </c>
      <c r="E158" s="3480">
        <v>118</v>
      </c>
      <c r="F158" s="3480">
        <v>19113</v>
      </c>
    </row>
    <row r="159" spans="2:6">
      <c r="B159" s="3480">
        <v>157</v>
      </c>
      <c r="C159" s="3480" t="s">
        <v>3461</v>
      </c>
      <c r="D159" s="3480">
        <v>115.2</v>
      </c>
      <c r="E159" s="3480">
        <v>220</v>
      </c>
      <c r="F159" s="3480">
        <v>19113</v>
      </c>
    </row>
    <row r="160" spans="2:6">
      <c r="B160" s="3480">
        <v>158</v>
      </c>
      <c r="C160" s="3480" t="s">
        <v>3463</v>
      </c>
      <c r="D160" s="3480">
        <v>125.88</v>
      </c>
      <c r="E160" s="3480">
        <v>241</v>
      </c>
      <c r="F160" s="3480">
        <v>19113</v>
      </c>
    </row>
    <row r="161" spans="2:6">
      <c r="B161" s="3480">
        <v>159</v>
      </c>
      <c r="C161" s="3480" t="s">
        <v>3465</v>
      </c>
      <c r="D161" s="3480">
        <v>90.5</v>
      </c>
      <c r="E161" s="3480">
        <v>173</v>
      </c>
      <c r="F161" s="3480">
        <v>19113</v>
      </c>
    </row>
    <row r="162" spans="2:6">
      <c r="B162" s="3480">
        <v>160</v>
      </c>
      <c r="C162" s="3480" t="s">
        <v>3467</v>
      </c>
      <c r="D162" s="3480">
        <v>74.680000000000007</v>
      </c>
      <c r="E162" s="3480">
        <v>143</v>
      </c>
      <c r="F162" s="3480">
        <v>19113</v>
      </c>
    </row>
    <row r="163" spans="2:6">
      <c r="B163" s="3480">
        <v>161</v>
      </c>
      <c r="C163" s="3480" t="s">
        <v>3469</v>
      </c>
      <c r="D163" s="3480">
        <v>41.86</v>
      </c>
      <c r="E163" s="3480">
        <v>80</v>
      </c>
      <c r="F163" s="3480">
        <v>19113</v>
      </c>
    </row>
    <row r="164" spans="2:6">
      <c r="B164" s="3480">
        <v>162</v>
      </c>
      <c r="C164" s="3480" t="s">
        <v>3471</v>
      </c>
      <c r="D164" s="3480">
        <v>41.86</v>
      </c>
      <c r="E164" s="3480">
        <v>80</v>
      </c>
      <c r="F164" s="3480">
        <v>19113</v>
      </c>
    </row>
    <row r="165" spans="2:6">
      <c r="B165" s="3480">
        <v>163</v>
      </c>
      <c r="C165" s="3480" t="s">
        <v>3473</v>
      </c>
      <c r="D165" s="3480">
        <v>74.680000000000007</v>
      </c>
      <c r="E165" s="3480">
        <v>143</v>
      </c>
      <c r="F165" s="3480">
        <v>19113</v>
      </c>
    </row>
    <row r="166" spans="2:6">
      <c r="B166" s="3480">
        <v>164</v>
      </c>
      <c r="C166" s="3480" t="s">
        <v>3475</v>
      </c>
      <c r="D166" s="3480">
        <v>90.5</v>
      </c>
      <c r="E166" s="3480">
        <v>173</v>
      </c>
      <c r="F166" s="3480">
        <v>19113</v>
      </c>
    </row>
    <row r="167" spans="2:6">
      <c r="B167" s="3480">
        <v>165</v>
      </c>
      <c r="C167" s="3480" t="s">
        <v>3477</v>
      </c>
      <c r="D167" s="3480">
        <v>125.9</v>
      </c>
      <c r="E167" s="3480">
        <v>241</v>
      </c>
      <c r="F167" s="3480">
        <v>19113</v>
      </c>
    </row>
    <row r="168" spans="2:6">
      <c r="B168" s="3480">
        <v>166</v>
      </c>
      <c r="C168" s="3480" t="s">
        <v>3479</v>
      </c>
      <c r="D168" s="3480">
        <v>115.22</v>
      </c>
      <c r="E168" s="3480">
        <v>220</v>
      </c>
      <c r="F168" s="3480">
        <v>19113</v>
      </c>
    </row>
    <row r="169" spans="2:6">
      <c r="B169" s="3480">
        <v>167</v>
      </c>
      <c r="C169" s="3480" t="s">
        <v>3481</v>
      </c>
      <c r="D169" s="3480">
        <v>61.98</v>
      </c>
      <c r="E169" s="3480">
        <v>118</v>
      </c>
      <c r="F169" s="3480">
        <v>19113</v>
      </c>
    </row>
    <row r="170" spans="2:6">
      <c r="B170" s="3480">
        <v>168</v>
      </c>
      <c r="C170" s="3480" t="s">
        <v>3483</v>
      </c>
      <c r="D170" s="3480">
        <v>84.76</v>
      </c>
      <c r="E170" s="3480">
        <v>162</v>
      </c>
      <c r="F170" s="3480">
        <v>19113</v>
      </c>
    </row>
    <row r="171" spans="2:6">
      <c r="B171" s="3480">
        <v>169</v>
      </c>
      <c r="C171" s="3480" t="s">
        <v>3485</v>
      </c>
      <c r="D171" s="3480">
        <v>67.489999999999995</v>
      </c>
      <c r="E171" s="3480">
        <v>129</v>
      </c>
      <c r="F171" s="3480">
        <v>19113</v>
      </c>
    </row>
    <row r="172" spans="2:6">
      <c r="B172" s="3480">
        <v>170</v>
      </c>
      <c r="C172" s="3480" t="s">
        <v>3487</v>
      </c>
      <c r="D172" s="3480">
        <v>118.86</v>
      </c>
      <c r="E172" s="3480">
        <v>227</v>
      </c>
      <c r="F172" s="3480">
        <v>19113</v>
      </c>
    </row>
    <row r="173" spans="2:6">
      <c r="B173" s="3480">
        <v>171</v>
      </c>
      <c r="C173" s="3480" t="s">
        <v>3489</v>
      </c>
      <c r="D173" s="3480">
        <v>109.81</v>
      </c>
      <c r="E173" s="3480">
        <v>210</v>
      </c>
      <c r="F173" s="3480">
        <v>19113</v>
      </c>
    </row>
    <row r="174" spans="2:6">
      <c r="B174" s="3480">
        <v>172</v>
      </c>
      <c r="C174" s="3480" t="s">
        <v>3491</v>
      </c>
      <c r="D174" s="3480">
        <v>15.79</v>
      </c>
      <c r="E174" s="3480">
        <v>30</v>
      </c>
      <c r="F174" s="3480">
        <v>19113</v>
      </c>
    </row>
    <row r="175" spans="2:6">
      <c r="B175" s="3480">
        <v>173</v>
      </c>
      <c r="C175" s="3480" t="s">
        <v>3493</v>
      </c>
      <c r="D175" s="3480">
        <v>21.64</v>
      </c>
      <c r="E175" s="3480">
        <v>41</v>
      </c>
      <c r="F175" s="3480">
        <v>19113</v>
      </c>
    </row>
    <row r="176" spans="2:6">
      <c r="B176" s="3480">
        <v>174</v>
      </c>
      <c r="C176" s="3480" t="s">
        <v>3495</v>
      </c>
      <c r="D176" s="3480">
        <v>4537.3</v>
      </c>
      <c r="E176" s="3480">
        <v>6359</v>
      </c>
      <c r="F176" s="3480">
        <v>14016</v>
      </c>
    </row>
    <row r="177" spans="2:6">
      <c r="B177" s="3480">
        <v>175</v>
      </c>
      <c r="C177" s="3480" t="s">
        <v>3497</v>
      </c>
      <c r="D177" s="3480">
        <v>109.84</v>
      </c>
      <c r="E177" s="3480">
        <v>154</v>
      </c>
      <c r="F177" s="3480">
        <v>14016</v>
      </c>
    </row>
    <row r="178" spans="2:6">
      <c r="B178" s="3480">
        <v>176</v>
      </c>
      <c r="C178" s="3480" t="s">
        <v>3499</v>
      </c>
      <c r="D178" s="3480">
        <v>99.91</v>
      </c>
      <c r="E178" s="3480">
        <v>140</v>
      </c>
      <c r="F178" s="3480">
        <v>14016</v>
      </c>
    </row>
    <row r="179" spans="2:6">
      <c r="B179" s="3480">
        <v>177</v>
      </c>
      <c r="C179" s="3480" t="s">
        <v>3501</v>
      </c>
      <c r="D179" s="3480">
        <v>95.83</v>
      </c>
      <c r="E179" s="3480">
        <v>134</v>
      </c>
      <c r="F179" s="3480">
        <v>14016</v>
      </c>
    </row>
    <row r="180" spans="2:6">
      <c r="B180" s="3480">
        <v>178</v>
      </c>
      <c r="C180" s="3480" t="s">
        <v>3503</v>
      </c>
      <c r="D180" s="3480">
        <v>95.83</v>
      </c>
      <c r="E180" s="3480">
        <v>134</v>
      </c>
      <c r="F180" s="3480">
        <v>14016</v>
      </c>
    </row>
    <row r="181" spans="2:6">
      <c r="B181" s="3480">
        <v>179</v>
      </c>
      <c r="C181" s="3480" t="s">
        <v>3505</v>
      </c>
      <c r="D181" s="3480">
        <v>82.58</v>
      </c>
      <c r="E181" s="3480">
        <v>116</v>
      </c>
      <c r="F181" s="3480">
        <v>14016</v>
      </c>
    </row>
    <row r="182" spans="2:6">
      <c r="B182" s="3480">
        <v>180</v>
      </c>
      <c r="C182" s="3480" t="s">
        <v>3507</v>
      </c>
      <c r="D182" s="3480">
        <v>82.58</v>
      </c>
      <c r="E182" s="3480">
        <v>116</v>
      </c>
      <c r="F182" s="3480">
        <v>14016</v>
      </c>
    </row>
    <row r="183" spans="2:6">
      <c r="B183" s="3480">
        <v>181</v>
      </c>
      <c r="C183" s="3480" t="s">
        <v>3509</v>
      </c>
      <c r="D183" s="3480">
        <v>89.71</v>
      </c>
      <c r="E183" s="3480">
        <v>126</v>
      </c>
      <c r="F183" s="3480">
        <v>14016</v>
      </c>
    </row>
    <row r="184" spans="2:6">
      <c r="B184" s="3480">
        <v>182</v>
      </c>
      <c r="C184" s="3480" t="s">
        <v>3511</v>
      </c>
      <c r="D184" s="3480">
        <v>152.02000000000001</v>
      </c>
      <c r="E184" s="3480">
        <v>213</v>
      </c>
      <c r="F184" s="3480">
        <v>14016</v>
      </c>
    </row>
    <row r="185" spans="2:6">
      <c r="B185" s="3480">
        <v>183</v>
      </c>
      <c r="C185" s="3480" t="s">
        <v>3513</v>
      </c>
      <c r="D185" s="3480">
        <v>128.06</v>
      </c>
      <c r="E185" s="3480">
        <v>179</v>
      </c>
      <c r="F185" s="3480">
        <v>14016</v>
      </c>
    </row>
    <row r="186" spans="2:6">
      <c r="B186" s="3480">
        <v>184</v>
      </c>
      <c r="C186" s="3480" t="s">
        <v>3515</v>
      </c>
      <c r="D186" s="3480">
        <v>122.06</v>
      </c>
      <c r="E186" s="3480">
        <v>171</v>
      </c>
      <c r="F186" s="3480">
        <v>14016</v>
      </c>
    </row>
    <row r="187" spans="2:6">
      <c r="B187" s="3480">
        <v>185</v>
      </c>
      <c r="C187" s="3480" t="s">
        <v>3517</v>
      </c>
      <c r="D187" s="3480">
        <v>132.03</v>
      </c>
      <c r="E187" s="3480">
        <v>185</v>
      </c>
      <c r="F187" s="3480">
        <v>14016</v>
      </c>
    </row>
    <row r="188" spans="2:6">
      <c r="B188" s="3480">
        <v>186</v>
      </c>
      <c r="C188" s="3480" t="s">
        <v>3519</v>
      </c>
      <c r="D188" s="3480">
        <v>134.41999999999999</v>
      </c>
      <c r="E188" s="3480">
        <v>188</v>
      </c>
      <c r="F188" s="3480">
        <v>14016</v>
      </c>
    </row>
    <row r="189" spans="2:6">
      <c r="B189" s="3480">
        <v>187</v>
      </c>
      <c r="C189" s="3480" t="s">
        <v>3521</v>
      </c>
      <c r="D189" s="3480">
        <v>144.72</v>
      </c>
      <c r="E189" s="3480">
        <v>203</v>
      </c>
      <c r="F189" s="3480">
        <v>14016</v>
      </c>
    </row>
    <row r="190" spans="2:6">
      <c r="B190" s="3480">
        <v>188</v>
      </c>
      <c r="C190" s="3480" t="s">
        <v>3523</v>
      </c>
      <c r="D190" s="3480">
        <v>46.72</v>
      </c>
      <c r="E190" s="3480">
        <v>65</v>
      </c>
      <c r="F190" s="3480">
        <v>14016</v>
      </c>
    </row>
    <row r="191" spans="2:6">
      <c r="B191" s="3480">
        <v>189</v>
      </c>
      <c r="C191" s="3480" t="s">
        <v>3525</v>
      </c>
      <c r="D191" s="3480">
        <v>52.43</v>
      </c>
      <c r="E191" s="3480">
        <v>73</v>
      </c>
      <c r="F191" s="3480">
        <v>14016</v>
      </c>
    </row>
    <row r="192" spans="2:6">
      <c r="B192" s="3480">
        <v>190</v>
      </c>
      <c r="C192" s="3480" t="s">
        <v>3527</v>
      </c>
      <c r="D192" s="3480">
        <v>51.96</v>
      </c>
      <c r="E192" s="3480">
        <v>73</v>
      </c>
      <c r="F192" s="3480">
        <v>14016</v>
      </c>
    </row>
    <row r="193" spans="2:6">
      <c r="B193" s="3480">
        <v>191</v>
      </c>
      <c r="C193" s="3480" t="s">
        <v>3529</v>
      </c>
      <c r="D193" s="3480">
        <v>45.29</v>
      </c>
      <c r="E193" s="3480">
        <v>63</v>
      </c>
      <c r="F193" s="3480">
        <v>14016</v>
      </c>
    </row>
    <row r="194" spans="2:6">
      <c r="B194" s="3480">
        <v>192</v>
      </c>
      <c r="C194" s="3480" t="s">
        <v>3531</v>
      </c>
      <c r="D194" s="3480">
        <v>49.16</v>
      </c>
      <c r="E194" s="3480">
        <v>69</v>
      </c>
      <c r="F194" s="3480">
        <v>14016</v>
      </c>
    </row>
    <row r="195" spans="2:6">
      <c r="B195" s="3480">
        <v>193</v>
      </c>
      <c r="C195" s="3480" t="s">
        <v>3533</v>
      </c>
      <c r="D195" s="3480">
        <v>43.47</v>
      </c>
      <c r="E195" s="3480">
        <v>61</v>
      </c>
      <c r="F195" s="3480">
        <v>14016</v>
      </c>
    </row>
    <row r="196" spans="2:6">
      <c r="B196" s="3480">
        <v>194</v>
      </c>
      <c r="C196" s="3480" t="s">
        <v>3535</v>
      </c>
      <c r="D196" s="3480">
        <v>42.93</v>
      </c>
      <c r="E196" s="3480">
        <v>60</v>
      </c>
      <c r="F196" s="3480">
        <v>14016</v>
      </c>
    </row>
    <row r="197" spans="2:6">
      <c r="B197" s="3480">
        <v>195</v>
      </c>
      <c r="C197" s="3480" t="s">
        <v>3537</v>
      </c>
      <c r="D197" s="3480">
        <v>39.17</v>
      </c>
      <c r="E197" s="3480">
        <v>55</v>
      </c>
      <c r="F197" s="3480">
        <v>14016</v>
      </c>
    </row>
    <row r="198" spans="2:6">
      <c r="B198" s="3480">
        <v>196</v>
      </c>
      <c r="C198" s="3480" t="s">
        <v>3539</v>
      </c>
      <c r="D198" s="3480">
        <v>29.16</v>
      </c>
      <c r="E198" s="3480">
        <v>41</v>
      </c>
      <c r="F198" s="3480">
        <v>14016</v>
      </c>
    </row>
    <row r="199" spans="2:6">
      <c r="B199" s="3480">
        <v>197</v>
      </c>
      <c r="C199" s="3480" t="s">
        <v>3541</v>
      </c>
      <c r="D199" s="3480">
        <v>34.74</v>
      </c>
      <c r="E199" s="3480">
        <v>49</v>
      </c>
      <c r="F199" s="3480">
        <v>14016</v>
      </c>
    </row>
    <row r="200" spans="2:6">
      <c r="B200" s="3480">
        <v>198</v>
      </c>
      <c r="C200" s="3480" t="s">
        <v>3543</v>
      </c>
      <c r="D200" s="3480">
        <v>34.74</v>
      </c>
      <c r="E200" s="3480">
        <v>49</v>
      </c>
      <c r="F200" s="3480">
        <v>14016</v>
      </c>
    </row>
    <row r="201" spans="2:6">
      <c r="B201" s="3480">
        <v>199</v>
      </c>
      <c r="C201" s="3480" t="s">
        <v>3545</v>
      </c>
      <c r="D201" s="3480">
        <v>34.74</v>
      </c>
      <c r="E201" s="3480">
        <v>49</v>
      </c>
      <c r="F201" s="3480">
        <v>14016</v>
      </c>
    </row>
    <row r="202" spans="2:6">
      <c r="B202" s="3480">
        <v>200</v>
      </c>
      <c r="C202" s="3480" t="s">
        <v>3547</v>
      </c>
      <c r="D202" s="3480">
        <v>36.08</v>
      </c>
      <c r="E202" s="3480">
        <v>51</v>
      </c>
      <c r="F202" s="3480">
        <v>14016</v>
      </c>
    </row>
    <row r="203" spans="2:6">
      <c r="B203" s="3480">
        <v>201</v>
      </c>
      <c r="C203" s="3480" t="s">
        <v>3549</v>
      </c>
      <c r="D203" s="3480">
        <v>38.979999999999997</v>
      </c>
      <c r="E203" s="3480">
        <v>55</v>
      </c>
      <c r="F203" s="3480">
        <v>14016</v>
      </c>
    </row>
    <row r="204" spans="2:6">
      <c r="B204" s="3480">
        <v>202</v>
      </c>
      <c r="C204" s="3480" t="s">
        <v>3551</v>
      </c>
      <c r="D204" s="3480">
        <v>36.21</v>
      </c>
      <c r="E204" s="3480">
        <v>51</v>
      </c>
      <c r="F204" s="3480">
        <v>14016</v>
      </c>
    </row>
    <row r="205" spans="2:6">
      <c r="B205" s="3480">
        <v>203</v>
      </c>
      <c r="C205" s="3480" t="s">
        <v>3553</v>
      </c>
      <c r="D205" s="3480">
        <v>40.630000000000003</v>
      </c>
      <c r="E205" s="3480">
        <v>57</v>
      </c>
      <c r="F205" s="3480">
        <v>14016</v>
      </c>
    </row>
    <row r="206" spans="2:6">
      <c r="B206" s="3480">
        <v>204</v>
      </c>
      <c r="C206" s="3480" t="s">
        <v>3555</v>
      </c>
      <c r="D206" s="3480">
        <v>38.549999999999997</v>
      </c>
      <c r="E206" s="3480">
        <v>54</v>
      </c>
      <c r="F206" s="3480">
        <v>14016</v>
      </c>
    </row>
    <row r="207" spans="2:6">
      <c r="B207" s="3480">
        <v>205</v>
      </c>
      <c r="C207" s="3480" t="s">
        <v>3557</v>
      </c>
      <c r="D207" s="3480">
        <v>36.36</v>
      </c>
      <c r="E207" s="3480">
        <v>51</v>
      </c>
      <c r="F207" s="3480">
        <v>14016</v>
      </c>
    </row>
    <row r="208" spans="2:6">
      <c r="B208" s="3480">
        <v>206</v>
      </c>
      <c r="C208" s="3480" t="s">
        <v>3559</v>
      </c>
      <c r="D208" s="3480">
        <v>39.32</v>
      </c>
      <c r="E208" s="3480">
        <v>55</v>
      </c>
      <c r="F208" s="3480">
        <v>14016</v>
      </c>
    </row>
    <row r="209" spans="2:6">
      <c r="B209" s="3480">
        <v>207</v>
      </c>
      <c r="C209" s="3480" t="s">
        <v>3561</v>
      </c>
      <c r="D209" s="3480">
        <v>39.32</v>
      </c>
      <c r="E209" s="3480">
        <v>55</v>
      </c>
      <c r="F209" s="3480">
        <v>14016</v>
      </c>
    </row>
    <row r="210" spans="2:6">
      <c r="B210" s="3480">
        <v>208</v>
      </c>
      <c r="C210" s="3480" t="s">
        <v>3563</v>
      </c>
      <c r="D210" s="3480">
        <v>39.32</v>
      </c>
      <c r="E210" s="3480">
        <v>55</v>
      </c>
      <c r="F210" s="3480">
        <v>14016</v>
      </c>
    </row>
    <row r="211" spans="2:6">
      <c r="B211" s="3480">
        <v>209</v>
      </c>
      <c r="C211" s="3480" t="s">
        <v>3565</v>
      </c>
      <c r="D211" s="3480">
        <v>34.9</v>
      </c>
      <c r="E211" s="3480">
        <v>49</v>
      </c>
      <c r="F211" s="3480">
        <v>14016</v>
      </c>
    </row>
    <row r="212" spans="2:6">
      <c r="B212" s="3480">
        <v>210</v>
      </c>
      <c r="C212" s="3480" t="s">
        <v>3567</v>
      </c>
      <c r="D212" s="3480">
        <v>40.86</v>
      </c>
      <c r="E212" s="3480">
        <v>57</v>
      </c>
      <c r="F212" s="3480">
        <v>14016</v>
      </c>
    </row>
    <row r="213" spans="2:6">
      <c r="B213" s="3480">
        <v>211</v>
      </c>
      <c r="C213" s="3480" t="s">
        <v>3569</v>
      </c>
      <c r="D213" s="3480">
        <v>66.98</v>
      </c>
      <c r="E213" s="3480">
        <v>94</v>
      </c>
      <c r="F213" s="3480">
        <v>14016</v>
      </c>
    </row>
    <row r="214" spans="2:6">
      <c r="B214" s="3480">
        <v>212</v>
      </c>
      <c r="C214" s="3480" t="s">
        <v>3571</v>
      </c>
      <c r="D214" s="3480">
        <v>290.89</v>
      </c>
      <c r="E214" s="3480">
        <v>408</v>
      </c>
      <c r="F214" s="3480">
        <v>14016</v>
      </c>
    </row>
    <row r="215" spans="2:6">
      <c r="B215" s="3480">
        <v>213</v>
      </c>
      <c r="C215" s="3480" t="s">
        <v>3573</v>
      </c>
      <c r="D215" s="3480">
        <v>56.83</v>
      </c>
      <c r="E215" s="3480">
        <v>80</v>
      </c>
      <c r="F215" s="3480">
        <v>14016</v>
      </c>
    </row>
    <row r="216" spans="2:6">
      <c r="B216" s="3480">
        <v>214</v>
      </c>
      <c r="C216" s="3480" t="s">
        <v>3575</v>
      </c>
      <c r="D216" s="3480">
        <v>33.770000000000003</v>
      </c>
      <c r="E216" s="3480">
        <v>47</v>
      </c>
      <c r="F216" s="3480">
        <v>14016</v>
      </c>
    </row>
    <row r="217" spans="2:6">
      <c r="B217" s="3480">
        <v>215</v>
      </c>
      <c r="C217" s="3480" t="s">
        <v>3577</v>
      </c>
      <c r="D217" s="3480">
        <v>42.77</v>
      </c>
      <c r="E217" s="3480">
        <v>60</v>
      </c>
      <c r="F217" s="3480">
        <v>14016</v>
      </c>
    </row>
    <row r="218" spans="2:6">
      <c r="B218" s="3480">
        <v>216</v>
      </c>
      <c r="C218" s="3480" t="s">
        <v>3579</v>
      </c>
      <c r="D218" s="3480">
        <v>40.159999999999997</v>
      </c>
      <c r="E218" s="3480">
        <v>56</v>
      </c>
      <c r="F218" s="3480">
        <v>14016</v>
      </c>
    </row>
    <row r="219" spans="2:6">
      <c r="B219" s="3480">
        <v>217</v>
      </c>
      <c r="C219" s="3480" t="s">
        <v>3581</v>
      </c>
      <c r="D219" s="3480">
        <v>40.950000000000003</v>
      </c>
      <c r="E219" s="3480">
        <v>57</v>
      </c>
      <c r="F219" s="3480">
        <v>14016</v>
      </c>
    </row>
    <row r="220" spans="2:6">
      <c r="B220" s="3480">
        <v>218</v>
      </c>
      <c r="C220" s="3480" t="s">
        <v>3583</v>
      </c>
      <c r="D220" s="3480">
        <v>42.77</v>
      </c>
      <c r="E220" s="3480">
        <v>60</v>
      </c>
      <c r="F220" s="3480">
        <v>14016</v>
      </c>
    </row>
    <row r="221" spans="2:6">
      <c r="B221" s="3480">
        <v>219</v>
      </c>
      <c r="C221" s="3480" t="s">
        <v>3585</v>
      </c>
      <c r="D221" s="3480">
        <v>42.77</v>
      </c>
      <c r="E221" s="3480">
        <v>60</v>
      </c>
      <c r="F221" s="3480">
        <v>14016</v>
      </c>
    </row>
    <row r="222" spans="2:6">
      <c r="B222" s="3480">
        <v>220</v>
      </c>
      <c r="C222" s="3480" t="s">
        <v>3587</v>
      </c>
      <c r="D222" s="3480">
        <v>42.77</v>
      </c>
      <c r="E222" s="3480">
        <v>60</v>
      </c>
      <c r="F222" s="3480">
        <v>14016</v>
      </c>
    </row>
    <row r="223" spans="2:6">
      <c r="B223" s="3480">
        <v>221</v>
      </c>
      <c r="C223" s="3480" t="s">
        <v>3589</v>
      </c>
      <c r="D223" s="3480">
        <v>42.77</v>
      </c>
      <c r="E223" s="3480">
        <v>60</v>
      </c>
      <c r="F223" s="3480">
        <v>14016</v>
      </c>
    </row>
    <row r="224" spans="2:6">
      <c r="B224" s="3480">
        <v>222</v>
      </c>
      <c r="C224" s="3480" t="s">
        <v>3591</v>
      </c>
      <c r="D224" s="3480">
        <v>44.11</v>
      </c>
      <c r="E224" s="3480">
        <v>62</v>
      </c>
      <c r="F224" s="3480">
        <v>14016</v>
      </c>
    </row>
    <row r="225" spans="2:6">
      <c r="B225" s="3480">
        <v>223</v>
      </c>
      <c r="C225" s="3480" t="s">
        <v>3593</v>
      </c>
      <c r="D225" s="3480">
        <v>43.33</v>
      </c>
      <c r="E225" s="3480">
        <v>61</v>
      </c>
      <c r="F225" s="3480">
        <v>14016</v>
      </c>
    </row>
    <row r="226" spans="2:6">
      <c r="B226" s="3480">
        <v>224</v>
      </c>
      <c r="C226" s="3480" t="s">
        <v>3595</v>
      </c>
      <c r="D226" s="3480">
        <v>25.2</v>
      </c>
      <c r="E226" s="3480">
        <v>35</v>
      </c>
      <c r="F226" s="3480">
        <v>14016</v>
      </c>
    </row>
    <row r="227" spans="2:6">
      <c r="B227" s="3480">
        <v>225</v>
      </c>
      <c r="C227" s="3480" t="s">
        <v>3597</v>
      </c>
      <c r="D227" s="3480">
        <v>33.79</v>
      </c>
      <c r="E227" s="3480">
        <v>47</v>
      </c>
      <c r="F227" s="3480">
        <v>14016</v>
      </c>
    </row>
    <row r="228" spans="2:6">
      <c r="B228" s="3480">
        <v>226</v>
      </c>
      <c r="C228" s="3480" t="s">
        <v>3599</v>
      </c>
      <c r="D228" s="3480">
        <v>31.46</v>
      </c>
      <c r="E228" s="3480">
        <v>44</v>
      </c>
      <c r="F228" s="3480">
        <v>14016</v>
      </c>
    </row>
    <row r="229" spans="2:6">
      <c r="B229" s="3480">
        <v>227</v>
      </c>
      <c r="C229" s="3480" t="s">
        <v>3601</v>
      </c>
      <c r="D229" s="3480">
        <v>27.53</v>
      </c>
      <c r="E229" s="3480">
        <v>39</v>
      </c>
      <c r="F229" s="3480">
        <v>14016</v>
      </c>
    </row>
    <row r="230" spans="2:6">
      <c r="B230" s="3480">
        <v>228</v>
      </c>
      <c r="C230" s="3480" t="s">
        <v>3603</v>
      </c>
      <c r="D230" s="3480">
        <v>27.53</v>
      </c>
      <c r="E230" s="3480">
        <v>39</v>
      </c>
      <c r="F230" s="3480">
        <v>14016</v>
      </c>
    </row>
    <row r="231" spans="2:6">
      <c r="B231" s="3480">
        <v>229</v>
      </c>
      <c r="C231" s="3480" t="s">
        <v>3605</v>
      </c>
      <c r="D231" s="3480">
        <v>31.46</v>
      </c>
      <c r="E231" s="3480">
        <v>44</v>
      </c>
      <c r="F231" s="3480">
        <v>14016</v>
      </c>
    </row>
    <row r="232" spans="2:6">
      <c r="B232" s="3480">
        <v>230</v>
      </c>
      <c r="C232" s="3480" t="s">
        <v>3607</v>
      </c>
      <c r="D232" s="3480">
        <v>31.46</v>
      </c>
      <c r="E232" s="3480">
        <v>44</v>
      </c>
      <c r="F232" s="3480">
        <v>14016</v>
      </c>
    </row>
    <row r="233" spans="2:6">
      <c r="B233" s="3480">
        <v>231</v>
      </c>
      <c r="C233" s="3480" t="s">
        <v>3609</v>
      </c>
      <c r="D233" s="3480">
        <v>27.53</v>
      </c>
      <c r="E233" s="3480">
        <v>39</v>
      </c>
      <c r="F233" s="3480">
        <v>14016</v>
      </c>
    </row>
    <row r="234" spans="2:6">
      <c r="B234" s="3480">
        <v>232</v>
      </c>
      <c r="C234" s="3480" t="s">
        <v>3611</v>
      </c>
      <c r="D234" s="3480">
        <v>27.53</v>
      </c>
      <c r="E234" s="3480">
        <v>39</v>
      </c>
      <c r="F234" s="3480">
        <v>14016</v>
      </c>
    </row>
    <row r="235" spans="2:6">
      <c r="B235" s="3480">
        <v>233</v>
      </c>
      <c r="C235" s="3480" t="s">
        <v>3613</v>
      </c>
      <c r="D235" s="3480">
        <v>31.46</v>
      </c>
      <c r="E235" s="3480">
        <v>44</v>
      </c>
      <c r="F235" s="3480">
        <v>14016</v>
      </c>
    </row>
    <row r="236" spans="2:6">
      <c r="B236" s="3480">
        <v>234</v>
      </c>
      <c r="C236" s="3480" t="s">
        <v>3615</v>
      </c>
      <c r="D236" s="3480">
        <v>33.79</v>
      </c>
      <c r="E236" s="3480">
        <v>47</v>
      </c>
      <c r="F236" s="3480">
        <v>14016</v>
      </c>
    </row>
    <row r="237" spans="2:6">
      <c r="B237" s="3480">
        <v>235</v>
      </c>
      <c r="C237" s="3480" t="s">
        <v>3617</v>
      </c>
      <c r="D237" s="3480">
        <v>25.15</v>
      </c>
      <c r="E237" s="3480">
        <v>35</v>
      </c>
      <c r="F237" s="3480">
        <v>14016</v>
      </c>
    </row>
    <row r="238" spans="2:6">
      <c r="B238" s="3480">
        <v>236</v>
      </c>
      <c r="C238" s="3480" t="s">
        <v>3619</v>
      </c>
      <c r="D238" s="3480">
        <v>43.33</v>
      </c>
      <c r="E238" s="3480">
        <v>61</v>
      </c>
      <c r="F238" s="3480">
        <v>14016</v>
      </c>
    </row>
    <row r="239" spans="2:6">
      <c r="B239" s="3480">
        <v>237</v>
      </c>
      <c r="C239" s="3480" t="s">
        <v>3621</v>
      </c>
      <c r="D239" s="3480">
        <v>44.11</v>
      </c>
      <c r="E239" s="3480">
        <v>62</v>
      </c>
      <c r="F239" s="3480">
        <v>14016</v>
      </c>
    </row>
    <row r="240" spans="2:6">
      <c r="B240" s="3480">
        <v>238</v>
      </c>
      <c r="C240" s="3480" t="s">
        <v>3623</v>
      </c>
      <c r="D240" s="3480">
        <v>42.77</v>
      </c>
      <c r="E240" s="3480">
        <v>60</v>
      </c>
      <c r="F240" s="3480">
        <v>14016</v>
      </c>
    </row>
    <row r="241" spans="2:6">
      <c r="B241" s="3480">
        <v>239</v>
      </c>
      <c r="C241" s="3480" t="s">
        <v>3625</v>
      </c>
      <c r="D241" s="3480">
        <v>42.77</v>
      </c>
      <c r="E241" s="3480">
        <v>60</v>
      </c>
      <c r="F241" s="3480">
        <v>14016</v>
      </c>
    </row>
    <row r="242" spans="2:6">
      <c r="B242" s="3480">
        <v>240</v>
      </c>
      <c r="C242" s="3480" t="s">
        <v>3627</v>
      </c>
      <c r="D242" s="3480">
        <v>42.77</v>
      </c>
      <c r="E242" s="3480">
        <v>60</v>
      </c>
      <c r="F242" s="3480">
        <v>14016</v>
      </c>
    </row>
    <row r="243" spans="2:6">
      <c r="B243" s="3480">
        <v>241</v>
      </c>
      <c r="C243" s="3480" t="s">
        <v>3629</v>
      </c>
      <c r="D243" s="3480">
        <v>42.77</v>
      </c>
      <c r="E243" s="3480">
        <v>60</v>
      </c>
      <c r="F243" s="3480">
        <v>14016</v>
      </c>
    </row>
    <row r="244" spans="2:6">
      <c r="B244" s="3480">
        <v>242</v>
      </c>
      <c r="C244" s="3480" t="s">
        <v>3631</v>
      </c>
      <c r="D244" s="3480">
        <v>40.950000000000003</v>
      </c>
      <c r="E244" s="3480">
        <v>57</v>
      </c>
      <c r="F244" s="3480">
        <v>14016</v>
      </c>
    </row>
    <row r="245" spans="2:6">
      <c r="B245" s="3480">
        <v>243</v>
      </c>
      <c r="C245" s="3480" t="s">
        <v>3633</v>
      </c>
      <c r="D245" s="3480">
        <v>40.159999999999997</v>
      </c>
      <c r="E245" s="3480">
        <v>56</v>
      </c>
      <c r="F245" s="3480">
        <v>14016</v>
      </c>
    </row>
    <row r="246" spans="2:6">
      <c r="B246" s="3480">
        <v>244</v>
      </c>
      <c r="C246" s="3480" t="s">
        <v>3635</v>
      </c>
      <c r="D246" s="3480">
        <v>42.77</v>
      </c>
      <c r="E246" s="3480">
        <v>60</v>
      </c>
      <c r="F246" s="3480">
        <v>14016</v>
      </c>
    </row>
    <row r="247" spans="2:6">
      <c r="B247" s="3480">
        <v>245</v>
      </c>
      <c r="C247" s="3480" t="s">
        <v>3637</v>
      </c>
      <c r="D247" s="3480">
        <v>33.770000000000003</v>
      </c>
      <c r="E247" s="3480">
        <v>47</v>
      </c>
      <c r="F247" s="3480">
        <v>14016</v>
      </c>
    </row>
    <row r="248" spans="2:6">
      <c r="B248" s="3480">
        <v>246</v>
      </c>
      <c r="C248" s="3480" t="s">
        <v>3639</v>
      </c>
      <c r="D248" s="3480">
        <v>56.83</v>
      </c>
      <c r="E248" s="3480">
        <v>80</v>
      </c>
      <c r="F248" s="3480">
        <v>14016</v>
      </c>
    </row>
    <row r="249" spans="2:6">
      <c r="B249" s="3480">
        <v>247</v>
      </c>
      <c r="C249" s="3480" t="s">
        <v>3641</v>
      </c>
      <c r="D249" s="3480">
        <v>21.72</v>
      </c>
      <c r="E249" s="3480">
        <v>30</v>
      </c>
      <c r="F249" s="3480">
        <v>14016</v>
      </c>
    </row>
    <row r="250" spans="2:6">
      <c r="B250" s="3480">
        <v>248</v>
      </c>
      <c r="C250" s="3480" t="s">
        <v>3643</v>
      </c>
      <c r="D250" s="3480">
        <v>25.18</v>
      </c>
      <c r="E250" s="3480">
        <v>35</v>
      </c>
      <c r="F250" s="3480">
        <v>14016</v>
      </c>
    </row>
    <row r="251" spans="2:6">
      <c r="B251" s="3480">
        <v>249</v>
      </c>
      <c r="C251" s="3480" t="s">
        <v>3645</v>
      </c>
      <c r="D251" s="3480">
        <v>45.6</v>
      </c>
      <c r="E251" s="3480">
        <v>64</v>
      </c>
      <c r="F251" s="3480">
        <v>14016</v>
      </c>
    </row>
    <row r="252" spans="2:6">
      <c r="B252" s="3480">
        <v>250</v>
      </c>
      <c r="C252" s="3480" t="s">
        <v>3647</v>
      </c>
      <c r="D252" s="3480">
        <v>108</v>
      </c>
      <c r="E252" s="3480">
        <v>151</v>
      </c>
      <c r="F252" s="3480">
        <v>14016</v>
      </c>
    </row>
    <row r="253" spans="2:6">
      <c r="B253" s="3480">
        <v>251</v>
      </c>
      <c r="C253" s="3480" t="s">
        <v>3649</v>
      </c>
      <c r="D253" s="3480">
        <v>118.55</v>
      </c>
      <c r="E253" s="3480">
        <v>166</v>
      </c>
      <c r="F253" s="3480">
        <v>14016</v>
      </c>
    </row>
    <row r="254" spans="2:6">
      <c r="B254" s="3480">
        <v>252</v>
      </c>
      <c r="C254" s="3480" t="s">
        <v>3651</v>
      </c>
      <c r="D254" s="3480">
        <v>123.39</v>
      </c>
      <c r="E254" s="3480">
        <v>173</v>
      </c>
      <c r="F254" s="3480">
        <v>14016</v>
      </c>
    </row>
    <row r="255" spans="2:6">
      <c r="B255" s="3480">
        <v>253</v>
      </c>
      <c r="C255" s="3480" t="s">
        <v>3653</v>
      </c>
      <c r="D255" s="3480">
        <v>226.32</v>
      </c>
      <c r="E255" s="3480">
        <v>317</v>
      </c>
      <c r="F255" s="3480">
        <v>14016</v>
      </c>
    </row>
    <row r="256" spans="2:6">
      <c r="B256" s="3480">
        <v>254</v>
      </c>
      <c r="C256" s="3480" t="s">
        <v>3655</v>
      </c>
      <c r="D256" s="3480">
        <v>156.44999999999999</v>
      </c>
      <c r="E256" s="3480">
        <v>219</v>
      </c>
      <c r="F256" s="3480">
        <v>14016</v>
      </c>
    </row>
    <row r="257" spans="2:6">
      <c r="B257" s="3480">
        <v>255</v>
      </c>
      <c r="C257" s="3480" t="s">
        <v>3657</v>
      </c>
      <c r="D257" s="3480">
        <v>87.72</v>
      </c>
      <c r="E257" s="3480">
        <v>123</v>
      </c>
      <c r="F257" s="3480">
        <v>14016</v>
      </c>
    </row>
    <row r="258" spans="2:6">
      <c r="B258" s="3480">
        <v>256</v>
      </c>
      <c r="C258" s="3480" t="s">
        <v>3659</v>
      </c>
      <c r="D258" s="3480">
        <v>71.41</v>
      </c>
      <c r="E258" s="3480">
        <v>100</v>
      </c>
      <c r="F258" s="3480">
        <v>14016</v>
      </c>
    </row>
    <row r="259" spans="2:6">
      <c r="B259" s="3480">
        <v>257</v>
      </c>
      <c r="C259" s="3480" t="s">
        <v>3661</v>
      </c>
      <c r="D259" s="3480">
        <v>183.35</v>
      </c>
      <c r="E259" s="3480">
        <v>257</v>
      </c>
      <c r="F259" s="3480">
        <v>14016</v>
      </c>
    </row>
    <row r="260" spans="2:6">
      <c r="B260" s="3480">
        <v>258</v>
      </c>
      <c r="C260" s="3480" t="s">
        <v>3663</v>
      </c>
      <c r="D260" s="3480">
        <v>203.49</v>
      </c>
      <c r="E260" s="3480">
        <v>285</v>
      </c>
      <c r="F260" s="3480">
        <v>14016</v>
      </c>
    </row>
    <row r="261" spans="2:6">
      <c r="B261" s="3480">
        <v>259</v>
      </c>
      <c r="C261" s="3480" t="s">
        <v>3665</v>
      </c>
      <c r="D261" s="3480">
        <v>143.85</v>
      </c>
      <c r="E261" s="3480">
        <v>202</v>
      </c>
      <c r="F261" s="3480">
        <v>14016</v>
      </c>
    </row>
    <row r="262" spans="2:6">
      <c r="B262" s="3480">
        <v>260</v>
      </c>
      <c r="C262" s="3480" t="s">
        <v>3667</v>
      </c>
      <c r="D262" s="3480">
        <v>144.99</v>
      </c>
      <c r="E262" s="3480">
        <v>203</v>
      </c>
      <c r="F262" s="3480">
        <v>14016</v>
      </c>
    </row>
    <row r="263" spans="2:6">
      <c r="B263" s="3480">
        <v>261</v>
      </c>
      <c r="C263" s="3480" t="s">
        <v>3669</v>
      </c>
      <c r="D263" s="3480">
        <v>155.53</v>
      </c>
      <c r="E263" s="3480">
        <v>218</v>
      </c>
      <c r="F263" s="3480">
        <v>14016</v>
      </c>
    </row>
    <row r="264" spans="2:6">
      <c r="B264" s="3480">
        <v>262</v>
      </c>
      <c r="C264" s="3480" t="s">
        <v>3671</v>
      </c>
      <c r="D264" s="3480">
        <v>136.25</v>
      </c>
      <c r="E264" s="3480">
        <v>191</v>
      </c>
      <c r="F264" s="3480">
        <v>14016</v>
      </c>
    </row>
    <row r="265" spans="2:6">
      <c r="B265" s="3480">
        <v>263</v>
      </c>
      <c r="C265" s="3480" t="s">
        <v>3673</v>
      </c>
      <c r="D265" s="3480">
        <v>235.24</v>
      </c>
      <c r="E265" s="3480">
        <v>330</v>
      </c>
      <c r="F265" s="3480">
        <v>14016</v>
      </c>
    </row>
    <row r="266" spans="2:6">
      <c r="B266" s="3480">
        <v>264</v>
      </c>
      <c r="C266" s="3480" t="s">
        <v>3675</v>
      </c>
      <c r="D266" s="3480">
        <v>235.24</v>
      </c>
      <c r="E266" s="3480">
        <v>330</v>
      </c>
      <c r="F266" s="3480">
        <v>14016</v>
      </c>
    </row>
    <row r="267" spans="2:6">
      <c r="B267" s="3480">
        <v>265</v>
      </c>
      <c r="C267" s="3480" t="s">
        <v>3677</v>
      </c>
      <c r="D267" s="3480">
        <v>136.25</v>
      </c>
      <c r="E267" s="3480">
        <v>191</v>
      </c>
      <c r="F267" s="3480">
        <v>14016</v>
      </c>
    </row>
    <row r="268" spans="2:6">
      <c r="B268" s="3480">
        <v>266</v>
      </c>
      <c r="C268" s="3480" t="s">
        <v>3679</v>
      </c>
      <c r="D268" s="3480">
        <v>155.53</v>
      </c>
      <c r="E268" s="3480">
        <v>218</v>
      </c>
      <c r="F268" s="3480">
        <v>14016</v>
      </c>
    </row>
    <row r="269" spans="2:6">
      <c r="B269" s="3480">
        <v>267</v>
      </c>
      <c r="C269" s="3480" t="s">
        <v>3681</v>
      </c>
      <c r="D269" s="3480">
        <v>144.99</v>
      </c>
      <c r="E269" s="3480">
        <v>203</v>
      </c>
      <c r="F269" s="3480">
        <v>14016</v>
      </c>
    </row>
    <row r="270" spans="2:6">
      <c r="B270" s="3480">
        <v>268</v>
      </c>
      <c r="C270" s="3480" t="s">
        <v>3683</v>
      </c>
      <c r="D270" s="3480">
        <v>144.13</v>
      </c>
      <c r="E270" s="3480">
        <v>202</v>
      </c>
      <c r="F270" s="3480">
        <v>14016</v>
      </c>
    </row>
    <row r="271" spans="2:6">
      <c r="B271" s="3480">
        <v>269</v>
      </c>
      <c r="C271" s="3480" t="s">
        <v>3685</v>
      </c>
      <c r="D271" s="3480">
        <v>206.6</v>
      </c>
      <c r="E271" s="3480">
        <v>290</v>
      </c>
      <c r="F271" s="3480">
        <v>14016</v>
      </c>
    </row>
    <row r="272" spans="2:6">
      <c r="B272" s="3480">
        <v>270</v>
      </c>
      <c r="C272" s="3480" t="s">
        <v>3687</v>
      </c>
      <c r="D272" s="3480">
        <v>183.35</v>
      </c>
      <c r="E272" s="3480">
        <v>257</v>
      </c>
      <c r="F272" s="3480">
        <v>14016</v>
      </c>
    </row>
    <row r="273" spans="2:6">
      <c r="B273" s="3480">
        <v>271</v>
      </c>
      <c r="C273" s="3480" t="s">
        <v>3689</v>
      </c>
      <c r="D273" s="3480">
        <v>71.41</v>
      </c>
      <c r="E273" s="3480">
        <v>100</v>
      </c>
      <c r="F273" s="3480">
        <v>14016</v>
      </c>
    </row>
    <row r="274" spans="2:6">
      <c r="B274" s="3480">
        <v>272</v>
      </c>
      <c r="C274" s="3480" t="s">
        <v>3691</v>
      </c>
      <c r="D274" s="3480">
        <v>87.72</v>
      </c>
      <c r="E274" s="3480">
        <v>123</v>
      </c>
      <c r="F274" s="3480">
        <v>14016</v>
      </c>
    </row>
    <row r="275" spans="2:6">
      <c r="B275" s="3480">
        <v>273</v>
      </c>
      <c r="C275" s="3480" t="s">
        <v>3693</v>
      </c>
      <c r="D275" s="3480">
        <v>156.53</v>
      </c>
      <c r="E275" s="3480">
        <v>219</v>
      </c>
      <c r="F275" s="3480">
        <v>14016</v>
      </c>
    </row>
    <row r="276" spans="2:6">
      <c r="B276" s="3480">
        <v>274</v>
      </c>
      <c r="C276" s="3480" t="s">
        <v>3695</v>
      </c>
      <c r="D276" s="3480">
        <v>226.45</v>
      </c>
      <c r="E276" s="3480">
        <v>317</v>
      </c>
      <c r="F276" s="3480">
        <v>14016</v>
      </c>
    </row>
    <row r="277" spans="2:6">
      <c r="B277" s="3480">
        <v>275</v>
      </c>
      <c r="C277" s="3480" t="s">
        <v>3697</v>
      </c>
      <c r="D277" s="3480">
        <v>91.69</v>
      </c>
      <c r="E277" s="3480">
        <v>129</v>
      </c>
      <c r="F277" s="3480">
        <v>14016</v>
      </c>
    </row>
    <row r="278" spans="2:6">
      <c r="B278" s="3480">
        <v>276</v>
      </c>
      <c r="C278" s="3480" t="s">
        <v>3699</v>
      </c>
      <c r="D278" s="3480">
        <v>3857.79</v>
      </c>
      <c r="E278" s="3480">
        <v>4916</v>
      </c>
      <c r="F278" s="3480">
        <v>12742</v>
      </c>
    </row>
    <row r="279" spans="2:6">
      <c r="B279" s="3480">
        <v>277</v>
      </c>
      <c r="C279" s="3480" t="s">
        <v>3701</v>
      </c>
      <c r="D279" s="3480">
        <v>121.51</v>
      </c>
      <c r="E279" s="3480">
        <v>155</v>
      </c>
      <c r="F279" s="3480">
        <v>12742</v>
      </c>
    </row>
    <row r="280" spans="2:6">
      <c r="B280" s="3480">
        <v>278</v>
      </c>
      <c r="C280" s="3480" t="s">
        <v>3703</v>
      </c>
      <c r="D280" s="3480">
        <v>111.93</v>
      </c>
      <c r="E280" s="3480">
        <v>143</v>
      </c>
      <c r="F280" s="3480">
        <v>12742</v>
      </c>
    </row>
    <row r="281" spans="2:6">
      <c r="B281" s="3480">
        <v>279</v>
      </c>
      <c r="C281" s="3480" t="s">
        <v>3705</v>
      </c>
      <c r="D281" s="3480">
        <v>107.36</v>
      </c>
      <c r="E281" s="3480">
        <v>137</v>
      </c>
      <c r="F281" s="3480">
        <v>12742</v>
      </c>
    </row>
    <row r="282" spans="2:6">
      <c r="B282" s="3480">
        <v>280</v>
      </c>
      <c r="C282" s="3480" t="s">
        <v>3707</v>
      </c>
      <c r="D282" s="3480">
        <v>107.36</v>
      </c>
      <c r="E282" s="3480">
        <v>137</v>
      </c>
      <c r="F282" s="3480">
        <v>12742</v>
      </c>
    </row>
    <row r="283" spans="2:6">
      <c r="B283" s="3480">
        <v>281</v>
      </c>
      <c r="C283" s="3480" t="s">
        <v>3709</v>
      </c>
      <c r="D283" s="3480">
        <v>92.52</v>
      </c>
      <c r="E283" s="3480">
        <v>118</v>
      </c>
      <c r="F283" s="3480">
        <v>12742</v>
      </c>
    </row>
    <row r="284" spans="2:6">
      <c r="B284" s="3480">
        <v>282</v>
      </c>
      <c r="C284" s="3480" t="s">
        <v>3711</v>
      </c>
      <c r="D284" s="3480">
        <v>92.52</v>
      </c>
      <c r="E284" s="3480">
        <v>118</v>
      </c>
      <c r="F284" s="3480">
        <v>12742</v>
      </c>
    </row>
    <row r="285" spans="2:6">
      <c r="B285" s="3480">
        <v>283</v>
      </c>
      <c r="C285" s="3480" t="s">
        <v>3713</v>
      </c>
      <c r="D285" s="3480">
        <v>100.51</v>
      </c>
      <c r="E285" s="3480">
        <v>128</v>
      </c>
      <c r="F285" s="3480">
        <v>12742</v>
      </c>
    </row>
    <row r="286" spans="2:6">
      <c r="B286" s="3480">
        <v>284</v>
      </c>
      <c r="C286" s="3480" t="s">
        <v>3715</v>
      </c>
      <c r="D286" s="3480">
        <v>148.01</v>
      </c>
      <c r="E286" s="3480">
        <v>189</v>
      </c>
      <c r="F286" s="3480">
        <v>12742</v>
      </c>
    </row>
    <row r="287" spans="2:6">
      <c r="B287" s="3480">
        <v>285</v>
      </c>
      <c r="C287" s="3480" t="s">
        <v>3717</v>
      </c>
      <c r="D287" s="3480">
        <v>166.43</v>
      </c>
      <c r="E287" s="3480">
        <v>212</v>
      </c>
      <c r="F287" s="3480">
        <v>12742</v>
      </c>
    </row>
    <row r="288" spans="2:6">
      <c r="B288" s="3480">
        <v>286</v>
      </c>
      <c r="C288" s="3480" t="s">
        <v>3719</v>
      </c>
      <c r="D288" s="3480">
        <v>226.71</v>
      </c>
      <c r="E288" s="3480">
        <v>289</v>
      </c>
      <c r="F288" s="3480">
        <v>12742</v>
      </c>
    </row>
    <row r="289" spans="2:6">
      <c r="B289" s="3480">
        <v>287</v>
      </c>
      <c r="C289" s="3480" t="s">
        <v>3721</v>
      </c>
      <c r="D289" s="3480">
        <v>132.12</v>
      </c>
      <c r="E289" s="3480">
        <v>168</v>
      </c>
      <c r="F289" s="3480">
        <v>12742</v>
      </c>
    </row>
    <row r="290" spans="2:6">
      <c r="B290" s="3480">
        <v>288</v>
      </c>
      <c r="C290" s="3480" t="s">
        <v>3723</v>
      </c>
      <c r="D290" s="3480">
        <v>134.58000000000001</v>
      </c>
      <c r="E290" s="3480">
        <v>171</v>
      </c>
      <c r="F290" s="3480">
        <v>12742</v>
      </c>
    </row>
    <row r="291" spans="2:6">
      <c r="B291" s="3480">
        <v>289</v>
      </c>
      <c r="C291" s="3480" t="s">
        <v>3725</v>
      </c>
      <c r="D291" s="3480">
        <v>144.88</v>
      </c>
      <c r="E291" s="3480">
        <v>185</v>
      </c>
      <c r="F291" s="3480">
        <v>12742</v>
      </c>
    </row>
    <row r="292" spans="2:6">
      <c r="B292" s="3480">
        <v>290</v>
      </c>
      <c r="C292" s="3480" t="s">
        <v>3727</v>
      </c>
      <c r="D292" s="3480">
        <v>46.77</v>
      </c>
      <c r="E292" s="3480">
        <v>60</v>
      </c>
      <c r="F292" s="3480">
        <v>12742</v>
      </c>
    </row>
    <row r="293" spans="2:6">
      <c r="B293" s="3480">
        <v>291</v>
      </c>
      <c r="C293" s="3480" t="s">
        <v>3729</v>
      </c>
      <c r="D293" s="3480">
        <v>52.49</v>
      </c>
      <c r="E293" s="3480">
        <v>67</v>
      </c>
      <c r="F293" s="3480">
        <v>12742</v>
      </c>
    </row>
    <row r="294" spans="2:6">
      <c r="B294" s="3480">
        <v>292</v>
      </c>
      <c r="C294" s="3480" t="s">
        <v>3731</v>
      </c>
      <c r="D294" s="3480">
        <v>52.02</v>
      </c>
      <c r="E294" s="3480">
        <v>66</v>
      </c>
      <c r="F294" s="3480">
        <v>12742</v>
      </c>
    </row>
    <row r="295" spans="2:6">
      <c r="B295" s="3480">
        <v>293</v>
      </c>
      <c r="C295" s="3480" t="s">
        <v>3733</v>
      </c>
      <c r="D295" s="3480">
        <v>45.35</v>
      </c>
      <c r="E295" s="3480">
        <v>58</v>
      </c>
      <c r="F295" s="3480">
        <v>12742</v>
      </c>
    </row>
    <row r="296" spans="2:6">
      <c r="B296" s="3480">
        <v>294</v>
      </c>
      <c r="C296" s="3480" t="s">
        <v>3735</v>
      </c>
      <c r="D296" s="3480">
        <v>49.22</v>
      </c>
      <c r="E296" s="3480">
        <v>63</v>
      </c>
      <c r="F296" s="3480">
        <v>12742</v>
      </c>
    </row>
    <row r="297" spans="2:6">
      <c r="B297" s="3480">
        <v>295</v>
      </c>
      <c r="C297" s="3480" t="s">
        <v>3737</v>
      </c>
      <c r="D297" s="3480">
        <v>43.52</v>
      </c>
      <c r="E297" s="3480">
        <v>55</v>
      </c>
      <c r="F297" s="3480">
        <v>12742</v>
      </c>
    </row>
    <row r="298" spans="2:6">
      <c r="B298" s="3480">
        <v>296</v>
      </c>
      <c r="C298" s="3480" t="s">
        <v>3739</v>
      </c>
      <c r="D298" s="3480">
        <v>42.98</v>
      </c>
      <c r="E298" s="3480">
        <v>55</v>
      </c>
      <c r="F298" s="3480">
        <v>12742</v>
      </c>
    </row>
    <row r="299" spans="2:6">
      <c r="B299" s="3480">
        <v>297</v>
      </c>
      <c r="C299" s="3480" t="s">
        <v>3741</v>
      </c>
      <c r="D299" s="3480">
        <v>39.22</v>
      </c>
      <c r="E299" s="3480">
        <v>50</v>
      </c>
      <c r="F299" s="3480">
        <v>12742</v>
      </c>
    </row>
    <row r="300" spans="2:6">
      <c r="B300" s="3480">
        <v>298</v>
      </c>
      <c r="C300" s="3480" t="s">
        <v>3743</v>
      </c>
      <c r="D300" s="3480">
        <v>33.42</v>
      </c>
      <c r="E300" s="3480">
        <v>43</v>
      </c>
      <c r="F300" s="3480">
        <v>12742</v>
      </c>
    </row>
    <row r="301" spans="2:6">
      <c r="B301" s="3480">
        <v>299</v>
      </c>
      <c r="C301" s="3480" t="s">
        <v>3745</v>
      </c>
      <c r="D301" s="3480">
        <v>40.659999999999997</v>
      </c>
      <c r="E301" s="3480">
        <v>52</v>
      </c>
      <c r="F301" s="3480">
        <v>12742</v>
      </c>
    </row>
    <row r="302" spans="2:6">
      <c r="B302" s="3480">
        <v>300</v>
      </c>
      <c r="C302" s="3480" t="s">
        <v>3747</v>
      </c>
      <c r="D302" s="3480">
        <v>41.59</v>
      </c>
      <c r="E302" s="3480">
        <v>53</v>
      </c>
      <c r="F302" s="3480">
        <v>12742</v>
      </c>
    </row>
    <row r="303" spans="2:6">
      <c r="B303" s="3480">
        <v>301</v>
      </c>
      <c r="C303" s="3480" t="s">
        <v>3749</v>
      </c>
      <c r="D303" s="3480">
        <v>42.53</v>
      </c>
      <c r="E303" s="3480">
        <v>54</v>
      </c>
      <c r="F303" s="3480">
        <v>12742</v>
      </c>
    </row>
    <row r="304" spans="2:6">
      <c r="B304" s="3480">
        <v>302</v>
      </c>
      <c r="C304" s="3480" t="s">
        <v>3751</v>
      </c>
      <c r="D304" s="3480">
        <v>43.46</v>
      </c>
      <c r="E304" s="3480">
        <v>55</v>
      </c>
      <c r="F304" s="3480">
        <v>12742</v>
      </c>
    </row>
    <row r="305" spans="2:6">
      <c r="B305" s="3480">
        <v>303</v>
      </c>
      <c r="C305" s="3480" t="s">
        <v>3753</v>
      </c>
      <c r="D305" s="3480">
        <v>45.27</v>
      </c>
      <c r="E305" s="3480">
        <v>58</v>
      </c>
      <c r="F305" s="3480">
        <v>12742</v>
      </c>
    </row>
    <row r="306" spans="2:6">
      <c r="B306" s="3480">
        <v>304</v>
      </c>
      <c r="C306" s="3480" t="s">
        <v>3755</v>
      </c>
      <c r="D306" s="3480">
        <v>29.08</v>
      </c>
      <c r="E306" s="3480">
        <v>37</v>
      </c>
      <c r="F306" s="3480">
        <v>12742</v>
      </c>
    </row>
    <row r="307" spans="2:6">
      <c r="B307" s="3480">
        <v>305</v>
      </c>
      <c r="C307" s="3480" t="s">
        <v>3757</v>
      </c>
      <c r="D307" s="3480">
        <v>34.43</v>
      </c>
      <c r="E307" s="3480">
        <v>44</v>
      </c>
      <c r="F307" s="3480">
        <v>12742</v>
      </c>
    </row>
    <row r="308" spans="2:6">
      <c r="B308" s="3480">
        <v>306</v>
      </c>
      <c r="C308" s="3480" t="s">
        <v>3759</v>
      </c>
      <c r="D308" s="3480">
        <v>34.04</v>
      </c>
      <c r="E308" s="3480">
        <v>43</v>
      </c>
      <c r="F308" s="3480">
        <v>12742</v>
      </c>
    </row>
    <row r="309" spans="2:6">
      <c r="B309" s="3480">
        <v>307</v>
      </c>
      <c r="C309" s="3480" t="s">
        <v>3761</v>
      </c>
      <c r="D309" s="3480">
        <v>33.18</v>
      </c>
      <c r="E309" s="3480">
        <v>42</v>
      </c>
      <c r="F309" s="3480">
        <v>12742</v>
      </c>
    </row>
    <row r="310" spans="2:6">
      <c r="B310" s="3480">
        <v>308</v>
      </c>
      <c r="C310" s="3480" t="s">
        <v>3763</v>
      </c>
      <c r="D310" s="3480">
        <v>36.74</v>
      </c>
      <c r="E310" s="3480">
        <v>47</v>
      </c>
      <c r="F310" s="3480">
        <v>12742</v>
      </c>
    </row>
    <row r="311" spans="2:6">
      <c r="B311" s="3480">
        <v>309</v>
      </c>
      <c r="C311" s="3480" t="s">
        <v>3765</v>
      </c>
      <c r="D311" s="3480">
        <v>36.74</v>
      </c>
      <c r="E311" s="3480">
        <v>47</v>
      </c>
      <c r="F311" s="3480">
        <v>12742</v>
      </c>
    </row>
    <row r="312" spans="2:6">
      <c r="B312" s="3480">
        <v>310</v>
      </c>
      <c r="C312" s="3480" t="s">
        <v>3767</v>
      </c>
      <c r="D312" s="3480">
        <v>36.74</v>
      </c>
      <c r="E312" s="3480">
        <v>47</v>
      </c>
      <c r="F312" s="3480">
        <v>12742</v>
      </c>
    </row>
    <row r="313" spans="2:6">
      <c r="B313" s="3480">
        <v>311</v>
      </c>
      <c r="C313" s="3480" t="s">
        <v>3769</v>
      </c>
      <c r="D313" s="3480">
        <v>32.32</v>
      </c>
      <c r="E313" s="3480">
        <v>41</v>
      </c>
      <c r="F313" s="3480">
        <v>12742</v>
      </c>
    </row>
    <row r="314" spans="2:6">
      <c r="B314" s="3480">
        <v>312</v>
      </c>
      <c r="C314" s="3480" t="s">
        <v>3771</v>
      </c>
      <c r="D314" s="3480">
        <v>38.28</v>
      </c>
      <c r="E314" s="3480">
        <v>49</v>
      </c>
      <c r="F314" s="3480">
        <v>12742</v>
      </c>
    </row>
    <row r="315" spans="2:6">
      <c r="B315" s="3480">
        <v>313</v>
      </c>
      <c r="C315" s="3480" t="s">
        <v>3773</v>
      </c>
      <c r="D315" s="3480">
        <v>64.239999999999995</v>
      </c>
      <c r="E315" s="3480">
        <v>82</v>
      </c>
      <c r="F315" s="3480">
        <v>12742</v>
      </c>
    </row>
    <row r="316" spans="2:6">
      <c r="B316" s="3480">
        <v>314</v>
      </c>
      <c r="C316" s="3480" t="s">
        <v>3775</v>
      </c>
      <c r="D316" s="3480">
        <v>329.46</v>
      </c>
      <c r="E316" s="3480">
        <v>420</v>
      </c>
      <c r="F316" s="3480">
        <v>12742</v>
      </c>
    </row>
    <row r="317" spans="2:6">
      <c r="B317" s="3480">
        <v>315</v>
      </c>
      <c r="C317" s="3480" t="s">
        <v>3777</v>
      </c>
      <c r="D317" s="3480">
        <v>260.02</v>
      </c>
      <c r="E317" s="3480">
        <v>331</v>
      </c>
      <c r="F317" s="3480">
        <v>12742</v>
      </c>
    </row>
    <row r="318" spans="2:6">
      <c r="B318" s="3480">
        <v>316</v>
      </c>
      <c r="C318" s="3480" t="s">
        <v>3779</v>
      </c>
      <c r="D318" s="3480">
        <v>233.07</v>
      </c>
      <c r="E318" s="3480">
        <v>297</v>
      </c>
      <c r="F318" s="3480">
        <v>12742</v>
      </c>
    </row>
    <row r="319" spans="2:6">
      <c r="B319" s="3480">
        <v>317</v>
      </c>
      <c r="C319" s="3480" t="s">
        <v>3781</v>
      </c>
      <c r="D319" s="3480">
        <v>56.9</v>
      </c>
      <c r="E319" s="3480">
        <v>73</v>
      </c>
      <c r="F319" s="3480">
        <v>12742</v>
      </c>
    </row>
    <row r="320" spans="2:6">
      <c r="B320" s="3480">
        <v>318</v>
      </c>
      <c r="C320" s="3480" t="s">
        <v>3783</v>
      </c>
      <c r="D320" s="3480">
        <v>42.82</v>
      </c>
      <c r="E320" s="3480">
        <v>55</v>
      </c>
      <c r="F320" s="3480">
        <v>12742</v>
      </c>
    </row>
    <row r="321" spans="2:6">
      <c r="B321" s="3480">
        <v>319</v>
      </c>
      <c r="C321" s="3480" t="s">
        <v>3785</v>
      </c>
      <c r="D321" s="3480">
        <v>33.81</v>
      </c>
      <c r="E321" s="3480">
        <v>43</v>
      </c>
      <c r="F321" s="3480">
        <v>12742</v>
      </c>
    </row>
    <row r="322" spans="2:6">
      <c r="B322" s="3480">
        <v>320</v>
      </c>
      <c r="C322" s="3480" t="s">
        <v>3787</v>
      </c>
      <c r="D322" s="3480">
        <v>41</v>
      </c>
      <c r="E322" s="3480">
        <v>52</v>
      </c>
      <c r="F322" s="3480">
        <v>12742</v>
      </c>
    </row>
    <row r="323" spans="2:6">
      <c r="B323" s="3480">
        <v>321</v>
      </c>
      <c r="C323" s="3480" t="s">
        <v>3789</v>
      </c>
      <c r="D323" s="3480">
        <v>40.21</v>
      </c>
      <c r="E323" s="3480">
        <v>51</v>
      </c>
      <c r="F323" s="3480">
        <v>12742</v>
      </c>
    </row>
    <row r="324" spans="2:6">
      <c r="B324" s="3480">
        <v>322</v>
      </c>
      <c r="C324" s="3480" t="s">
        <v>3791</v>
      </c>
      <c r="D324" s="3480">
        <v>42.82</v>
      </c>
      <c r="E324" s="3480">
        <v>55</v>
      </c>
      <c r="F324" s="3480">
        <v>12742</v>
      </c>
    </row>
    <row r="325" spans="2:6">
      <c r="B325" s="3480">
        <v>323</v>
      </c>
      <c r="C325" s="3480" t="s">
        <v>3793</v>
      </c>
      <c r="D325" s="3480">
        <v>42.82</v>
      </c>
      <c r="E325" s="3480">
        <v>55</v>
      </c>
      <c r="F325" s="3480">
        <v>12742</v>
      </c>
    </row>
    <row r="326" spans="2:6">
      <c r="B326" s="3480">
        <v>324</v>
      </c>
      <c r="C326" s="3480" t="s">
        <v>3795</v>
      </c>
      <c r="D326" s="3480">
        <v>42.82</v>
      </c>
      <c r="E326" s="3480">
        <v>55</v>
      </c>
      <c r="F326" s="3480">
        <v>12742</v>
      </c>
    </row>
    <row r="327" spans="2:6">
      <c r="B327" s="3480">
        <v>325</v>
      </c>
      <c r="C327" s="3480" t="s">
        <v>3797</v>
      </c>
      <c r="D327" s="3480">
        <v>42.82</v>
      </c>
      <c r="E327" s="3480">
        <v>55</v>
      </c>
      <c r="F327" s="3480">
        <v>12742</v>
      </c>
    </row>
    <row r="328" spans="2:6">
      <c r="B328" s="3480">
        <v>326</v>
      </c>
      <c r="C328" s="3480" t="s">
        <v>3799</v>
      </c>
      <c r="D328" s="3480">
        <v>43.38</v>
      </c>
      <c r="E328" s="3480">
        <v>55</v>
      </c>
      <c r="F328" s="3480">
        <v>12742</v>
      </c>
    </row>
    <row r="329" spans="2:6">
      <c r="B329" s="3480">
        <v>327</v>
      </c>
      <c r="C329" s="3480" t="s">
        <v>3801</v>
      </c>
      <c r="D329" s="3480">
        <v>44.17</v>
      </c>
      <c r="E329" s="3480">
        <v>56</v>
      </c>
      <c r="F329" s="3480">
        <v>12742</v>
      </c>
    </row>
    <row r="330" spans="2:6">
      <c r="B330" s="3480">
        <v>328</v>
      </c>
      <c r="C330" s="3480" t="s">
        <v>3803</v>
      </c>
      <c r="D330" s="3480">
        <v>33.83</v>
      </c>
      <c r="E330" s="3480">
        <v>43</v>
      </c>
      <c r="F330" s="3480">
        <v>12742</v>
      </c>
    </row>
    <row r="331" spans="2:6">
      <c r="B331" s="3480">
        <v>329</v>
      </c>
      <c r="C331" s="3480" t="s">
        <v>3805</v>
      </c>
      <c r="D331" s="3480">
        <v>25.22</v>
      </c>
      <c r="E331" s="3480">
        <v>32</v>
      </c>
      <c r="F331" s="3480">
        <v>12742</v>
      </c>
    </row>
    <row r="332" spans="2:6">
      <c r="B332" s="3480">
        <v>330</v>
      </c>
      <c r="C332" s="3480" t="s">
        <v>3807</v>
      </c>
      <c r="D332" s="3480">
        <v>27.56</v>
      </c>
      <c r="E332" s="3480">
        <v>35</v>
      </c>
      <c r="F332" s="3480">
        <v>12742</v>
      </c>
    </row>
    <row r="333" spans="2:6">
      <c r="B333" s="3480">
        <v>331</v>
      </c>
      <c r="C333" s="3480" t="s">
        <v>3809</v>
      </c>
      <c r="D333" s="3480">
        <v>31.49</v>
      </c>
      <c r="E333" s="3480">
        <v>40</v>
      </c>
      <c r="F333" s="3480">
        <v>12742</v>
      </c>
    </row>
    <row r="334" spans="2:6">
      <c r="B334" s="3480">
        <v>332</v>
      </c>
      <c r="C334" s="3480" t="s">
        <v>3811</v>
      </c>
      <c r="D334" s="3480">
        <v>31.49</v>
      </c>
      <c r="E334" s="3480">
        <v>40</v>
      </c>
      <c r="F334" s="3480">
        <v>12742</v>
      </c>
    </row>
    <row r="335" spans="2:6">
      <c r="B335" s="3480">
        <v>333</v>
      </c>
      <c r="C335" s="3480" t="s">
        <v>3813</v>
      </c>
      <c r="D335" s="3480">
        <v>27.56</v>
      </c>
      <c r="E335" s="3480">
        <v>35</v>
      </c>
      <c r="F335" s="3480">
        <v>12742</v>
      </c>
    </row>
    <row r="336" spans="2:6">
      <c r="B336" s="3480">
        <v>334</v>
      </c>
      <c r="C336" s="3480" t="s">
        <v>3815</v>
      </c>
      <c r="D336" s="3480">
        <v>27.56</v>
      </c>
      <c r="E336" s="3480">
        <v>35</v>
      </c>
      <c r="F336" s="3480">
        <v>12742</v>
      </c>
    </row>
    <row r="337" spans="2:6">
      <c r="B337" s="3480">
        <v>335</v>
      </c>
      <c r="C337" s="3480" t="s">
        <v>3817</v>
      </c>
      <c r="D337" s="3480">
        <v>31.49</v>
      </c>
      <c r="E337" s="3480">
        <v>40</v>
      </c>
      <c r="F337" s="3480">
        <v>12742</v>
      </c>
    </row>
    <row r="338" spans="2:6">
      <c r="B338" s="3480">
        <v>336</v>
      </c>
      <c r="C338" s="3480" t="s">
        <v>3819</v>
      </c>
      <c r="D338" s="3480">
        <v>31.49</v>
      </c>
      <c r="E338" s="3480">
        <v>40</v>
      </c>
      <c r="F338" s="3480">
        <v>12742</v>
      </c>
    </row>
    <row r="339" spans="2:6">
      <c r="B339" s="3480">
        <v>337</v>
      </c>
      <c r="C339" s="3480" t="s">
        <v>3821</v>
      </c>
      <c r="D339" s="3480">
        <v>27.56</v>
      </c>
      <c r="E339" s="3480">
        <v>35</v>
      </c>
      <c r="F339" s="3480">
        <v>12742</v>
      </c>
    </row>
    <row r="340" spans="2:6">
      <c r="B340" s="3480">
        <v>338</v>
      </c>
      <c r="C340" s="3480" t="s">
        <v>3823</v>
      </c>
      <c r="D340" s="3480">
        <v>25.18</v>
      </c>
      <c r="E340" s="3480">
        <v>32</v>
      </c>
      <c r="F340" s="3480">
        <v>12742</v>
      </c>
    </row>
    <row r="341" spans="2:6">
      <c r="B341" s="3480">
        <v>339</v>
      </c>
      <c r="C341" s="3480" t="s">
        <v>3825</v>
      </c>
      <c r="D341" s="3480">
        <v>33.83</v>
      </c>
      <c r="E341" s="3480">
        <v>43</v>
      </c>
      <c r="F341" s="3480">
        <v>12742</v>
      </c>
    </row>
    <row r="342" spans="2:6">
      <c r="B342" s="3480">
        <v>340</v>
      </c>
      <c r="C342" s="3480" t="s">
        <v>3827</v>
      </c>
      <c r="D342" s="3480">
        <v>44.17</v>
      </c>
      <c r="E342" s="3480">
        <v>56</v>
      </c>
      <c r="F342" s="3480">
        <v>12742</v>
      </c>
    </row>
    <row r="343" spans="2:6">
      <c r="B343" s="3480">
        <v>341</v>
      </c>
      <c r="C343" s="3480" t="s">
        <v>3829</v>
      </c>
      <c r="D343" s="3480">
        <v>43.38</v>
      </c>
      <c r="E343" s="3480">
        <v>55</v>
      </c>
      <c r="F343" s="3480">
        <v>12742</v>
      </c>
    </row>
    <row r="344" spans="2:6">
      <c r="B344" s="3480">
        <v>342</v>
      </c>
      <c r="C344" s="3480" t="s">
        <v>3831</v>
      </c>
      <c r="D344" s="3480">
        <v>42.82</v>
      </c>
      <c r="E344" s="3480">
        <v>55</v>
      </c>
      <c r="F344" s="3480">
        <v>12742</v>
      </c>
    </row>
    <row r="345" spans="2:6">
      <c r="B345" s="3480">
        <v>343</v>
      </c>
      <c r="C345" s="3480" t="s">
        <v>3833</v>
      </c>
      <c r="D345" s="3480">
        <v>42.82</v>
      </c>
      <c r="E345" s="3480">
        <v>55</v>
      </c>
      <c r="F345" s="3480">
        <v>12742</v>
      </c>
    </row>
    <row r="346" spans="2:6">
      <c r="B346" s="3480">
        <v>344</v>
      </c>
      <c r="C346" s="3480" t="s">
        <v>3835</v>
      </c>
      <c r="D346" s="3480">
        <v>42.82</v>
      </c>
      <c r="E346" s="3480">
        <v>55</v>
      </c>
      <c r="F346" s="3480">
        <v>12742</v>
      </c>
    </row>
    <row r="347" spans="2:6">
      <c r="B347" s="3480">
        <v>345</v>
      </c>
      <c r="C347" s="3480" t="s">
        <v>3837</v>
      </c>
      <c r="D347" s="3480">
        <v>42.82</v>
      </c>
      <c r="E347" s="3480">
        <v>55</v>
      </c>
      <c r="F347" s="3480">
        <v>12742</v>
      </c>
    </row>
    <row r="348" spans="2:6">
      <c r="B348" s="3480">
        <v>346</v>
      </c>
      <c r="C348" s="3480" t="s">
        <v>3839</v>
      </c>
      <c r="D348" s="3480">
        <v>40.21</v>
      </c>
      <c r="E348" s="3480">
        <v>51</v>
      </c>
      <c r="F348" s="3480">
        <v>12742</v>
      </c>
    </row>
    <row r="349" spans="2:6">
      <c r="B349" s="3480">
        <v>347</v>
      </c>
      <c r="C349" s="3480" t="s">
        <v>3841</v>
      </c>
      <c r="D349" s="3480">
        <v>41</v>
      </c>
      <c r="E349" s="3480">
        <v>52</v>
      </c>
      <c r="F349" s="3480">
        <v>12742</v>
      </c>
    </row>
    <row r="350" spans="2:6">
      <c r="B350" s="3480">
        <v>348</v>
      </c>
      <c r="C350" s="3480" t="s">
        <v>3843</v>
      </c>
      <c r="D350" s="3480">
        <v>33.81</v>
      </c>
      <c r="E350" s="3480">
        <v>43</v>
      </c>
      <c r="F350" s="3480">
        <v>12742</v>
      </c>
    </row>
    <row r="351" spans="2:6">
      <c r="B351" s="3480">
        <v>349</v>
      </c>
      <c r="C351" s="3480" t="s">
        <v>3845</v>
      </c>
      <c r="D351" s="3480">
        <v>42.82</v>
      </c>
      <c r="E351" s="3480">
        <v>55</v>
      </c>
      <c r="F351" s="3480">
        <v>12742</v>
      </c>
    </row>
    <row r="352" spans="2:6">
      <c r="B352" s="3480">
        <v>350</v>
      </c>
      <c r="C352" s="3480" t="s">
        <v>3847</v>
      </c>
      <c r="D352" s="3480">
        <v>56.9</v>
      </c>
      <c r="E352" s="3480">
        <v>73</v>
      </c>
      <c r="F352" s="3480">
        <v>12742</v>
      </c>
    </row>
    <row r="353" spans="2:6">
      <c r="B353" s="3480">
        <v>351</v>
      </c>
      <c r="C353" s="3480" t="s">
        <v>3849</v>
      </c>
      <c r="D353" s="3480">
        <v>21.74</v>
      </c>
      <c r="E353" s="3480">
        <v>28</v>
      </c>
      <c r="F353" s="3480">
        <v>12742</v>
      </c>
    </row>
    <row r="354" spans="2:6">
      <c r="B354" s="3480">
        <v>352</v>
      </c>
      <c r="C354" s="3480" t="s">
        <v>3851</v>
      </c>
      <c r="D354" s="3480">
        <v>25.21</v>
      </c>
      <c r="E354" s="3480">
        <v>32</v>
      </c>
      <c r="F354" s="3480">
        <v>12742</v>
      </c>
    </row>
    <row r="355" spans="2:6">
      <c r="B355" s="3480">
        <v>353</v>
      </c>
      <c r="C355" s="3480" t="s">
        <v>3853</v>
      </c>
      <c r="D355" s="3480">
        <v>45.65</v>
      </c>
      <c r="E355" s="3480">
        <v>58</v>
      </c>
      <c r="F355" s="3480">
        <v>12742</v>
      </c>
    </row>
    <row r="356" spans="2:6">
      <c r="B356" s="3480">
        <v>354</v>
      </c>
      <c r="C356" s="3480" t="s">
        <v>3855</v>
      </c>
      <c r="D356" s="3480">
        <v>108.12</v>
      </c>
      <c r="E356" s="3480">
        <v>138</v>
      </c>
      <c r="F356" s="3480">
        <v>12742</v>
      </c>
    </row>
    <row r="357" spans="2:6">
      <c r="B357" s="3480">
        <v>355</v>
      </c>
      <c r="C357" s="3480" t="s">
        <v>3857</v>
      </c>
      <c r="D357" s="3480">
        <v>118.68</v>
      </c>
      <c r="E357" s="3480">
        <v>151</v>
      </c>
      <c r="F357" s="3480">
        <v>12742</v>
      </c>
    </row>
    <row r="358" spans="2:6">
      <c r="B358" s="3480">
        <v>356</v>
      </c>
      <c r="C358" s="3480" t="s">
        <v>3859</v>
      </c>
      <c r="D358" s="3480">
        <v>123.53</v>
      </c>
      <c r="E358" s="3480">
        <v>157</v>
      </c>
      <c r="F358" s="3480">
        <v>12742</v>
      </c>
    </row>
    <row r="359" spans="2:6">
      <c r="B359" s="3480">
        <v>357</v>
      </c>
      <c r="C359" s="3480" t="s">
        <v>3861</v>
      </c>
      <c r="D359" s="3480">
        <v>226.71</v>
      </c>
      <c r="E359" s="3480">
        <v>289</v>
      </c>
      <c r="F359" s="3480">
        <v>12742</v>
      </c>
    </row>
    <row r="360" spans="2:6">
      <c r="B360" s="3480">
        <v>358</v>
      </c>
      <c r="C360" s="3480" t="s">
        <v>3863</v>
      </c>
      <c r="D360" s="3480">
        <v>156.71</v>
      </c>
      <c r="E360" s="3480">
        <v>200</v>
      </c>
      <c r="F360" s="3480">
        <v>12742</v>
      </c>
    </row>
    <row r="361" spans="2:6">
      <c r="B361" s="3480">
        <v>359</v>
      </c>
      <c r="C361" s="3480" t="s">
        <v>3865</v>
      </c>
      <c r="D361" s="3480">
        <v>87.82</v>
      </c>
      <c r="E361" s="3480">
        <v>112</v>
      </c>
      <c r="F361" s="3480">
        <v>12742</v>
      </c>
    </row>
    <row r="362" spans="2:6">
      <c r="B362" s="3480">
        <v>360</v>
      </c>
      <c r="C362" s="3480" t="s">
        <v>3867</v>
      </c>
      <c r="D362" s="3480">
        <v>71.489999999999995</v>
      </c>
      <c r="E362" s="3480">
        <v>91</v>
      </c>
      <c r="F362" s="3480">
        <v>12742</v>
      </c>
    </row>
    <row r="363" spans="2:6">
      <c r="B363" s="3480">
        <v>361</v>
      </c>
      <c r="C363" s="3480" t="s">
        <v>3869</v>
      </c>
      <c r="D363" s="3480">
        <v>183.56</v>
      </c>
      <c r="E363" s="3480">
        <v>234</v>
      </c>
      <c r="F363" s="3480">
        <v>12742</v>
      </c>
    </row>
    <row r="364" spans="2:6">
      <c r="B364" s="3480">
        <v>362</v>
      </c>
      <c r="C364" s="3480" t="s">
        <v>3871</v>
      </c>
      <c r="D364" s="3480">
        <v>206.84</v>
      </c>
      <c r="E364" s="3480">
        <v>264</v>
      </c>
      <c r="F364" s="3480">
        <v>12742</v>
      </c>
    </row>
    <row r="365" spans="2:6">
      <c r="B365" s="3480">
        <v>363</v>
      </c>
      <c r="C365" s="3480" t="s">
        <v>3873</v>
      </c>
      <c r="D365" s="3480">
        <v>144.30000000000001</v>
      </c>
      <c r="E365" s="3480">
        <v>184</v>
      </c>
      <c r="F365" s="3480">
        <v>12742</v>
      </c>
    </row>
    <row r="366" spans="2:6">
      <c r="B366" s="3480">
        <v>364</v>
      </c>
      <c r="C366" s="3480" t="s">
        <v>3875</v>
      </c>
      <c r="D366" s="3480">
        <v>145.16</v>
      </c>
      <c r="E366" s="3480">
        <v>185</v>
      </c>
      <c r="F366" s="3480">
        <v>12742</v>
      </c>
    </row>
    <row r="367" spans="2:6">
      <c r="B367" s="3480">
        <v>365</v>
      </c>
      <c r="C367" s="3480" t="s">
        <v>3877</v>
      </c>
      <c r="D367" s="3480">
        <v>155.71</v>
      </c>
      <c r="E367" s="3480">
        <v>198</v>
      </c>
      <c r="F367" s="3480">
        <v>12742</v>
      </c>
    </row>
    <row r="368" spans="2:6">
      <c r="B368" s="3480">
        <v>366</v>
      </c>
      <c r="C368" s="3480" t="s">
        <v>3879</v>
      </c>
      <c r="D368" s="3480">
        <v>136.41</v>
      </c>
      <c r="E368" s="3480">
        <v>174</v>
      </c>
      <c r="F368" s="3480">
        <v>12742</v>
      </c>
    </row>
    <row r="369" spans="2:6">
      <c r="B369" s="3480">
        <v>367</v>
      </c>
      <c r="C369" s="3480" t="s">
        <v>3881</v>
      </c>
      <c r="D369" s="3480">
        <v>230.85</v>
      </c>
      <c r="E369" s="3480">
        <v>294</v>
      </c>
      <c r="F369" s="3480">
        <v>12742</v>
      </c>
    </row>
    <row r="370" spans="2:6">
      <c r="B370" s="3480">
        <v>368</v>
      </c>
      <c r="C370" s="3480" t="s">
        <v>3883</v>
      </c>
      <c r="D370" s="3480">
        <v>230.85</v>
      </c>
      <c r="E370" s="3480">
        <v>294</v>
      </c>
      <c r="F370" s="3480">
        <v>12742</v>
      </c>
    </row>
    <row r="371" spans="2:6">
      <c r="B371" s="3480">
        <v>369</v>
      </c>
      <c r="C371" s="3480" t="s">
        <v>3885</v>
      </c>
      <c r="D371" s="3480">
        <v>136.41</v>
      </c>
      <c r="E371" s="3480">
        <v>174</v>
      </c>
      <c r="F371" s="3480">
        <v>12742</v>
      </c>
    </row>
    <row r="372" spans="2:6">
      <c r="B372" s="3480">
        <v>370</v>
      </c>
      <c r="C372" s="3480" t="s">
        <v>3887</v>
      </c>
      <c r="D372" s="3480">
        <v>155.71</v>
      </c>
      <c r="E372" s="3480">
        <v>198</v>
      </c>
      <c r="F372" s="3480">
        <v>12742</v>
      </c>
    </row>
    <row r="373" spans="2:6">
      <c r="B373" s="3480">
        <v>371</v>
      </c>
      <c r="C373" s="3480" t="s">
        <v>3889</v>
      </c>
      <c r="D373" s="3480">
        <v>145.16</v>
      </c>
      <c r="E373" s="3480">
        <v>185</v>
      </c>
      <c r="F373" s="3480">
        <v>12742</v>
      </c>
    </row>
    <row r="374" spans="2:6">
      <c r="B374" s="3480">
        <v>372</v>
      </c>
      <c r="C374" s="3480" t="s">
        <v>3891</v>
      </c>
      <c r="D374" s="3480">
        <v>144.30000000000001</v>
      </c>
      <c r="E374" s="3480">
        <v>184</v>
      </c>
      <c r="F374" s="3480">
        <v>12742</v>
      </c>
    </row>
    <row r="375" spans="2:6">
      <c r="B375" s="3480">
        <v>373</v>
      </c>
      <c r="C375" s="3480" t="s">
        <v>3893</v>
      </c>
      <c r="D375" s="3480">
        <v>206.84</v>
      </c>
      <c r="E375" s="3480">
        <v>264</v>
      </c>
      <c r="F375" s="3480">
        <v>12742</v>
      </c>
    </row>
    <row r="376" spans="2:6">
      <c r="B376" s="3480">
        <v>374</v>
      </c>
      <c r="C376" s="3480" t="s">
        <v>3895</v>
      </c>
      <c r="D376" s="3480">
        <v>183.56</v>
      </c>
      <c r="E376" s="3480">
        <v>234</v>
      </c>
      <c r="F376" s="3480">
        <v>12742</v>
      </c>
    </row>
    <row r="377" spans="2:6">
      <c r="B377" s="3480">
        <v>375</v>
      </c>
      <c r="C377" s="3480" t="s">
        <v>3897</v>
      </c>
      <c r="D377" s="3480">
        <v>71.489999999999995</v>
      </c>
      <c r="E377" s="3480">
        <v>91</v>
      </c>
      <c r="F377" s="3480">
        <v>12742</v>
      </c>
    </row>
    <row r="378" spans="2:6">
      <c r="B378" s="3480">
        <v>376</v>
      </c>
      <c r="C378" s="3480" t="s">
        <v>3899</v>
      </c>
      <c r="D378" s="3480">
        <v>87.82</v>
      </c>
      <c r="E378" s="3480">
        <v>112</v>
      </c>
      <c r="F378" s="3480">
        <v>12742</v>
      </c>
    </row>
    <row r="379" spans="2:6">
      <c r="B379" s="3480">
        <v>377</v>
      </c>
      <c r="C379" s="3480" t="s">
        <v>3901</v>
      </c>
      <c r="D379" s="3480">
        <v>156.71</v>
      </c>
      <c r="E379" s="3480">
        <v>190</v>
      </c>
      <c r="F379" s="3480">
        <v>12105</v>
      </c>
    </row>
    <row r="380" spans="2:6">
      <c r="B380" s="3480">
        <v>378</v>
      </c>
      <c r="C380" s="3480" t="s">
        <v>3903</v>
      </c>
      <c r="D380" s="3480">
        <v>3699.95</v>
      </c>
      <c r="E380" s="3480">
        <v>4479</v>
      </c>
      <c r="F380" s="3480">
        <v>12105</v>
      </c>
    </row>
    <row r="381" spans="2:6">
      <c r="B381" s="3480">
        <v>379</v>
      </c>
      <c r="C381" s="3480" t="s">
        <v>3905</v>
      </c>
      <c r="D381" s="3480">
        <v>59.36</v>
      </c>
      <c r="E381" s="3480">
        <v>72</v>
      </c>
      <c r="F381" s="3480">
        <v>12105</v>
      </c>
    </row>
    <row r="382" spans="2:6">
      <c r="B382" s="3480">
        <v>380</v>
      </c>
      <c r="C382" s="3480" t="s">
        <v>3907</v>
      </c>
      <c r="D382" s="3480">
        <v>61.23</v>
      </c>
      <c r="E382" s="3480">
        <v>74</v>
      </c>
      <c r="F382" s="3480">
        <v>12105</v>
      </c>
    </row>
    <row r="383" spans="2:6">
      <c r="B383" s="3480">
        <v>381</v>
      </c>
      <c r="C383" s="3480" t="s">
        <v>3909</v>
      </c>
      <c r="D383" s="3480">
        <v>58.73</v>
      </c>
      <c r="E383" s="3480">
        <v>71</v>
      </c>
      <c r="F383" s="3480">
        <v>12105</v>
      </c>
    </row>
    <row r="384" spans="2:6">
      <c r="B384" s="3480">
        <v>382</v>
      </c>
      <c r="C384" s="3480" t="s">
        <v>3911</v>
      </c>
      <c r="D384" s="3480">
        <v>58.73</v>
      </c>
      <c r="E384" s="3480">
        <v>71</v>
      </c>
      <c r="F384" s="3480">
        <v>12105</v>
      </c>
    </row>
    <row r="385" spans="2:6">
      <c r="B385" s="3480">
        <v>383</v>
      </c>
      <c r="C385" s="3480" t="s">
        <v>3913</v>
      </c>
      <c r="D385" s="3480">
        <v>50.62</v>
      </c>
      <c r="E385" s="3480">
        <v>61</v>
      </c>
      <c r="F385" s="3480">
        <v>12105</v>
      </c>
    </row>
    <row r="386" spans="2:6">
      <c r="B386" s="3480">
        <v>384</v>
      </c>
      <c r="C386" s="3480" t="s">
        <v>3915</v>
      </c>
      <c r="D386" s="3480">
        <v>50.62</v>
      </c>
      <c r="E386" s="3480">
        <v>61</v>
      </c>
      <c r="F386" s="3480">
        <v>12105</v>
      </c>
    </row>
    <row r="387" spans="2:6">
      <c r="B387" s="3480">
        <v>385</v>
      </c>
      <c r="C387" s="3480" t="s">
        <v>3917</v>
      </c>
      <c r="D387" s="3480">
        <v>89.81</v>
      </c>
      <c r="E387" s="3480">
        <v>109</v>
      </c>
      <c r="F387" s="3480">
        <v>12105</v>
      </c>
    </row>
    <row r="388" spans="2:6">
      <c r="B388" s="3480">
        <v>386</v>
      </c>
      <c r="C388" s="3480" t="s">
        <v>3919</v>
      </c>
      <c r="D388" s="3480">
        <v>69.33</v>
      </c>
      <c r="E388" s="3480">
        <v>84</v>
      </c>
      <c r="F388" s="3480">
        <v>12105</v>
      </c>
    </row>
    <row r="389" spans="2:6">
      <c r="B389" s="3480">
        <v>387</v>
      </c>
      <c r="C389" s="3480" t="s">
        <v>3921</v>
      </c>
      <c r="D389" s="3480">
        <v>108.53</v>
      </c>
      <c r="E389" s="3480">
        <v>131</v>
      </c>
      <c r="F389" s="3480">
        <v>12105</v>
      </c>
    </row>
    <row r="390" spans="2:6">
      <c r="B390" s="3480">
        <v>388</v>
      </c>
      <c r="C390" s="3480" t="s">
        <v>3923</v>
      </c>
      <c r="D390" s="3480">
        <v>73.78</v>
      </c>
      <c r="E390" s="3480">
        <v>89</v>
      </c>
      <c r="F390" s="3480">
        <v>12105</v>
      </c>
    </row>
    <row r="391" spans="2:6">
      <c r="B391" s="3480">
        <v>389</v>
      </c>
      <c r="C391" s="3480" t="s">
        <v>3925</v>
      </c>
      <c r="D391" s="3480">
        <v>71.92</v>
      </c>
      <c r="E391" s="3480">
        <v>87</v>
      </c>
      <c r="F391" s="3480">
        <v>12105</v>
      </c>
    </row>
    <row r="392" spans="2:6">
      <c r="B392" s="3480">
        <v>390</v>
      </c>
      <c r="C392" s="3480" t="s">
        <v>3927</v>
      </c>
      <c r="D392" s="3480">
        <v>67.42</v>
      </c>
      <c r="E392" s="3480">
        <v>82</v>
      </c>
      <c r="F392" s="3480">
        <v>12105</v>
      </c>
    </row>
    <row r="393" spans="2:6">
      <c r="B393" s="3480">
        <v>391</v>
      </c>
      <c r="C393" s="3480" t="s">
        <v>3929</v>
      </c>
      <c r="D393" s="3480">
        <v>56.19</v>
      </c>
      <c r="E393" s="3480">
        <v>68</v>
      </c>
      <c r="F393" s="3480">
        <v>12105</v>
      </c>
    </row>
    <row r="394" spans="2:6">
      <c r="B394" s="3480">
        <v>392</v>
      </c>
      <c r="C394" s="3480" t="s">
        <v>3931</v>
      </c>
      <c r="D394" s="3480">
        <v>51.2</v>
      </c>
      <c r="E394" s="3480">
        <v>62</v>
      </c>
      <c r="F394" s="3480">
        <v>12105</v>
      </c>
    </row>
    <row r="395" spans="2:6">
      <c r="B395" s="3480">
        <v>393</v>
      </c>
      <c r="C395" s="3480" t="s">
        <v>3933</v>
      </c>
      <c r="D395" s="3480">
        <v>59.13</v>
      </c>
      <c r="E395" s="3480">
        <v>72</v>
      </c>
      <c r="F395" s="3480">
        <v>12105</v>
      </c>
    </row>
    <row r="396" spans="2:6">
      <c r="B396" s="3480">
        <v>394</v>
      </c>
      <c r="C396" s="3480" t="s">
        <v>3935</v>
      </c>
      <c r="D396" s="3480">
        <v>63.2</v>
      </c>
      <c r="E396" s="3480">
        <v>77</v>
      </c>
      <c r="F396" s="3480">
        <v>12105</v>
      </c>
    </row>
    <row r="397" spans="2:6">
      <c r="B397" s="3480">
        <v>395</v>
      </c>
      <c r="C397" s="3480" t="s">
        <v>3937</v>
      </c>
      <c r="D397" s="3480">
        <v>61.55</v>
      </c>
      <c r="E397" s="3480">
        <v>75</v>
      </c>
      <c r="F397" s="3480">
        <v>12105</v>
      </c>
    </row>
    <row r="398" spans="2:6">
      <c r="B398" s="3480">
        <v>396</v>
      </c>
      <c r="C398" s="3480" t="s">
        <v>3939</v>
      </c>
      <c r="D398" s="3480">
        <v>65.63</v>
      </c>
      <c r="E398" s="3480">
        <v>79</v>
      </c>
      <c r="F398" s="3480">
        <v>12105</v>
      </c>
    </row>
    <row r="399" spans="2:6">
      <c r="B399" s="3480">
        <v>397</v>
      </c>
      <c r="C399" s="3480" t="s">
        <v>3941</v>
      </c>
      <c r="D399" s="3480">
        <v>84.56</v>
      </c>
      <c r="E399" s="3480">
        <v>102</v>
      </c>
      <c r="F399" s="3480">
        <v>12105</v>
      </c>
    </row>
    <row r="400" spans="2:6">
      <c r="B400" s="3480">
        <v>398</v>
      </c>
      <c r="C400" s="3480" t="s">
        <v>3943</v>
      </c>
      <c r="D400" s="3480">
        <v>102.67</v>
      </c>
      <c r="E400" s="3480">
        <v>124</v>
      </c>
      <c r="F400" s="3480">
        <v>12105</v>
      </c>
    </row>
    <row r="401" spans="2:6">
      <c r="B401" s="3480">
        <v>399</v>
      </c>
      <c r="C401" s="3480" t="s">
        <v>3945</v>
      </c>
      <c r="D401" s="3480">
        <v>154.66999999999999</v>
      </c>
      <c r="E401" s="3480">
        <v>187</v>
      </c>
      <c r="F401" s="3480">
        <v>12105</v>
      </c>
    </row>
    <row r="402" spans="2:6">
      <c r="B402" s="3480">
        <v>400</v>
      </c>
      <c r="C402" s="3480" t="s">
        <v>3947</v>
      </c>
      <c r="D402" s="3480">
        <v>323.12</v>
      </c>
      <c r="E402" s="3480">
        <v>391</v>
      </c>
      <c r="F402" s="3480">
        <v>12105</v>
      </c>
    </row>
    <row r="403" spans="2:6">
      <c r="B403" s="3480">
        <v>401</v>
      </c>
      <c r="C403" s="3480" t="s">
        <v>3949</v>
      </c>
      <c r="D403" s="3480">
        <v>260.77999999999997</v>
      </c>
      <c r="E403" s="3480">
        <v>316</v>
      </c>
      <c r="F403" s="3480">
        <v>12105</v>
      </c>
    </row>
    <row r="404" spans="2:6">
      <c r="B404" s="3480">
        <v>402</v>
      </c>
      <c r="C404" s="3480" t="s">
        <v>3951</v>
      </c>
      <c r="D404" s="3480">
        <v>227.56</v>
      </c>
      <c r="E404" s="3480">
        <v>275</v>
      </c>
      <c r="F404" s="3480">
        <v>12105</v>
      </c>
    </row>
    <row r="405" spans="2:6">
      <c r="B405" s="3480">
        <v>403</v>
      </c>
      <c r="C405" s="3480" t="s">
        <v>3953</v>
      </c>
      <c r="D405" s="3480">
        <v>84.7</v>
      </c>
      <c r="E405" s="3480">
        <v>103</v>
      </c>
      <c r="F405" s="3480">
        <v>12105</v>
      </c>
    </row>
    <row r="406" spans="2:6">
      <c r="B406" s="3480">
        <v>404</v>
      </c>
      <c r="C406" s="3480" t="s">
        <v>3955</v>
      </c>
      <c r="D406" s="3480">
        <v>100.76</v>
      </c>
      <c r="E406" s="3480">
        <v>122</v>
      </c>
      <c r="F406" s="3480">
        <v>12105</v>
      </c>
    </row>
    <row r="407" spans="2:6">
      <c r="B407" s="3480">
        <v>405</v>
      </c>
      <c r="C407" s="3480" t="s">
        <v>3957</v>
      </c>
      <c r="D407" s="3480">
        <v>105.24</v>
      </c>
      <c r="E407" s="3480">
        <v>127</v>
      </c>
      <c r="F407" s="3480">
        <v>12105</v>
      </c>
    </row>
    <row r="408" spans="2:6">
      <c r="B408" s="3480">
        <v>406</v>
      </c>
      <c r="C408" s="3480" t="s">
        <v>3959</v>
      </c>
      <c r="D408" s="3480">
        <v>109.55</v>
      </c>
      <c r="E408" s="3480">
        <v>133</v>
      </c>
      <c r="F408" s="3480">
        <v>12105</v>
      </c>
    </row>
    <row r="409" spans="2:6">
      <c r="B409" s="3480">
        <v>407</v>
      </c>
      <c r="C409" s="3480" t="s">
        <v>3961</v>
      </c>
      <c r="D409" s="3480">
        <v>109.55</v>
      </c>
      <c r="E409" s="3480">
        <v>133</v>
      </c>
      <c r="F409" s="3480">
        <v>12105</v>
      </c>
    </row>
    <row r="410" spans="2:6">
      <c r="B410" s="3480">
        <v>408</v>
      </c>
      <c r="C410" s="3480" t="s">
        <v>3963</v>
      </c>
      <c r="D410" s="3480">
        <v>113.35</v>
      </c>
      <c r="E410" s="3480">
        <v>137</v>
      </c>
      <c r="F410" s="3480">
        <v>12105</v>
      </c>
    </row>
    <row r="411" spans="2:6">
      <c r="B411" s="3480">
        <v>409</v>
      </c>
      <c r="C411" s="3480" t="s">
        <v>3965</v>
      </c>
      <c r="D411" s="3480">
        <v>125.64</v>
      </c>
      <c r="E411" s="3480">
        <v>152</v>
      </c>
      <c r="F411" s="3480">
        <v>12105</v>
      </c>
    </row>
    <row r="412" spans="2:6">
      <c r="B412" s="3480">
        <v>410</v>
      </c>
      <c r="C412" s="3480" t="s">
        <v>3967</v>
      </c>
      <c r="D412" s="3480">
        <v>115.27</v>
      </c>
      <c r="E412" s="3480">
        <v>140</v>
      </c>
      <c r="F412" s="3480">
        <v>12105</v>
      </c>
    </row>
    <row r="413" spans="2:6">
      <c r="B413" s="3480">
        <v>411</v>
      </c>
      <c r="C413" s="3480" t="s">
        <v>3969</v>
      </c>
      <c r="D413" s="3480">
        <v>115.31</v>
      </c>
      <c r="E413" s="3480">
        <v>140</v>
      </c>
      <c r="F413" s="3480">
        <v>12105</v>
      </c>
    </row>
    <row r="414" spans="2:6">
      <c r="B414" s="3480">
        <v>412</v>
      </c>
      <c r="C414" s="3480" t="s">
        <v>3971</v>
      </c>
      <c r="D414" s="3480">
        <v>115.27</v>
      </c>
      <c r="E414" s="3480">
        <v>140</v>
      </c>
      <c r="F414" s="3480">
        <v>12105</v>
      </c>
    </row>
    <row r="415" spans="2:6">
      <c r="B415" s="3480">
        <v>413</v>
      </c>
      <c r="C415" s="3480" t="s">
        <v>3973</v>
      </c>
      <c r="D415" s="3480">
        <v>127.56</v>
      </c>
      <c r="E415" s="3480">
        <v>154</v>
      </c>
      <c r="F415" s="3480">
        <v>12105</v>
      </c>
    </row>
    <row r="416" spans="2:6">
      <c r="B416" s="3480">
        <v>414</v>
      </c>
      <c r="C416" s="3480" t="s">
        <v>3975</v>
      </c>
      <c r="D416" s="3480">
        <v>113.35</v>
      </c>
      <c r="E416" s="3480">
        <v>137</v>
      </c>
      <c r="F416" s="3480">
        <v>12105</v>
      </c>
    </row>
    <row r="417" spans="2:6">
      <c r="B417" s="3480">
        <v>415</v>
      </c>
      <c r="C417" s="3480" t="s">
        <v>3977</v>
      </c>
      <c r="D417" s="3480">
        <v>109.55</v>
      </c>
      <c r="E417" s="3480">
        <v>133</v>
      </c>
      <c r="F417" s="3480">
        <v>12105</v>
      </c>
    </row>
    <row r="418" spans="2:6">
      <c r="B418" s="3480">
        <v>416</v>
      </c>
      <c r="C418" s="3480" t="s">
        <v>3979</v>
      </c>
      <c r="D418" s="3480">
        <v>109.55</v>
      </c>
      <c r="E418" s="3480">
        <v>133</v>
      </c>
      <c r="F418" s="3480">
        <v>12105</v>
      </c>
    </row>
    <row r="419" spans="2:6">
      <c r="B419" s="3480">
        <v>417</v>
      </c>
      <c r="C419" s="3480" t="s">
        <v>3981</v>
      </c>
      <c r="D419" s="3480">
        <v>105.24</v>
      </c>
      <c r="E419" s="3480">
        <v>127</v>
      </c>
      <c r="F419" s="3480">
        <v>12105</v>
      </c>
    </row>
    <row r="420" spans="2:6">
      <c r="B420" s="3480">
        <v>418</v>
      </c>
      <c r="C420" s="3480" t="s">
        <v>3983</v>
      </c>
      <c r="D420" s="3480">
        <v>100.76</v>
      </c>
      <c r="E420" s="3480">
        <v>122</v>
      </c>
      <c r="F420" s="3480">
        <v>12105</v>
      </c>
    </row>
    <row r="421" spans="2:6">
      <c r="B421" s="3480">
        <v>419</v>
      </c>
      <c r="C421" s="3480" t="s">
        <v>3985</v>
      </c>
      <c r="D421" s="3480">
        <v>84.7</v>
      </c>
      <c r="E421" s="3480">
        <v>103</v>
      </c>
      <c r="F421" s="3480">
        <v>12105</v>
      </c>
    </row>
    <row r="422" spans="2:6">
      <c r="B422" s="3480">
        <v>420</v>
      </c>
      <c r="C422" s="3480" t="s">
        <v>3987</v>
      </c>
      <c r="D422" s="3480">
        <v>21.23</v>
      </c>
      <c r="E422" s="3480">
        <v>26</v>
      </c>
      <c r="F422" s="3480">
        <v>12105</v>
      </c>
    </row>
    <row r="423" spans="2:6">
      <c r="B423" s="3480">
        <v>421</v>
      </c>
      <c r="C423" s="3480" t="s">
        <v>3989</v>
      </c>
      <c r="D423" s="3480">
        <v>24.61</v>
      </c>
      <c r="E423" s="3480">
        <v>30</v>
      </c>
      <c r="F423" s="3480">
        <v>12105</v>
      </c>
    </row>
    <row r="424" spans="2:6">
      <c r="B424" s="3480">
        <v>422</v>
      </c>
      <c r="C424" s="3480" t="s">
        <v>3991</v>
      </c>
      <c r="D424" s="3480">
        <v>44.57</v>
      </c>
      <c r="E424" s="3480">
        <v>54</v>
      </c>
      <c r="F424" s="3480">
        <v>12105</v>
      </c>
    </row>
    <row r="425" spans="2:6">
      <c r="B425" s="3480">
        <v>423</v>
      </c>
      <c r="C425" s="3480" t="s">
        <v>3993</v>
      </c>
      <c r="D425" s="3480">
        <v>105.57</v>
      </c>
      <c r="E425" s="3480">
        <v>128</v>
      </c>
      <c r="F425" s="3480">
        <v>12105</v>
      </c>
    </row>
    <row r="426" spans="2:6">
      <c r="B426" s="3480">
        <v>424</v>
      </c>
      <c r="C426" s="3480" t="s">
        <v>3995</v>
      </c>
      <c r="D426" s="3480">
        <v>115.88</v>
      </c>
      <c r="E426" s="3480">
        <v>140</v>
      </c>
      <c r="F426" s="3480">
        <v>12105</v>
      </c>
    </row>
    <row r="427" spans="2:6">
      <c r="B427" s="3480">
        <v>425</v>
      </c>
      <c r="C427" s="3480" t="s">
        <v>3997</v>
      </c>
      <c r="D427" s="3480">
        <v>120.61</v>
      </c>
      <c r="E427" s="3480">
        <v>146</v>
      </c>
      <c r="F427" s="3480">
        <v>12105</v>
      </c>
    </row>
    <row r="428" spans="2:6">
      <c r="B428" s="3480">
        <v>426</v>
      </c>
      <c r="C428" s="3480" t="s">
        <v>3999</v>
      </c>
      <c r="D428" s="3480">
        <v>221.36</v>
      </c>
      <c r="E428" s="3480">
        <v>268</v>
      </c>
      <c r="F428" s="3480">
        <v>12105</v>
      </c>
    </row>
    <row r="429" spans="2:6">
      <c r="B429" s="3480">
        <v>427</v>
      </c>
      <c r="C429" s="3480" t="s">
        <v>4001</v>
      </c>
      <c r="D429" s="3480">
        <v>153.01</v>
      </c>
      <c r="E429" s="3480">
        <v>185</v>
      </c>
      <c r="F429" s="3480">
        <v>12105</v>
      </c>
    </row>
    <row r="430" spans="2:6">
      <c r="B430" s="3480">
        <v>428</v>
      </c>
      <c r="C430" s="3480" t="s">
        <v>4003</v>
      </c>
      <c r="D430" s="3480">
        <v>85.75</v>
      </c>
      <c r="E430" s="3480">
        <v>104</v>
      </c>
      <c r="F430" s="3480">
        <v>12105</v>
      </c>
    </row>
    <row r="431" spans="2:6">
      <c r="B431" s="3480">
        <v>429</v>
      </c>
      <c r="C431" s="3480" t="s">
        <v>4005</v>
      </c>
      <c r="D431" s="3480">
        <v>69.81</v>
      </c>
      <c r="E431" s="3480">
        <v>85</v>
      </c>
      <c r="F431" s="3480">
        <v>12105</v>
      </c>
    </row>
    <row r="432" spans="2:6">
      <c r="B432" s="3480">
        <v>430</v>
      </c>
      <c r="C432" s="3480" t="s">
        <v>4007</v>
      </c>
      <c r="D432" s="3480">
        <v>179.92</v>
      </c>
      <c r="E432" s="3480">
        <v>218</v>
      </c>
      <c r="F432" s="3480">
        <v>12105</v>
      </c>
    </row>
    <row r="433" spans="2:6">
      <c r="B433" s="3480">
        <v>431</v>
      </c>
      <c r="C433" s="3480" t="s">
        <v>4009</v>
      </c>
      <c r="D433" s="3480">
        <v>201.95</v>
      </c>
      <c r="E433" s="3480">
        <v>244</v>
      </c>
      <c r="F433" s="3480">
        <v>12105</v>
      </c>
    </row>
    <row r="434" spans="2:6">
      <c r="B434" s="3480">
        <v>432</v>
      </c>
      <c r="C434" s="3480" t="s">
        <v>4011</v>
      </c>
      <c r="D434" s="3480">
        <v>140.88999999999999</v>
      </c>
      <c r="E434" s="3480">
        <v>171</v>
      </c>
      <c r="F434" s="3480">
        <v>12105</v>
      </c>
    </row>
    <row r="435" spans="2:6">
      <c r="B435" s="3480">
        <v>433</v>
      </c>
      <c r="C435" s="3480" t="s">
        <v>4013</v>
      </c>
      <c r="D435" s="3480">
        <v>141.72999999999999</v>
      </c>
      <c r="E435" s="3480">
        <v>172</v>
      </c>
      <c r="F435" s="3480">
        <v>12105</v>
      </c>
    </row>
    <row r="436" spans="2:6">
      <c r="B436" s="3480">
        <v>434</v>
      </c>
      <c r="C436" s="3480" t="s">
        <v>4015</v>
      </c>
      <c r="D436" s="3480">
        <v>152.03</v>
      </c>
      <c r="E436" s="3480">
        <v>184</v>
      </c>
      <c r="F436" s="3480">
        <v>12105</v>
      </c>
    </row>
    <row r="437" spans="2:6">
      <c r="B437" s="3480">
        <v>435</v>
      </c>
      <c r="C437" s="3480" t="s">
        <v>4017</v>
      </c>
      <c r="D437" s="3480">
        <v>133.19</v>
      </c>
      <c r="E437" s="3480">
        <v>161</v>
      </c>
      <c r="F437" s="3480">
        <v>12105</v>
      </c>
    </row>
    <row r="438" spans="2:6">
      <c r="B438" s="3480">
        <v>436</v>
      </c>
      <c r="C438" s="3480" t="s">
        <v>4019</v>
      </c>
      <c r="D438" s="3480">
        <v>225.39</v>
      </c>
      <c r="E438" s="3480">
        <v>273</v>
      </c>
      <c r="F438" s="3480">
        <v>12105</v>
      </c>
    </row>
    <row r="439" spans="2:6">
      <c r="B439" s="3480">
        <v>437</v>
      </c>
      <c r="C439" s="3480" t="s">
        <v>4021</v>
      </c>
      <c r="D439" s="3480">
        <v>225.39</v>
      </c>
      <c r="E439" s="3480">
        <v>273</v>
      </c>
      <c r="F439" s="3480">
        <v>12105</v>
      </c>
    </row>
    <row r="440" spans="2:6">
      <c r="B440" s="3480">
        <v>438</v>
      </c>
      <c r="C440" s="3480" t="s">
        <v>4023</v>
      </c>
      <c r="D440" s="3480">
        <v>133.21</v>
      </c>
      <c r="E440" s="3480">
        <v>161</v>
      </c>
      <c r="F440" s="3480">
        <v>12105</v>
      </c>
    </row>
    <row r="441" spans="2:6">
      <c r="B441" s="3480">
        <v>439</v>
      </c>
      <c r="C441" s="3480" t="s">
        <v>4025</v>
      </c>
      <c r="D441" s="3480">
        <v>152.03</v>
      </c>
      <c r="E441" s="3480">
        <v>184</v>
      </c>
      <c r="F441" s="3480">
        <v>12105</v>
      </c>
    </row>
    <row r="442" spans="2:6">
      <c r="B442" s="3480">
        <v>440</v>
      </c>
      <c r="C442" s="3480" t="s">
        <v>4027</v>
      </c>
      <c r="D442" s="3480">
        <v>141.72999999999999</v>
      </c>
      <c r="E442" s="3480">
        <v>172</v>
      </c>
      <c r="F442" s="3480">
        <v>12105</v>
      </c>
    </row>
    <row r="443" spans="2:6">
      <c r="B443" s="3480">
        <v>441</v>
      </c>
      <c r="C443" s="3480" t="s">
        <v>4029</v>
      </c>
      <c r="D443" s="3480">
        <v>140.88999999999999</v>
      </c>
      <c r="E443" s="3480">
        <v>171</v>
      </c>
      <c r="F443" s="3480">
        <v>12105</v>
      </c>
    </row>
    <row r="444" spans="2:6">
      <c r="B444" s="3480">
        <v>442</v>
      </c>
      <c r="C444" s="3480" t="s">
        <v>4031</v>
      </c>
      <c r="D444" s="3480">
        <v>201.95</v>
      </c>
      <c r="E444" s="3480">
        <v>244</v>
      </c>
      <c r="F444" s="3480">
        <v>12105</v>
      </c>
    </row>
    <row r="445" spans="2:6">
      <c r="B445" s="3480">
        <v>443</v>
      </c>
      <c r="C445" s="3480" t="s">
        <v>4033</v>
      </c>
      <c r="D445" s="3480">
        <v>179.22</v>
      </c>
      <c r="E445" s="3480">
        <v>217</v>
      </c>
      <c r="F445" s="3480">
        <v>12105</v>
      </c>
    </row>
    <row r="446" spans="2:6">
      <c r="B446" s="3480">
        <v>444</v>
      </c>
      <c r="C446" s="3480" t="s">
        <v>4035</v>
      </c>
      <c r="D446" s="3480">
        <v>69.81</v>
      </c>
      <c r="E446" s="3480">
        <v>85</v>
      </c>
      <c r="F446" s="3480">
        <v>12105</v>
      </c>
    </row>
    <row r="447" spans="2:6">
      <c r="B447" s="3480">
        <v>445</v>
      </c>
      <c r="C447" s="3480" t="s">
        <v>4037</v>
      </c>
      <c r="D447" s="3480">
        <v>85.75</v>
      </c>
      <c r="E447" s="3480">
        <v>104</v>
      </c>
      <c r="F447" s="3480">
        <v>12105</v>
      </c>
    </row>
    <row r="448" spans="2:6">
      <c r="B448" s="3480">
        <v>446</v>
      </c>
      <c r="C448" s="3480" t="s">
        <v>4039</v>
      </c>
      <c r="D448" s="3480">
        <v>153.01</v>
      </c>
      <c r="E448" s="3480">
        <v>185</v>
      </c>
      <c r="F448" s="3480">
        <v>12105</v>
      </c>
    </row>
    <row r="449" spans="2:6">
      <c r="B449" s="3480">
        <v>447</v>
      </c>
      <c r="C449" s="3480" t="s">
        <v>4041</v>
      </c>
      <c r="D449" s="3480">
        <v>221.36</v>
      </c>
      <c r="E449" s="3480">
        <v>268</v>
      </c>
      <c r="F449" s="3480">
        <v>12105</v>
      </c>
    </row>
    <row r="450" spans="2:6">
      <c r="B450" s="3480">
        <v>448</v>
      </c>
      <c r="C450" s="3480" t="s">
        <v>4043</v>
      </c>
      <c r="D450" s="3480">
        <v>129.12</v>
      </c>
      <c r="E450" s="3480">
        <v>156</v>
      </c>
      <c r="F450" s="3480">
        <v>12105</v>
      </c>
    </row>
    <row r="451" spans="2:6">
      <c r="B451" s="3480">
        <v>449</v>
      </c>
      <c r="C451" s="3480" t="s">
        <v>4045</v>
      </c>
      <c r="D451" s="3480">
        <v>131.28</v>
      </c>
      <c r="E451" s="3480">
        <v>159</v>
      </c>
      <c r="F451" s="3480">
        <v>12105</v>
      </c>
    </row>
    <row r="452" spans="2:6">
      <c r="B452" s="3480">
        <v>450</v>
      </c>
      <c r="C452" s="3480" t="s">
        <v>4047</v>
      </c>
      <c r="D452" s="3480">
        <v>1533.04</v>
      </c>
      <c r="E452" s="3480">
        <v>1762</v>
      </c>
      <c r="F452" s="3480">
        <v>11494</v>
      </c>
    </row>
    <row r="453" spans="2:6">
      <c r="B453" s="3480">
        <v>451</v>
      </c>
      <c r="C453" s="3480" t="s">
        <v>4049</v>
      </c>
      <c r="D453" s="3480">
        <v>106.09</v>
      </c>
      <c r="E453" s="3480">
        <v>122</v>
      </c>
      <c r="F453" s="3480">
        <v>11500</v>
      </c>
    </row>
    <row r="454" spans="2:6">
      <c r="B454" s="3480">
        <v>452</v>
      </c>
      <c r="C454" s="3480" t="s">
        <v>4051</v>
      </c>
      <c r="D454" s="3480">
        <v>72.12</v>
      </c>
      <c r="E454" s="3480">
        <v>83</v>
      </c>
      <c r="F454" s="3480">
        <v>11509</v>
      </c>
    </row>
    <row r="455" spans="2:6">
      <c r="B455" s="3480">
        <v>453</v>
      </c>
      <c r="C455" s="3480" t="s">
        <v>4053</v>
      </c>
      <c r="D455" s="3480">
        <v>70.31</v>
      </c>
      <c r="E455" s="3480">
        <v>81</v>
      </c>
      <c r="F455" s="3480">
        <v>11520</v>
      </c>
    </row>
    <row r="456" spans="2:6">
      <c r="B456" s="3480">
        <v>454</v>
      </c>
      <c r="C456" s="3480" t="s">
        <v>4055</v>
      </c>
      <c r="D456" s="3480">
        <v>65.900000000000006</v>
      </c>
      <c r="E456" s="3480">
        <v>76</v>
      </c>
      <c r="F456" s="3480">
        <v>11533</v>
      </c>
    </row>
    <row r="457" spans="2:6">
      <c r="B457" s="3480">
        <v>455</v>
      </c>
      <c r="C457" s="3480" t="s">
        <v>4057</v>
      </c>
      <c r="D457" s="3480">
        <v>54.92</v>
      </c>
      <c r="E457" s="3480">
        <v>63</v>
      </c>
      <c r="F457" s="3480">
        <v>11471</v>
      </c>
    </row>
    <row r="458" spans="2:6">
      <c r="B458" s="3480">
        <v>456</v>
      </c>
      <c r="C458" s="3480" t="s">
        <v>4059</v>
      </c>
      <c r="D458" s="3480">
        <v>48.38</v>
      </c>
      <c r="E458" s="3480">
        <v>56</v>
      </c>
      <c r="F458" s="3480">
        <v>11575</v>
      </c>
    </row>
    <row r="459" spans="2:6">
      <c r="B459" s="3480">
        <v>457</v>
      </c>
      <c r="C459" s="3480" t="s">
        <v>4061</v>
      </c>
      <c r="D459" s="3480">
        <v>48.38</v>
      </c>
      <c r="E459" s="3480">
        <v>56</v>
      </c>
      <c r="F459" s="3480">
        <v>11575</v>
      </c>
    </row>
    <row r="460" spans="2:6">
      <c r="B460" s="3480">
        <v>458</v>
      </c>
      <c r="C460" s="3480" t="s">
        <v>4063</v>
      </c>
      <c r="D460" s="3480">
        <v>70.98</v>
      </c>
      <c r="E460" s="3480">
        <v>82</v>
      </c>
      <c r="F460" s="3480">
        <v>11553</v>
      </c>
    </row>
    <row r="461" spans="2:6">
      <c r="B461" s="3480">
        <v>459</v>
      </c>
      <c r="C461" s="3480" t="s">
        <v>4065</v>
      </c>
      <c r="D461" s="3480">
        <v>98.9</v>
      </c>
      <c r="E461" s="3480">
        <v>114</v>
      </c>
      <c r="F461" s="3480">
        <v>11527</v>
      </c>
    </row>
    <row r="462" spans="2:6">
      <c r="B462" s="3480">
        <v>460</v>
      </c>
      <c r="C462" s="3480" t="s">
        <v>4067</v>
      </c>
      <c r="D462" s="3480">
        <v>151.19999999999999</v>
      </c>
      <c r="E462" s="3480">
        <v>174</v>
      </c>
      <c r="F462" s="3480">
        <v>11508</v>
      </c>
    </row>
    <row r="463" spans="2:6">
      <c r="B463" s="3480">
        <v>461</v>
      </c>
      <c r="C463" s="3480" t="s">
        <v>4069</v>
      </c>
      <c r="D463" s="3480">
        <v>212.55</v>
      </c>
      <c r="E463" s="3480">
        <v>244</v>
      </c>
      <c r="F463" s="3480">
        <v>11480</v>
      </c>
    </row>
    <row r="464" spans="2:6">
      <c r="B464" s="3480">
        <v>462</v>
      </c>
      <c r="C464" s="3480" t="s">
        <v>4071</v>
      </c>
      <c r="D464" s="3480">
        <v>76.099999999999994</v>
      </c>
      <c r="E464" s="3480">
        <v>87</v>
      </c>
      <c r="F464" s="3480">
        <v>11432</v>
      </c>
    </row>
    <row r="465" spans="2:6">
      <c r="B465" s="3480">
        <v>463</v>
      </c>
      <c r="C465" s="3480" t="s">
        <v>4073</v>
      </c>
      <c r="D465" s="3480">
        <v>108.51</v>
      </c>
      <c r="E465" s="3480">
        <v>125</v>
      </c>
      <c r="F465" s="3480">
        <v>11520</v>
      </c>
    </row>
    <row r="466" spans="2:6">
      <c r="B466" s="3480">
        <v>464</v>
      </c>
      <c r="C466" s="3480" t="s">
        <v>4075</v>
      </c>
      <c r="D466" s="3480">
        <v>112.68</v>
      </c>
      <c r="E466" s="3480">
        <v>130</v>
      </c>
      <c r="F466" s="3480">
        <v>11537</v>
      </c>
    </row>
    <row r="467" spans="2:6">
      <c r="B467" s="3480">
        <v>465</v>
      </c>
      <c r="C467" s="3480" t="s">
        <v>4077</v>
      </c>
      <c r="D467" s="3480">
        <v>54.28</v>
      </c>
      <c r="E467" s="3480">
        <v>62</v>
      </c>
      <c r="F467" s="3480">
        <v>11422</v>
      </c>
    </row>
    <row r="468" spans="2:6">
      <c r="B468" s="3480">
        <v>466</v>
      </c>
      <c r="C468" s="3480" t="s">
        <v>4079</v>
      </c>
      <c r="D468" s="3480">
        <v>113.01</v>
      </c>
      <c r="E468" s="3480">
        <v>130</v>
      </c>
      <c r="F468" s="3480">
        <v>11503</v>
      </c>
    </row>
    <row r="469" spans="2:6">
      <c r="B469" s="3480">
        <v>467</v>
      </c>
      <c r="C469" s="3480" t="s">
        <v>4081</v>
      </c>
      <c r="D469" s="3480">
        <v>113.01</v>
      </c>
      <c r="E469" s="3480">
        <v>130</v>
      </c>
      <c r="F469" s="3480">
        <v>11503</v>
      </c>
    </row>
    <row r="470" spans="2:6">
      <c r="B470" s="3480">
        <v>468</v>
      </c>
      <c r="C470" s="3480" t="s">
        <v>4083</v>
      </c>
      <c r="D470" s="3480">
        <v>54.28</v>
      </c>
      <c r="E470" s="3480">
        <v>62</v>
      </c>
      <c r="F470" s="3480">
        <v>11422</v>
      </c>
    </row>
    <row r="471" spans="2:6">
      <c r="B471" s="3480">
        <v>469</v>
      </c>
      <c r="C471" s="3480" t="s">
        <v>4085</v>
      </c>
      <c r="D471" s="3480">
        <v>112.68</v>
      </c>
      <c r="E471" s="3480">
        <v>130</v>
      </c>
      <c r="F471" s="3480">
        <v>11537</v>
      </c>
    </row>
    <row r="472" spans="2:6">
      <c r="B472" s="3480">
        <v>470</v>
      </c>
      <c r="C472" s="3480" t="s">
        <v>4087</v>
      </c>
      <c r="D472" s="3480">
        <v>108.51</v>
      </c>
      <c r="E472" s="3480">
        <v>125</v>
      </c>
      <c r="F472" s="3480">
        <v>11520</v>
      </c>
    </row>
    <row r="473" spans="2:6">
      <c r="B473" s="3480">
        <v>471</v>
      </c>
      <c r="C473" s="3480" t="s">
        <v>4089</v>
      </c>
      <c r="D473" s="3480">
        <v>78.14</v>
      </c>
      <c r="E473" s="3480">
        <v>90</v>
      </c>
      <c r="F473" s="3480">
        <v>11518</v>
      </c>
    </row>
    <row r="474" spans="2:6">
      <c r="B474" s="3480">
        <v>472</v>
      </c>
      <c r="C474" s="3480" t="s">
        <v>4091</v>
      </c>
      <c r="D474" s="3480">
        <v>77.19</v>
      </c>
      <c r="E474" s="3480">
        <v>86</v>
      </c>
      <c r="F474" s="3480">
        <v>11141</v>
      </c>
    </row>
    <row r="475" spans="2:6">
      <c r="B475" s="2999" t="s">
        <v>4266</v>
      </c>
      <c r="D475" s="3486">
        <v>68327.850000000006</v>
      </c>
      <c r="E475" s="3486">
        <v>80630</v>
      </c>
    </row>
  </sheetData>
  <mergeCells count="4">
    <mergeCell ref="C1:C2"/>
    <mergeCell ref="D1:D2"/>
    <mergeCell ref="E1:F1"/>
    <mergeCell ref="B1:B2"/>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65" t="s">
        <v>1658</v>
      </c>
      <c r="B1" s="3165"/>
      <c r="C1" s="3165"/>
      <c r="D1" s="3165"/>
    </row>
    <row r="2" spans="1:4" ht="18">
      <c r="A2" s="3166" t="s">
        <v>1642</v>
      </c>
      <c r="B2" s="3166"/>
      <c r="C2" s="3166"/>
      <c r="D2" s="3166"/>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166" t="s">
        <v>1648</v>
      </c>
      <c r="B6" s="3166"/>
      <c r="C6" s="3166"/>
      <c r="D6" s="3166"/>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67" t="s">
        <v>1651</v>
      </c>
      <c r="B11" s="3159"/>
      <c r="C11" s="3159"/>
      <c r="D11" s="3159"/>
    </row>
    <row r="12" spans="1:4" ht="15.75">
      <c r="A12" s="3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59" t="str">
        <f>IF(项目基本情况!B8="抵押","4.本次评估估价师所知悉的法定优先受偿款情况说明如下：","——")</f>
        <v>4.本次评估估价师所知悉的法定优先受偿款情况说明如下：</v>
      </c>
      <c r="B14" s="3164"/>
      <c r="C14" s="3164"/>
      <c r="D14" s="3164"/>
    </row>
    <row r="15" spans="1:4" ht="42" customHeight="1">
      <c r="A15" s="3159" t="str">
        <f>IF(项目基本情况!B8="抵押","（1）"&amp;CONCATENATE(项目基本情况!L20,项目基本情况!L21,项目基本情况!L22),"——")</f>
        <v>（1）根据估价对象《房屋所有权证》原件、《国有土地使用权》复印件，截至价值时点，估价对象抵押权未见登记。</v>
      </c>
      <c r="B15" s="3159"/>
      <c r="C15" s="3159"/>
      <c r="D15" s="3159"/>
    </row>
    <row r="16" spans="1:4" ht="30" customHeight="1">
      <c r="A16" s="3161" t="s">
        <v>1652</v>
      </c>
      <c r="B16" s="3161"/>
      <c r="C16" s="3161"/>
      <c r="D16" s="3161"/>
    </row>
    <row r="17" spans="1:4" ht="144" customHeight="1">
      <c r="A17" s="3161" t="s">
        <v>1653</v>
      </c>
      <c r="B17" s="3161"/>
      <c r="C17" s="3161"/>
      <c r="D17" s="3161"/>
    </row>
    <row r="18" spans="1:4" ht="15.75" customHeight="1">
      <c r="A18" s="3159" t="str">
        <f>IF(项目基本情况!B8="抵押",结果表!K120,"——")</f>
        <v>故，本次评估不存在估价师知悉的法定优先受偿款</v>
      </c>
      <c r="B18" s="3159"/>
      <c r="C18" s="3159"/>
      <c r="D18" s="3159"/>
    </row>
    <row r="19" spans="1:4" ht="46.5" customHeight="1">
      <c r="A19" s="3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9"/>
      <c r="C19" s="3159"/>
      <c r="D19" s="3159"/>
    </row>
    <row r="20" spans="1:4" ht="57.75" customHeight="1">
      <c r="A20" s="31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9"/>
      <c r="C20" s="3159"/>
      <c r="D20" s="3159"/>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2"/>
      <c r="C21" s="3162"/>
      <c r="D21" s="3162"/>
    </row>
    <row r="22" spans="1:4" ht="18.75" customHeight="1">
      <c r="A22" s="3163" t="s">
        <v>1654</v>
      </c>
      <c r="B22" s="3163"/>
      <c r="C22" s="3163"/>
      <c r="D22" s="3163"/>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60">
        <v>42551</v>
      </c>
      <c r="D31" s="31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73" t="s">
        <v>1665</v>
      </c>
      <c r="B15" s="3168" t="s">
        <v>136</v>
      </c>
      <c r="C15" s="3169"/>
    </row>
    <row r="16" spans="1:7" ht="13.5">
      <c r="A16" s="3174"/>
      <c r="B16" s="3168" t="s">
        <v>69</v>
      </c>
      <c r="C16" s="3169"/>
    </row>
    <row r="17" spans="1:3" ht="13.5">
      <c r="A17" s="3174"/>
      <c r="B17" s="3171" t="s">
        <v>1666</v>
      </c>
      <c r="C17" s="1998" t="s">
        <v>1665</v>
      </c>
    </row>
    <row r="18" spans="1:3" ht="13.5">
      <c r="A18" s="3174"/>
      <c r="B18" s="3171"/>
      <c r="C18" s="1998" t="s">
        <v>1667</v>
      </c>
    </row>
    <row r="19" spans="1:3" ht="13.5">
      <c r="A19" s="3174"/>
      <c r="B19" s="3171"/>
      <c r="C19" s="1998" t="s">
        <v>1668</v>
      </c>
    </row>
    <row r="20" spans="1:3" ht="13.5">
      <c r="A20" s="3175"/>
      <c r="B20" s="3170" t="s">
        <v>1669</v>
      </c>
      <c r="C20" s="3169"/>
    </row>
    <row r="21" spans="1:3" ht="13.5">
      <c r="A21" s="1999" t="s">
        <v>1670</v>
      </c>
      <c r="B21" s="2000"/>
      <c r="C21" s="2001"/>
    </row>
    <row r="22" spans="1:3" ht="13.5">
      <c r="A22" s="3172" t="s">
        <v>1671</v>
      </c>
      <c r="B22" s="3170" t="s">
        <v>1672</v>
      </c>
      <c r="C22" s="3169"/>
    </row>
    <row r="23" spans="1:3" ht="13.5">
      <c r="A23" s="3172"/>
      <c r="B23" s="3170" t="s">
        <v>1673</v>
      </c>
      <c r="C23" s="3169"/>
    </row>
    <row r="24" spans="1:3" ht="13.5">
      <c r="A24" s="3172"/>
      <c r="B24" s="3170" t="s">
        <v>1674</v>
      </c>
      <c r="C24" s="3169"/>
    </row>
    <row r="25" spans="1:3" ht="13.5">
      <c r="A25" s="3172"/>
      <c r="B25" s="3171" t="s">
        <v>1675</v>
      </c>
      <c r="C25" s="1998" t="s">
        <v>1676</v>
      </c>
    </row>
    <row r="26" spans="1:3" ht="13.5">
      <c r="A26" s="3172"/>
      <c r="B26" s="3171"/>
      <c r="C26" s="1998" t="s">
        <v>1677</v>
      </c>
    </row>
    <row r="27" spans="1:3" ht="13.5">
      <c r="A27" s="3172"/>
      <c r="B27" s="3171"/>
      <c r="C27" s="1998" t="s">
        <v>1678</v>
      </c>
    </row>
    <row r="28" spans="1:3" ht="13.5">
      <c r="A28" s="3172"/>
      <c r="B28" s="3171"/>
      <c r="C28" s="1998" t="s">
        <v>1679</v>
      </c>
    </row>
    <row r="29" spans="1:3" ht="13.5">
      <c r="A29" s="3172"/>
      <c r="B29" s="3171"/>
      <c r="C29" s="1998" t="s">
        <v>1680</v>
      </c>
    </row>
    <row r="30" spans="1:3" ht="13.5">
      <c r="A30" s="3172"/>
      <c r="B30" s="3171"/>
      <c r="C30" s="1998" t="s">
        <v>1681</v>
      </c>
    </row>
    <row r="31" spans="1:3" ht="13.5">
      <c r="A31" s="3172"/>
      <c r="B31" s="3171"/>
      <c r="C31" s="1998" t="s">
        <v>1682</v>
      </c>
    </row>
    <row r="32" spans="1:3" ht="13.5">
      <c r="A32" s="3172"/>
      <c r="B32" s="3171"/>
      <c r="C32" s="1998" t="s">
        <v>1683</v>
      </c>
    </row>
    <row r="33" spans="1:3" ht="13.5">
      <c r="A33" s="3172"/>
      <c r="B33" s="317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43651</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176" t="s">
        <v>843</v>
      </c>
      <c r="B25" s="3176"/>
      <c r="C25" s="3176"/>
      <c r="D25" s="3176"/>
      <c r="E25" s="3176"/>
      <c r="F25" s="3176"/>
      <c r="G25" s="3176"/>
    </row>
    <row r="26" spans="1:7" s="1023" customFormat="1" ht="24" customHeight="1">
      <c r="A26" s="3177" t="s">
        <v>844</v>
      </c>
      <c r="B26" s="3177"/>
      <c r="C26" s="3178"/>
      <c r="D26" s="3179" t="s">
        <v>845</v>
      </c>
      <c r="E26" s="3177"/>
      <c r="F26" s="3177"/>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Sheet1</vt:lpstr>
      <vt:lpstr>Sheet3</vt:lpstr>
      <vt:lpstr>Sheet4</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2019-07-05T07:32:58Z</dcterms:modified>
</cp:coreProperties>
</file>