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2030" tabRatio="899" firstSheet="15"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收益法 (2)" sheetId="80" r:id="rId32"/>
    <sheet name="收益法" sheetId="15"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房产明细" sheetId="79" r:id="rId47"/>
    <sheet name="Sheet2" sheetId="82"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46" hidden="1">房产明细!$A$1:$F$476</definedName>
    <definedName name="_xlnm._FilterDatabase" localSheetId="11"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2">收益法!$A$1:$AK$69</definedName>
    <definedName name="_xlnm.Print_Area" localSheetId="31">'收益法 (2)'!$A$1:$AK$69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8" i="78" l="1"/>
  <c r="N32" i="78"/>
  <c r="L2" i="78"/>
  <c r="D474" i="79"/>
  <c r="D451" i="79"/>
  <c r="D379" i="79"/>
  <c r="D277" i="79"/>
  <c r="D175" i="79"/>
  <c r="G38" i="78"/>
  <c r="C38" i="78"/>
  <c r="G37" i="78"/>
  <c r="C37" i="78"/>
  <c r="M36" i="78"/>
  <c r="L36" i="78"/>
  <c r="K36" i="78"/>
  <c r="J36" i="78"/>
  <c r="I36" i="78"/>
  <c r="H36" i="78"/>
  <c r="C36" i="78"/>
  <c r="G35" i="78"/>
  <c r="N35" i="78" s="1"/>
  <c r="L34" i="78"/>
  <c r="M34" i="78"/>
  <c r="F33" i="78"/>
  <c r="C33" i="78"/>
  <c r="F31" i="78"/>
  <c r="H30" i="78"/>
  <c r="G30" i="78"/>
  <c r="G29" i="78"/>
  <c r="G28" i="78"/>
  <c r="H29" i="78"/>
  <c r="C32" i="78"/>
  <c r="C31" i="78"/>
  <c r="C30" i="78"/>
  <c r="H28" i="78"/>
  <c r="Q72" i="80" l="1"/>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U6" i="1"/>
  <c r="M38" i="78"/>
  <c r="L38" i="78"/>
  <c r="K38" i="78"/>
  <c r="J38" i="78"/>
  <c r="I38" i="78"/>
  <c r="H38" i="78"/>
  <c r="N38" i="78"/>
  <c r="N37" i="78"/>
  <c r="N36" i="78"/>
  <c r="C35" i="78"/>
  <c r="C34" i="78"/>
  <c r="N34" i="78" s="1"/>
  <c r="N33" i="78"/>
  <c r="N31" i="78"/>
  <c r="M30" i="78"/>
  <c r="L30" i="78"/>
  <c r="K30" i="78"/>
  <c r="J30" i="78"/>
  <c r="I30" i="78"/>
  <c r="N30" i="78"/>
  <c r="M29" i="78"/>
  <c r="L29" i="78"/>
  <c r="K29" i="78"/>
  <c r="J29" i="78"/>
  <c r="I29" i="78"/>
  <c r="C29" i="78"/>
  <c r="N29" i="78" s="1"/>
  <c r="N28" i="78"/>
  <c r="D15" i="78"/>
  <c r="C50" i="78"/>
  <c r="C59" i="78"/>
  <c r="C58" i="78"/>
  <c r="G58" i="78" s="1"/>
  <c r="C57" i="78"/>
  <c r="G57" i="78" s="1"/>
  <c r="D59" i="78"/>
  <c r="G59" i="78"/>
  <c r="D58" i="78"/>
  <c r="D56" i="78"/>
  <c r="D55" i="78"/>
  <c r="G49" i="78"/>
  <c r="G48" i="78"/>
  <c r="G47" i="78"/>
  <c r="G46" i="78"/>
  <c r="G45" i="78"/>
  <c r="G50" i="78" s="1"/>
  <c r="B476" i="79"/>
  <c r="F20" i="6"/>
  <c r="F19" i="6"/>
  <c r="C76" i="80"/>
  <c r="Q71" i="80" l="1"/>
  <c r="D24" i="80"/>
  <c r="P61" i="80"/>
  <c r="D22" i="80"/>
  <c r="M32" i="78"/>
  <c r="H50" i="78"/>
  <c r="C61" i="78"/>
  <c r="G61" i="78"/>
  <c r="F13" i="80"/>
  <c r="M26" i="80"/>
  <c r="F36" i="80"/>
  <c r="F7" i="80"/>
  <c r="M28" i="80"/>
  <c r="L47" i="80"/>
  <c r="C14" i="80"/>
  <c r="M23" i="80"/>
  <c r="F37" i="80"/>
  <c r="M22" i="80"/>
  <c r="F40" i="80"/>
  <c r="L48" i="80"/>
  <c r="M8" i="80"/>
  <c r="J15" i="80"/>
  <c r="M29" i="80"/>
  <c r="F38" i="80"/>
  <c r="F9" i="80"/>
  <c r="F42" i="80"/>
  <c r="M9" i="80"/>
  <c r="F16" i="80"/>
  <c r="F26" i="80"/>
  <c r="F8" i="80"/>
  <c r="M24" i="80"/>
  <c r="F43" i="80"/>
  <c r="N40" i="78" l="1"/>
  <c r="O41" i="78" s="1"/>
  <c r="U7" i="1" s="1"/>
  <c r="L57" i="80"/>
  <c r="L56" i="80"/>
  <c r="I54" i="80"/>
  <c r="L60" i="80"/>
  <c r="J53" i="80"/>
  <c r="J57" i="80"/>
  <c r="J55" i="80" s="1"/>
  <c r="J58" i="80" s="1"/>
  <c r="Q50" i="80" s="1"/>
  <c r="F71" i="80"/>
  <c r="F68" i="80"/>
  <c r="F51" i="80"/>
  <c r="F65" i="80"/>
  <c r="C27" i="80"/>
  <c r="C18" i="80"/>
  <c r="C15" i="80"/>
  <c r="N59" i="80"/>
  <c r="L59" i="80"/>
  <c r="L58" i="80"/>
  <c r="M59" i="80"/>
  <c r="F50" i="80"/>
  <c r="M7" i="80"/>
  <c r="F66" i="80"/>
  <c r="F64" i="80"/>
  <c r="H61" i="78"/>
  <c r="Z7" i="1" s="1"/>
  <c r="F6" i="80"/>
  <c r="C17" i="80"/>
  <c r="M6" i="80"/>
  <c r="C16" i="80"/>
  <c r="C6" i="80" l="1"/>
  <c r="J6" i="80"/>
  <c r="C19" i="80"/>
  <c r="Q61" i="80"/>
  <c r="Q74" i="80"/>
  <c r="F1" i="80"/>
  <c r="Q52" i="80"/>
  <c r="Q60" i="80"/>
  <c r="Q73" i="80"/>
  <c r="C49" i="80"/>
  <c r="Q66" i="80"/>
  <c r="Q57" i="80"/>
  <c r="C20" i="80" l="1"/>
  <c r="C26" i="80" s="1"/>
  <c r="Y6" i="1" l="1"/>
  <c r="C88" i="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M19" i="43"/>
  <c r="J53" i="67"/>
  <c r="D11" i="71"/>
  <c r="AH9" i="71"/>
  <c r="AG9" i="71"/>
  <c r="AE9" i="71"/>
  <c r="AF9" i="71" s="1"/>
  <c r="AD9" i="71"/>
  <c r="AD10" i="71"/>
  <c r="AG10" i="71"/>
  <c r="AH10" i="71"/>
  <c r="AE10" i="71"/>
  <c r="AF10" i="71" s="1"/>
  <c r="N10" i="71"/>
  <c r="Q10" i="71"/>
  <c r="P10" i="71"/>
  <c r="E10" i="71" s="1"/>
  <c r="V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c r="B44" i="72"/>
  <c r="B42" i="72"/>
  <c r="B69" i="72"/>
  <c r="B68" i="72"/>
  <c r="B63" i="72"/>
  <c r="B62" i="72"/>
  <c r="B65" i="72"/>
  <c r="B59" i="72"/>
  <c r="B12"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c r="D39" i="71"/>
  <c r="Q38" i="71"/>
  <c r="P38" i="71"/>
  <c r="O38" i="71"/>
  <c r="N38" i="71"/>
  <c r="Q37" i="71"/>
  <c r="P37" i="71"/>
  <c r="O37" i="71"/>
  <c r="N37" i="71"/>
  <c r="Q36" i="71"/>
  <c r="P36" i="71"/>
  <c r="O36" i="71"/>
  <c r="N36" i="71"/>
  <c r="Q35" i="71"/>
  <c r="F36" i="71" s="1"/>
  <c r="F37" i="71" s="1"/>
  <c r="F38" i="71" s="1"/>
  <c r="P35" i="71"/>
  <c r="E36" i="71" s="1"/>
  <c r="E37" i="71"/>
  <c r="E38" i="71" s="1"/>
  <c r="U38" i="71" s="1"/>
  <c r="O35" i="71"/>
  <c r="C36" i="71"/>
  <c r="D36" i="71" s="1"/>
  <c r="N35" i="71"/>
  <c r="B36" i="71"/>
  <c r="B37" i="71" s="1"/>
  <c r="B38" i="7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c r="E30" i="71" s="1"/>
  <c r="U30" i="71" s="1"/>
  <c r="O27" i="71"/>
  <c r="C28" i="71"/>
  <c r="C29" i="71" s="1"/>
  <c r="D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0"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Q18" i="71"/>
  <c r="P18" i="71"/>
  <c r="O18" i="71"/>
  <c r="Y18" i="71"/>
  <c r="Z18" i="71" s="1"/>
  <c r="N18" i="71"/>
  <c r="Q17" i="71"/>
  <c r="P17" i="71"/>
  <c r="O17" i="71"/>
  <c r="N17" i="71"/>
  <c r="Q16" i="71"/>
  <c r="P16" i="71"/>
  <c r="O16" i="71"/>
  <c r="N16" i="71"/>
  <c r="Q15" i="71"/>
  <c r="F16" i="71" s="1"/>
  <c r="P15" i="71"/>
  <c r="O15" i="71"/>
  <c r="N15" i="71"/>
  <c r="D15" i="71"/>
  <c r="O14" i="71"/>
  <c r="N14" i="71"/>
  <c r="B16" i="71"/>
  <c r="B17" i="71" s="1"/>
  <c r="B18" i="71" s="1"/>
  <c r="S18" i="71" s="1"/>
  <c r="B20" i="71"/>
  <c r="B21" i="71" s="1"/>
  <c r="B22" i="71"/>
  <c r="S22" i="71" s="1"/>
  <c r="E24" i="71"/>
  <c r="E25" i="71" s="1"/>
  <c r="E26" i="71" s="1"/>
  <c r="U26" i="71" s="1"/>
  <c r="AA23" i="71"/>
  <c r="N54" i="71"/>
  <c r="E20" i="71"/>
  <c r="AA19" i="71"/>
  <c r="C16" i="71"/>
  <c r="Y15" i="71"/>
  <c r="Z15" i="71" s="1"/>
  <c r="AA18" i="71"/>
  <c r="C20" i="71"/>
  <c r="C21" i="71"/>
  <c r="D21" i="71" s="1"/>
  <c r="X22" i="71"/>
  <c r="C24" i="71"/>
  <c r="C25" i="71" s="1"/>
  <c r="D25" i="71" s="1"/>
  <c r="Y23" i="71"/>
  <c r="Z23" i="71"/>
  <c r="X24" i="71"/>
  <c r="V38" i="71"/>
  <c r="B14" i="71"/>
  <c r="B13" i="71"/>
  <c r="B12" i="71" s="1"/>
  <c r="X11" i="71"/>
  <c r="C17" i="71"/>
  <c r="D16" i="71"/>
  <c r="D20" i="71"/>
  <c r="D24" i="71"/>
  <c r="D28" i="71"/>
  <c r="C37" i="71"/>
  <c r="P14" i="71"/>
  <c r="E41" i="71"/>
  <c r="E42" i="71"/>
  <c r="U42" i="71" s="1"/>
  <c r="E45" i="71"/>
  <c r="E46" i="71" s="1"/>
  <c r="U46" i="71" s="1"/>
  <c r="E49" i="71"/>
  <c r="E50" i="71"/>
  <c r="U50" i="71" s="1"/>
  <c r="Q14" i="71"/>
  <c r="C41" i="71"/>
  <c r="D41" i="71" s="1"/>
  <c r="C45" i="71"/>
  <c r="D45" i="71" s="1"/>
  <c r="C49" i="71"/>
  <c r="C50" i="71" s="1"/>
  <c r="T50" i="71" s="1"/>
  <c r="D48" i="71"/>
  <c r="N53" i="71"/>
  <c r="B52" i="71"/>
  <c r="T54" i="71"/>
  <c r="O54" i="71"/>
  <c r="D54" i="71"/>
  <c r="C53" i="71"/>
  <c r="O53" i="71" s="1"/>
  <c r="Q54" i="71"/>
  <c r="C57" i="71"/>
  <c r="D57" i="71" s="1"/>
  <c r="E57" i="71"/>
  <c r="E56" i="71"/>
  <c r="D58" i="71"/>
  <c r="C61" i="71"/>
  <c r="C60" i="71" s="1"/>
  <c r="D62" i="71"/>
  <c r="C65" i="71"/>
  <c r="E65" i="71"/>
  <c r="E64" i="71"/>
  <c r="D66" i="71"/>
  <c r="C69" i="71"/>
  <c r="D69" i="71" s="1"/>
  <c r="C73" i="71"/>
  <c r="S14" i="71"/>
  <c r="F14" i="71"/>
  <c r="F13" i="71"/>
  <c r="F12" i="71" s="1"/>
  <c r="E14" i="71"/>
  <c r="C52" i="71"/>
  <c r="D52" i="71" s="1"/>
  <c r="D53" i="71"/>
  <c r="D49" i="71"/>
  <c r="C68" i="71"/>
  <c r="D68" i="71" s="1"/>
  <c r="D61" i="71"/>
  <c r="D60" i="71"/>
  <c r="N51" i="71"/>
  <c r="N52" i="71"/>
  <c r="D73" i="71"/>
  <c r="C72" i="71"/>
  <c r="D72" i="71" s="1"/>
  <c r="C56" i="71"/>
  <c r="D56" i="71" s="1"/>
  <c r="C42" i="71"/>
  <c r="T42" i="71" s="1"/>
  <c r="C30" i="71"/>
  <c r="T30" i="71" s="1"/>
  <c r="C26" i="71"/>
  <c r="T26" i="71" s="1"/>
  <c r="C22" i="71"/>
  <c r="T22" i="71" s="1"/>
  <c r="O52" i="71"/>
  <c r="O51" i="71"/>
  <c r="D26" i="7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s="1"/>
  <c r="B55" i="43"/>
  <c r="C25" i="40"/>
  <c r="S25" i="40"/>
  <c r="S21" i="34"/>
  <c r="H25" i="40"/>
  <c r="J25" i="40"/>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C18" i="36"/>
  <c r="W18" i="36"/>
  <c r="AB21" i="37"/>
  <c r="AA21" i="37"/>
  <c r="S21" i="37"/>
  <c r="AB21" i="34"/>
  <c r="U21" i="34"/>
  <c r="U21" i="33"/>
  <c r="AB21" i="33"/>
  <c r="AA21" i="33"/>
  <c r="AB18" i="35"/>
  <c r="U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s="1"/>
  <c r="F107" i="39" s="1"/>
  <c r="D105" i="39"/>
  <c r="E105" i="39" s="1"/>
  <c r="D101" i="39"/>
  <c r="F27" i="39" s="1"/>
  <c r="AA27" i="39" s="1"/>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G93" i="39" s="1"/>
  <c r="D91" i="39"/>
  <c r="E91" i="39" s="1"/>
  <c r="D89" i="39"/>
  <c r="E89" i="39" s="1"/>
  <c r="F89" i="39" s="1"/>
  <c r="G89" i="39" s="1"/>
  <c r="B86" i="39"/>
  <c r="H14" i="39" s="1"/>
  <c r="U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H36" i="39"/>
  <c r="AB36" i="39" s="1"/>
  <c r="J35" i="39"/>
  <c r="F35"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U34" i="35"/>
  <c r="F36" i="34"/>
  <c r="J35" i="34"/>
  <c r="S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1" i="39"/>
  <c r="F101" i="39" s="1"/>
  <c r="H19" i="39"/>
  <c r="AB19" i="39"/>
  <c r="F19" i="39"/>
  <c r="AA19" i="39"/>
  <c r="F17" i="39"/>
  <c r="AA17" i="39" s="1"/>
  <c r="J23" i="40"/>
  <c r="AC23" i="40"/>
  <c r="F21" i="40"/>
  <c r="AA21" i="40"/>
  <c r="J21" i="40"/>
  <c r="W21" i="40"/>
  <c r="H42" i="39"/>
  <c r="AB42" i="39" s="1"/>
  <c r="J34" i="39"/>
  <c r="AC34" i="39" s="1"/>
  <c r="G109" i="39"/>
  <c r="H109" i="39" s="1"/>
  <c r="I109" i="39" s="1"/>
  <c r="J109" i="39" s="1"/>
  <c r="K109" i="39" s="1"/>
  <c r="L109" i="39" s="1"/>
  <c r="M109" i="39" s="1"/>
  <c r="H27" i="39"/>
  <c r="U27" i="39" s="1"/>
  <c r="J19" i="39"/>
  <c r="AC19" i="39" s="1"/>
  <c r="J27" i="39"/>
  <c r="AC27" i="39" s="1"/>
  <c r="F11" i="21"/>
  <c r="S11" i="21" s="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J34" i="36"/>
  <c r="W34"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W13" i="36"/>
  <c r="W11" i="36"/>
  <c r="AB46" i="34"/>
  <c r="AA14" i="34"/>
  <c r="AB45" i="33"/>
  <c r="U31" i="33"/>
  <c r="U13" i="33"/>
  <c r="S44" i="34"/>
  <c r="BA585" i="3"/>
  <c r="F17" i="21"/>
  <c r="AA17" i="21"/>
  <c r="H17" i="21"/>
  <c r="AB17" i="21"/>
  <c r="F15" i="21"/>
  <c r="S15" i="21"/>
  <c r="AB11" i="21"/>
  <c r="J41" i="39"/>
  <c r="W41" i="39" s="1"/>
  <c r="AC45"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AZ558" i="3" s="1"/>
  <c r="BA556" i="3"/>
  <c r="AZ556" i="3" s="1"/>
  <c r="BA554" i="3"/>
  <c r="AZ554" i="3" s="1"/>
  <c r="BA552" i="3"/>
  <c r="BA548" i="3"/>
  <c r="AZ548" i="3" s="1"/>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U32" i="33"/>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AC32" i="36"/>
  <c r="AC33" i="36"/>
  <c r="AA12" i="35"/>
  <c r="AB28"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J42" i="39"/>
  <c r="AC42" i="39" s="1"/>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W43" i="39"/>
  <c r="AB45" i="39"/>
  <c r="U44" i="39"/>
  <c r="G101" i="39"/>
  <c r="H37" i="39"/>
  <c r="AB37" i="39" s="1"/>
  <c r="H25" i="39"/>
  <c r="AB25" i="39" s="1"/>
  <c r="J25" i="39"/>
  <c r="AC25" i="39" s="1"/>
  <c r="F25" i="39"/>
  <c r="AA25" i="39" s="1"/>
  <c r="F15" i="39"/>
  <c r="AA15" i="39" s="1"/>
  <c r="H15" i="39"/>
  <c r="U15" i="39" s="1"/>
  <c r="J15" i="39"/>
  <c r="W15" i="39" s="1"/>
  <c r="H41" i="39"/>
  <c r="AB41" i="39" s="1"/>
  <c r="AB34" i="39"/>
  <c r="W14" i="39"/>
  <c r="AA41" i="39"/>
  <c r="W9" i="39"/>
  <c r="W8" i="39"/>
  <c r="J19" i="40"/>
  <c r="AC19" i="40" s="1"/>
  <c r="J50" i="40"/>
  <c r="H103" i="9"/>
  <c r="D8" i="53"/>
  <c r="B24" i="72" s="1"/>
  <c r="B16" i="53"/>
  <c r="B33" i="72" s="1"/>
  <c r="C7" i="37"/>
  <c r="C7" i="34"/>
  <c r="C7" i="36"/>
  <c r="W35" i="40"/>
  <c r="A118" i="9"/>
  <c r="A4" i="52"/>
  <c r="B41" i="72" s="1"/>
  <c r="G4" i="4"/>
  <c r="I4" i="4"/>
  <c r="K5" i="4"/>
  <c r="B47" i="48" s="1"/>
  <c r="A2" i="9"/>
  <c r="N2" i="43"/>
  <c r="F59" i="43"/>
  <c r="AZ20" i="3"/>
  <c r="AZ24" i="3"/>
  <c r="AZ28" i="3"/>
  <c r="AZ32" i="3"/>
  <c r="AZ497" i="3"/>
  <c r="BL549" i="3"/>
  <c r="AZ494" i="3"/>
  <c r="AZ502"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s="1"/>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6" i="43"/>
  <c r="H82" i="43"/>
  <c r="H87" i="43"/>
  <c r="K9" i="1"/>
  <c r="M9" i="1" s="1"/>
  <c r="AE9" i="1"/>
  <c r="D93" i="9"/>
  <c r="K6" i="1"/>
  <c r="G29" i="6"/>
  <c r="E29" i="6" s="1"/>
  <c r="K15" i="1" s="1"/>
  <c r="AC26" i="33"/>
  <c r="W26" i="33"/>
  <c r="AB34" i="36"/>
  <c r="U34" i="36"/>
  <c r="AB33" i="36"/>
  <c r="U33" i="36"/>
  <c r="AC12" i="39"/>
  <c r="AZ401" i="3"/>
  <c r="AZ412" i="3"/>
  <c r="AZ417" i="3"/>
  <c r="AZ428" i="3"/>
  <c r="AZ433" i="3"/>
  <c r="AZ465" i="3"/>
  <c r="W12" i="33"/>
  <c r="AC12" i="33"/>
  <c r="AA32" i="36"/>
  <c r="S32" i="36"/>
  <c r="AZ408" i="3"/>
  <c r="AZ437" i="3"/>
  <c r="AZ441" i="3"/>
  <c r="AZ457" i="3"/>
  <c r="AZ473" i="3"/>
  <c r="AZ490" i="3"/>
  <c r="AA39" i="34"/>
  <c r="F28" i="6"/>
  <c r="BL14" i="3"/>
  <c r="AZ266" i="3"/>
  <c r="AC13"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S43" i="39"/>
  <c r="U35" i="39"/>
  <c r="U25" i="39"/>
  <c r="AB27" i="39"/>
  <c r="S25" i="39"/>
  <c r="J21" i="39"/>
  <c r="F21" i="39"/>
  <c r="S21" i="39" s="1"/>
  <c r="H21" i="39"/>
  <c r="U21" i="39" s="1"/>
  <c r="U19" i="39"/>
  <c r="AC15" i="39"/>
  <c r="AB15" i="39"/>
  <c r="S9"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G5" i="3" s="1"/>
  <c r="B3" i="3" s="1"/>
  <c r="BA13" i="3"/>
  <c r="E10" i="6"/>
  <c r="E11" i="6"/>
  <c r="E61" i="39" s="1"/>
  <c r="BL17" i="3"/>
  <c r="AZ17" i="3" s="1"/>
  <c r="BL13" i="3"/>
  <c r="J56" i="9"/>
  <c r="J57" i="9"/>
  <c r="J59" i="9" s="1"/>
  <c r="J61" i="9" s="1"/>
  <c r="A24" i="51"/>
  <c r="B18" i="72" s="1"/>
  <c r="E14" i="6"/>
  <c r="E64" i="39" s="1"/>
  <c r="E5" i="6"/>
  <c r="D9" i="11" s="1"/>
  <c r="C9" i="11" s="1"/>
  <c r="E32" i="6"/>
  <c r="L19" i="6"/>
  <c r="G1" i="68"/>
  <c r="K1" i="12"/>
  <c r="F30" i="6"/>
  <c r="AR12" i="1"/>
  <c r="AQ12" i="1"/>
  <c r="T12" i="1"/>
  <c r="AR10" i="1"/>
  <c r="T10" i="1"/>
  <c r="E19" i="68"/>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AP6" i="1"/>
  <c r="B9" i="1"/>
  <c r="E9" i="1"/>
  <c r="K7" i="1"/>
  <c r="G16"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U42" i="39"/>
  <c r="U41" i="39"/>
  <c r="W25" i="39"/>
  <c r="U13" i="39"/>
  <c r="AB13" i="39"/>
  <c r="AA13" i="39"/>
  <c r="S13" i="39"/>
  <c r="AB43" i="39"/>
  <c r="S27" i="39"/>
  <c r="S23"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I101" i="21"/>
  <c r="J101" i="21" s="1"/>
  <c r="K101" i="21" s="1"/>
  <c r="L101" i="21" s="1"/>
  <c r="M101" i="21" s="1"/>
  <c r="F33" i="21"/>
  <c r="J33" i="21"/>
  <c r="W33" i="21" s="1"/>
  <c r="H33" i="21"/>
  <c r="AB33" i="21"/>
  <c r="F37" i="21"/>
  <c r="AA37" i="21"/>
  <c r="AA26" i="21"/>
  <c r="AB46" i="21"/>
  <c r="U40" i="21"/>
  <c r="U13" i="21"/>
  <c r="AB13" i="21"/>
  <c r="W8" i="21"/>
  <c r="S35"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T11" i="1"/>
  <c r="D9" i="69"/>
  <c r="C9" i="69" s="1"/>
  <c r="AQ9" i="1"/>
  <c r="AR11" i="1"/>
  <c r="E59" i="40"/>
  <c r="T9" i="1"/>
  <c r="T13" i="1"/>
  <c r="E7" i="70"/>
  <c r="C24" i="12"/>
  <c r="AA39" i="40"/>
  <c r="S39" i="40"/>
  <c r="S12" i="33"/>
  <c r="AA12" i="33"/>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H23" i="21"/>
  <c r="S13" i="21"/>
  <c r="D6" i="52"/>
  <c r="D121" i="9"/>
  <c r="D7" i="52" s="1"/>
  <c r="K120" i="9"/>
  <c r="S4" i="43"/>
  <c r="J22" i="43"/>
  <c r="E239" i="3"/>
  <c r="E388" i="3"/>
  <c r="E509" i="3"/>
  <c r="O6" i="3"/>
  <c r="E516" i="3"/>
  <c r="E555" i="3"/>
  <c r="E579"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s="1"/>
  <c r="O19" i="43"/>
  <c r="C65" i="40"/>
  <c r="AP7" i="1"/>
  <c r="C36" i="69" s="1"/>
  <c r="AC33" i="21"/>
  <c r="S33" i="21"/>
  <c r="AA33" i="21"/>
  <c r="W32" i="21"/>
  <c r="AB9" i="21"/>
  <c r="AA32" i="21"/>
  <c r="S32" i="21"/>
  <c r="W9" i="21"/>
  <c r="AC9" i="21"/>
  <c r="AB32" i="21"/>
  <c r="U32" i="21"/>
  <c r="AA10" i="21"/>
  <c r="A18" i="62"/>
  <c r="B64" i="72" s="1"/>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M18" i="9"/>
  <c r="B118" i="9" s="1"/>
  <c r="B14" i="74" s="1"/>
  <c r="B1" i="74" s="1"/>
  <c r="F1" i="67"/>
  <c r="Q52" i="67"/>
  <c r="AC11" i="37"/>
  <c r="W11" i="34"/>
  <c r="AC11" i="34"/>
  <c r="F34" i="11"/>
  <c r="F11" i="12"/>
  <c r="F34" i="68"/>
  <c r="R8" i="1"/>
  <c r="AE8" i="1"/>
  <c r="AG6" i="1"/>
  <c r="J7" i="33"/>
  <c r="W7" i="33" s="1"/>
  <c r="F7" i="33"/>
  <c r="S7" i="33" s="1"/>
  <c r="H7" i="33"/>
  <c r="AB7" i="33" s="1"/>
  <c r="T48" i="33" s="1"/>
  <c r="G48" i="33" s="1"/>
  <c r="D59" i="9"/>
  <c r="M55" i="9" s="1"/>
  <c r="AD3" i="71"/>
  <c r="B4" i="62"/>
  <c r="B71" i="72" s="1"/>
  <c r="C36" i="68"/>
  <c r="D9" i="68"/>
  <c r="AE7" i="1"/>
  <c r="M26" i="67"/>
  <c r="M9" i="67"/>
  <c r="B9" i="76"/>
  <c r="F6" i="67"/>
  <c r="B8" i="76"/>
  <c r="M26" i="15"/>
  <c r="E7" i="76"/>
  <c r="F5" i="73"/>
  <c r="M27" i="67"/>
  <c r="AO8" i="1"/>
  <c r="D6" i="73"/>
  <c r="L47" i="67"/>
  <c r="B10" i="76"/>
  <c r="D3" i="73"/>
  <c r="D2" i="21"/>
  <c r="M6" i="15"/>
  <c r="F16" i="67"/>
  <c r="E8" i="76"/>
  <c r="AO9" i="1"/>
  <c r="AO12" i="1"/>
  <c r="L48" i="67"/>
  <c r="F35" i="67"/>
  <c r="AO10" i="1"/>
  <c r="F43" i="15"/>
  <c r="M24" i="67"/>
  <c r="F26" i="15"/>
  <c r="E9" i="76"/>
  <c r="D2" i="34"/>
  <c r="F40" i="15"/>
  <c r="AO13" i="1"/>
  <c r="C76" i="15"/>
  <c r="M8" i="15"/>
  <c r="M22" i="67"/>
  <c r="L47" i="15"/>
  <c r="D2" i="35"/>
  <c r="B7" i="76"/>
  <c r="E2" i="69"/>
  <c r="E2" i="68"/>
  <c r="F4" i="73"/>
  <c r="M23" i="67"/>
  <c r="E13" i="76"/>
  <c r="D4" i="73"/>
  <c r="D5" i="73"/>
  <c r="F20" i="31"/>
  <c r="F7" i="73"/>
  <c r="E12" i="76"/>
  <c r="B13" i="76"/>
  <c r="F13" i="67"/>
  <c r="M9" i="15"/>
  <c r="D7" i="73"/>
  <c r="F9" i="15"/>
  <c r="M22" i="15"/>
  <c r="F16" i="15"/>
  <c r="M29" i="15"/>
  <c r="D2" i="37"/>
  <c r="D35" i="9"/>
  <c r="F6" i="73"/>
  <c r="F38" i="67"/>
  <c r="B11" i="76"/>
  <c r="M28" i="15"/>
  <c r="F38" i="15"/>
  <c r="AO11" i="1"/>
  <c r="B12" i="76"/>
  <c r="E11" i="76"/>
  <c r="M6" i="67"/>
  <c r="D34" i="9"/>
  <c r="F7" i="67"/>
  <c r="F3" i="73"/>
  <c r="E10" i="76"/>
  <c r="D2" i="36"/>
  <c r="D2" i="33"/>
  <c r="AG7" i="1" l="1"/>
  <c r="B5" i="62"/>
  <c r="B73" i="72" s="1"/>
  <c r="L27" i="6"/>
  <c r="E13" i="6"/>
  <c r="E15" i="6"/>
  <c r="Q16" i="1"/>
  <c r="F27" i="69" s="1"/>
  <c r="C47" i="69" s="1"/>
  <c r="D45" i="69" s="1"/>
  <c r="E12" i="6"/>
  <c r="F32" i="39"/>
  <c r="AA32" i="39" s="1"/>
  <c r="G107" i="39"/>
  <c r="H107" i="39" s="1"/>
  <c r="I107" i="39" s="1"/>
  <c r="J107" i="39" s="1"/>
  <c r="K107" i="39" s="1"/>
  <c r="L107" i="39" s="1"/>
  <c r="M107" i="39" s="1"/>
  <c r="J32" i="39"/>
  <c r="H32" i="39"/>
  <c r="AB32" i="39" s="1"/>
  <c r="S42" i="39"/>
  <c r="U40" i="39"/>
  <c r="W40" i="39"/>
  <c r="AC41" i="39"/>
  <c r="W39" i="39"/>
  <c r="AA45" i="39"/>
  <c r="S36" i="39"/>
  <c r="AA36" i="39"/>
  <c r="U37" i="39"/>
  <c r="J36" i="39"/>
  <c r="AB23" i="39"/>
  <c r="W19" i="39"/>
  <c r="S15" i="39"/>
  <c r="F12" i="39"/>
  <c r="F14" i="39"/>
  <c r="E19" i="11"/>
  <c r="S7" i="43"/>
  <c r="E63" i="40"/>
  <c r="D65" i="40"/>
  <c r="G30" i="6"/>
  <c r="G31" i="6" s="1"/>
  <c r="E28" i="6"/>
  <c r="AA7" i="33"/>
  <c r="R48" i="33" s="1"/>
  <c r="AZ521" i="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AZ576" i="3" s="1"/>
  <c r="BA574" i="3"/>
  <c r="AZ574" i="3" s="1"/>
  <c r="BA572" i="3"/>
  <c r="AZ572" i="3" s="1"/>
  <c r="BL570" i="3"/>
  <c r="BA570" i="3"/>
  <c r="AZ570" i="3" s="1"/>
  <c r="BL560" i="3"/>
  <c r="BA560" i="3"/>
  <c r="AZ560" i="3" s="1"/>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D37"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G17" i="43" s="1"/>
  <c r="C16" i="43" s="1"/>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30" i="7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H11" i="39"/>
  <c r="F11" i="39"/>
  <c r="AA11" i="39" s="1"/>
  <c r="H81" i="39"/>
  <c r="I81" i="39" s="1"/>
  <c r="J81" i="39" s="1"/>
  <c r="K81" i="39" s="1"/>
  <c r="L81" i="39" s="1"/>
  <c r="M81" i="39" s="1"/>
  <c r="J11" i="39"/>
  <c r="W11" i="39" s="1"/>
  <c r="U12" i="39"/>
  <c r="AC11"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C36" i="1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567" i="3"/>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56" i="40"/>
  <c r="F10" i="40"/>
  <c r="J10" i="39"/>
  <c r="F27" i="11"/>
  <c r="H16" i="1"/>
  <c r="M7" i="1"/>
  <c r="O8" i="1"/>
  <c r="P8" i="1" s="1"/>
  <c r="O14" i="1"/>
  <c r="P14" i="1" s="1"/>
  <c r="O11" i="1"/>
  <c r="P11" i="1" s="1"/>
  <c r="O9" i="1"/>
  <c r="P9" i="1" s="1"/>
  <c r="A15" i="62"/>
  <c r="B61" i="7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E20" i="43"/>
  <c r="B8" i="70"/>
  <c r="C34" i="67"/>
  <c r="F63" i="67"/>
  <c r="C62" i="67" s="1"/>
  <c r="B20" i="31"/>
  <c r="F71" i="15"/>
  <c r="Q71" i="15"/>
  <c r="M7" i="67"/>
  <c r="F50" i="67"/>
  <c r="B11" i="70"/>
  <c r="I1" i="73"/>
  <c r="B39" i="1" s="1"/>
  <c r="C27" i="15"/>
  <c r="I54" i="67"/>
  <c r="J57" i="67"/>
  <c r="J55" i="67" s="1"/>
  <c r="J58" i="67" s="1"/>
  <c r="Q50" i="67" s="1"/>
  <c r="L56" i="67"/>
  <c r="B12" i="70"/>
  <c r="B9" i="70"/>
  <c r="K1" i="73"/>
  <c r="M17" i="67"/>
  <c r="F31" i="15"/>
  <c r="F31" i="67"/>
  <c r="M17" i="15"/>
  <c r="F59" i="67"/>
  <c r="F59" i="15"/>
  <c r="F27" i="68"/>
  <c r="G1" i="73"/>
  <c r="M24" i="15"/>
  <c r="F26" i="67"/>
  <c r="F42" i="67"/>
  <c r="F13" i="15"/>
  <c r="F6" i="15"/>
  <c r="F37" i="67"/>
  <c r="L48" i="15"/>
  <c r="F9" i="67"/>
  <c r="F43" i="67"/>
  <c r="C76" i="67"/>
  <c r="F7" i="15"/>
  <c r="F37" i="15"/>
  <c r="C16" i="15"/>
  <c r="F41" i="67"/>
  <c r="F36" i="67"/>
  <c r="M27" i="80"/>
  <c r="M29" i="67"/>
  <c r="F40" i="67"/>
  <c r="F36" i="15"/>
  <c r="J15" i="15"/>
  <c r="F8" i="15"/>
  <c r="M21" i="67"/>
  <c r="M28" i="67"/>
  <c r="F42" i="15"/>
  <c r="F8" i="67"/>
  <c r="M8" i="67"/>
  <c r="M27" i="15"/>
  <c r="J15" i="67"/>
  <c r="M23" i="15"/>
  <c r="F11" i="80" l="1"/>
  <c r="M11" i="80"/>
  <c r="J10" i="80" s="1"/>
  <c r="J5" i="80" s="1"/>
  <c r="E60" i="40"/>
  <c r="E65" i="39"/>
  <c r="E58" i="40"/>
  <c r="E63" i="39"/>
  <c r="E6" i="3"/>
  <c r="E62" i="39"/>
  <c r="E66" i="39" s="1"/>
  <c r="E57" i="40"/>
  <c r="C6" i="15"/>
  <c r="W32" i="39"/>
  <c r="AC32" i="39"/>
  <c r="U17" i="39"/>
  <c r="AC36" i="39"/>
  <c r="W36" i="39"/>
  <c r="AA14" i="39"/>
  <c r="S14" i="39"/>
  <c r="S12" i="39"/>
  <c r="AA12" i="39"/>
  <c r="M7" i="15"/>
  <c r="J6" i="15" s="1"/>
  <c r="F50" i="15"/>
  <c r="F64" i="15"/>
  <c r="F64" i="67"/>
  <c r="F68" i="67"/>
  <c r="F71" i="67"/>
  <c r="F51" i="67"/>
  <c r="C49" i="67" s="1"/>
  <c r="C6" i="67"/>
  <c r="F65" i="15"/>
  <c r="F65" i="67"/>
  <c r="F70" i="67"/>
  <c r="J20" i="67"/>
  <c r="C27" i="67"/>
  <c r="F51" i="15"/>
  <c r="F69" i="67"/>
  <c r="J53" i="15"/>
  <c r="Q52" i="15" s="1"/>
  <c r="I54" i="15"/>
  <c r="L58" i="15"/>
  <c r="Q60" i="15" s="1"/>
  <c r="J57" i="15"/>
  <c r="J55" i="15" s="1"/>
  <c r="J58" i="15" s="1"/>
  <c r="Q50" i="15" s="1"/>
  <c r="Q71" i="67"/>
  <c r="D5" i="43"/>
  <c r="C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K24" i="6" s="1"/>
  <c r="M24" i="6" s="1"/>
  <c r="I24" i="6" s="1"/>
  <c r="S24"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E30" i="6"/>
  <c r="K14" i="1"/>
  <c r="E65" i="40"/>
  <c r="F63" i="40"/>
  <c r="S11" i="39"/>
  <c r="AB31" i="39"/>
  <c r="U31" i="39"/>
  <c r="W31" i="39"/>
  <c r="AC31" i="39"/>
  <c r="U11" i="39"/>
  <c r="AB11" i="39"/>
  <c r="L56" i="15"/>
  <c r="C29" i="68"/>
  <c r="D27" i="68" s="1"/>
  <c r="C30" i="11"/>
  <c r="C30" i="68"/>
  <c r="C48" i="68"/>
  <c r="C48" i="69"/>
  <c r="C30" i="69"/>
  <c r="C47" i="68"/>
  <c r="D45" i="68" s="1"/>
  <c r="E102" i="43"/>
  <c r="E106" i="43"/>
  <c r="E103" i="43"/>
  <c r="E104" i="43"/>
  <c r="E107" i="43"/>
  <c r="E105" i="43"/>
  <c r="E109" i="43"/>
  <c r="H102" i="43"/>
  <c r="H103" i="43"/>
  <c r="H104" i="43"/>
  <c r="H109" i="43"/>
  <c r="H107" i="43"/>
  <c r="H106" i="43"/>
  <c r="H105" i="43"/>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H7" i="21"/>
  <c r="J7" i="21"/>
  <c r="H52" i="37"/>
  <c r="U10" i="39"/>
  <c r="AB10" i="39"/>
  <c r="AA10" i="39"/>
  <c r="S10" i="39"/>
  <c r="D70" i="39"/>
  <c r="E68" i="39"/>
  <c r="E53" i="33"/>
  <c r="F53" i="33" s="1"/>
  <c r="E52" i="33"/>
  <c r="F52" i="33" s="1"/>
  <c r="P23" i="43"/>
  <c r="B71" i="39" s="1"/>
  <c r="P25" i="43"/>
  <c r="B40" i="1"/>
  <c r="M11" i="15"/>
  <c r="F11" i="67"/>
  <c r="F11" i="15"/>
  <c r="M11" i="67"/>
  <c r="J10" i="67" s="1"/>
  <c r="Q73" i="67"/>
  <c r="Q60" i="67"/>
  <c r="P28" i="43"/>
  <c r="M28" i="43"/>
  <c r="N28" i="43"/>
  <c r="O28" i="43"/>
  <c r="Q74" i="15"/>
  <c r="Q61" i="15"/>
  <c r="Q61" i="67"/>
  <c r="Q74" i="67"/>
  <c r="C17" i="67"/>
  <c r="C16" i="67"/>
  <c r="C14" i="67"/>
  <c r="F24" i="80" l="1"/>
  <c r="J24" i="80"/>
  <c r="J18" i="80"/>
  <c r="C53" i="80"/>
  <c r="C48" i="80" s="1"/>
  <c r="C10" i="80"/>
  <c r="C5" i="80" s="1"/>
  <c r="K20" i="6"/>
  <c r="K22" i="6"/>
  <c r="M22" i="6" s="1"/>
  <c r="I22" i="6" s="1"/>
  <c r="S22" i="6" s="1"/>
  <c r="K25" i="6"/>
  <c r="M25" i="6" s="1"/>
  <c r="I25" i="6" s="1"/>
  <c r="S25" i="6" s="1"/>
  <c r="K26" i="6"/>
  <c r="M26" i="6" s="1"/>
  <c r="I26" i="6" s="1"/>
  <c r="S26" i="6" s="1"/>
  <c r="C10" i="15"/>
  <c r="Q73" i="15"/>
  <c r="F1" i="15"/>
  <c r="C49" i="15"/>
  <c r="J10" i="15"/>
  <c r="J5" i="15" s="1"/>
  <c r="J24" i="15" s="1"/>
  <c r="J5" i="67"/>
  <c r="J26" i="67" s="1"/>
  <c r="J29" i="67" s="1"/>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C53" i="67"/>
  <c r="C48" i="67" s="1"/>
  <c r="C10" i="67"/>
  <c r="C5" i="67" s="1"/>
  <c r="C53" i="15"/>
  <c r="C5" i="15"/>
  <c r="F24" i="67"/>
  <c r="C24" i="67" s="1"/>
  <c r="F22" i="68"/>
  <c r="F22" i="11"/>
  <c r="F22" i="69"/>
  <c r="F25" i="12"/>
  <c r="F24" i="15"/>
  <c r="C24" i="15" s="1"/>
  <c r="AE6" i="1"/>
  <c r="C66" i="80" l="1"/>
  <c r="C60" i="80"/>
  <c r="C38" i="80"/>
  <c r="C33" i="80"/>
  <c r="C32" i="80"/>
  <c r="C24" i="80"/>
  <c r="C23" i="80"/>
  <c r="M20" i="6"/>
  <c r="I20" i="6" s="1"/>
  <c r="S20" i="6" s="1"/>
  <c r="S7" i="1"/>
  <c r="C33" i="15"/>
  <c r="C38" i="15"/>
  <c r="C32" i="15"/>
  <c r="J24" i="67"/>
  <c r="C48" i="15"/>
  <c r="C66" i="15" s="1"/>
  <c r="J18" i="67"/>
  <c r="J18" i="15"/>
  <c r="C19" i="67"/>
  <c r="C20" i="67" s="1"/>
  <c r="C26" i="67" s="1"/>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26" i="68"/>
  <c r="D22" i="68" s="1"/>
  <c r="C44" i="68"/>
  <c r="D41" i="68" s="1"/>
  <c r="C26" i="12"/>
  <c r="D25" i="12" s="1"/>
  <c r="C44" i="11"/>
  <c r="D41" i="11" s="1"/>
  <c r="C23" i="11"/>
  <c r="C26" i="11"/>
  <c r="D22" i="11" s="1"/>
  <c r="C60" i="67"/>
  <c r="C66" i="67"/>
  <c r="C44" i="69"/>
  <c r="D41" i="69" s="1"/>
  <c r="C26" i="69"/>
  <c r="D22" i="69" s="1"/>
  <c r="C38" i="67"/>
  <c r="C32" i="67"/>
  <c r="D10" i="68"/>
  <c r="F41" i="80"/>
  <c r="F41" i="15"/>
  <c r="C17" i="15"/>
  <c r="F69" i="80" l="1"/>
  <c r="C29" i="80"/>
  <c r="C57" i="80" s="1"/>
  <c r="AQ7" i="1"/>
  <c r="AR7" i="1"/>
  <c r="T7" i="1"/>
  <c r="F69" i="15"/>
  <c r="C60" i="15"/>
  <c r="C23" i="67"/>
  <c r="C29" i="67" s="1"/>
  <c r="C33" i="67" s="1"/>
  <c r="C31" i="67" s="1"/>
  <c r="D19" i="68"/>
  <c r="C10" i="68"/>
  <c r="E6" i="70"/>
  <c r="E2" i="70" s="1"/>
  <c r="S16" i="1"/>
  <c r="T6" i="1"/>
  <c r="AQ6" i="1"/>
  <c r="AR6" i="1"/>
  <c r="D3" i="34"/>
  <c r="D3" i="33"/>
  <c r="B2" i="33" s="1"/>
  <c r="B3" i="33" s="1"/>
  <c r="D19" i="11"/>
  <c r="C19" i="11" s="1"/>
  <c r="D3" i="37"/>
  <c r="D3" i="21"/>
  <c r="E6" i="6"/>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34" i="68"/>
  <c r="C14" i="15"/>
  <c r="J14" i="80" l="1"/>
  <c r="J22" i="80" s="1"/>
  <c r="Q49" i="80"/>
  <c r="C36" i="80"/>
  <c r="J59" i="80"/>
  <c r="J60" i="80" s="1"/>
  <c r="Q48" i="80" s="1"/>
  <c r="C13" i="80"/>
  <c r="Q70" i="80" s="1"/>
  <c r="J19" i="80"/>
  <c r="J13" i="80"/>
  <c r="J23" i="80" s="1"/>
  <c r="C64" i="80"/>
  <c r="C61" i="80"/>
  <c r="B29" i="1"/>
  <c r="C8" i="68" s="1"/>
  <c r="J59" i="67"/>
  <c r="J60" i="67" s="1"/>
  <c r="L46" i="67" s="1"/>
  <c r="C13" i="67"/>
  <c r="C37" i="67" s="1"/>
  <c r="Q49" i="67"/>
  <c r="J14" i="67"/>
  <c r="J22" i="67" s="1"/>
  <c r="C36" i="67"/>
  <c r="J19" i="67"/>
  <c r="J17" i="67" s="1"/>
  <c r="C57" i="67"/>
  <c r="C61" i="67" s="1"/>
  <c r="C59" i="67" s="1"/>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D20" i="6"/>
  <c r="R20" i="6" s="1"/>
  <c r="R7" i="1" s="1"/>
  <c r="D12" i="6"/>
  <c r="D13" i="6"/>
  <c r="E61" i="40"/>
  <c r="C18" i="4"/>
  <c r="D26" i="6"/>
  <c r="D14" i="6"/>
  <c r="D10" i="6"/>
  <c r="D9" i="6"/>
  <c r="H19" i="6"/>
  <c r="H27" i="6" s="1"/>
  <c r="C5" i="71"/>
  <c r="D5" i="71" s="1"/>
  <c r="T6" i="71"/>
  <c r="D6" i="71"/>
  <c r="C38" i="1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37" i="80" l="1"/>
  <c r="C75" i="80"/>
  <c r="C56" i="80"/>
  <c r="C65" i="80" s="1"/>
  <c r="L46" i="80"/>
  <c r="C33" i="11"/>
  <c r="C39" i="11" s="1"/>
  <c r="C43" i="11" s="1"/>
  <c r="R26" i="6"/>
  <c r="R21" i="6"/>
  <c r="C18" i="12"/>
  <c r="C75" i="67"/>
  <c r="Q48" i="67"/>
  <c r="J13" i="67"/>
  <c r="J23" i="67" s="1"/>
  <c r="J16" i="67" s="1"/>
  <c r="J25" i="67" s="1"/>
  <c r="C30" i="67"/>
  <c r="C39" i="67" s="1"/>
  <c r="Q69" i="67" s="1"/>
  <c r="Q70" i="67"/>
  <c r="C56" i="67"/>
  <c r="C65" i="67" s="1"/>
  <c r="C64" i="67"/>
  <c r="C19" i="15"/>
  <c r="C20" i="15" s="1"/>
  <c r="C26" i="15" s="1"/>
  <c r="C33" i="68"/>
  <c r="C21" i="12"/>
  <c r="C42" i="11"/>
  <c r="D16" i="6"/>
  <c r="L19" i="9"/>
  <c r="M19" i="9"/>
  <c r="C118" i="9" s="1"/>
  <c r="C14" i="74" s="1"/>
  <c r="B2" i="74" s="1"/>
  <c r="D27" i="6"/>
  <c r="R19" i="6"/>
  <c r="C10" i="69"/>
  <c r="C8" i="69" s="1"/>
  <c r="C5" i="69" s="1"/>
  <c r="D19" i="69"/>
  <c r="C22" i="1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L51" i="67"/>
  <c r="C46" i="11" l="1"/>
  <c r="C45" i="11" s="1"/>
  <c r="C31" i="11"/>
  <c r="C39" i="68"/>
  <c r="C43" i="68" s="1"/>
  <c r="C91" i="9"/>
  <c r="C42" i="68"/>
  <c r="C40" i="67"/>
  <c r="Q47" i="67" s="1"/>
  <c r="Q53" i="67" s="1"/>
  <c r="C58" i="67"/>
  <c r="C67" i="67" s="1"/>
  <c r="C68" i="67" s="1"/>
  <c r="C71" i="67" s="1"/>
  <c r="Q68" i="67"/>
  <c r="C80" i="67"/>
  <c r="C79" i="67" s="1"/>
  <c r="C23" i="15"/>
  <c r="C29" i="15" s="1"/>
  <c r="C36"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C41" i="11"/>
  <c r="C49" i="11" s="1"/>
  <c r="C51" i="11" s="1"/>
  <c r="E47" i="37"/>
  <c r="F47" i="37" s="1"/>
  <c r="E46" i="37"/>
  <c r="F46" i="37" s="1"/>
  <c r="I47" i="37"/>
  <c r="J47" i="37" s="1"/>
  <c r="M48" i="35"/>
  <c r="K68" i="39"/>
  <c r="J70" i="39"/>
  <c r="C42" i="37"/>
  <c r="C43" i="37"/>
  <c r="B2" i="37" s="1"/>
  <c r="B3" i="37" s="1"/>
  <c r="Q67" i="67"/>
  <c r="L57" i="67"/>
  <c r="L60" i="67" s="1"/>
  <c r="L57" i="15"/>
  <c r="L60" i="15" s="1"/>
  <c r="F35" i="80"/>
  <c r="F35" i="15"/>
  <c r="M21" i="80"/>
  <c r="M21" i="15"/>
  <c r="J20" i="80" l="1"/>
  <c r="J17" i="80" s="1"/>
  <c r="J16" i="80" s="1"/>
  <c r="J25" i="80" s="1"/>
  <c r="J26" i="80" s="1"/>
  <c r="J29" i="80" s="1"/>
  <c r="F63" i="80"/>
  <c r="C62" i="80" s="1"/>
  <c r="C59" i="80" s="1"/>
  <c r="C58" i="80" s="1"/>
  <c r="C67" i="80" s="1"/>
  <c r="C68" i="80" s="1"/>
  <c r="C34" i="80"/>
  <c r="C31" i="80" s="1"/>
  <c r="C30" i="80" s="1"/>
  <c r="C39" i="80" s="1"/>
  <c r="Q49" i="15"/>
  <c r="C41" i="68"/>
  <c r="C46" i="68"/>
  <c r="C45" i="68" s="1"/>
  <c r="Q56" i="67"/>
  <c r="C94" i="9"/>
  <c r="C92" i="9"/>
  <c r="D2" i="67"/>
  <c r="B3" i="67" s="1"/>
  <c r="Q65" i="67"/>
  <c r="C83" i="67"/>
  <c r="C82" i="67" s="1"/>
  <c r="C43" i="67"/>
  <c r="C45" i="67"/>
  <c r="C46" i="67" s="1"/>
  <c r="C13" i="15"/>
  <c r="C37" i="15" s="1"/>
  <c r="J59" i="15"/>
  <c r="J60" i="15" s="1"/>
  <c r="Q48" i="15" s="1"/>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E29" i="43"/>
  <c r="E36" i="43"/>
  <c r="G36" i="43"/>
  <c r="I36" i="43" s="1"/>
  <c r="E35" i="43"/>
  <c r="G35" i="43"/>
  <c r="I35" i="43" s="1"/>
  <c r="E37" i="43"/>
  <c r="G37" i="43"/>
  <c r="I37" i="43" s="1"/>
  <c r="N48" i="35"/>
  <c r="L68" i="39"/>
  <c r="K70" i="39"/>
  <c r="Q57" i="15"/>
  <c r="Q66" i="15"/>
  <c r="Q66" i="67"/>
  <c r="Q57" i="67"/>
  <c r="Q62" i="67" s="1"/>
  <c r="Q69" i="80" l="1"/>
  <c r="Q68" i="80" s="1"/>
  <c r="C40" i="80"/>
  <c r="C46" i="80" s="1"/>
  <c r="C80" i="80"/>
  <c r="C79" i="80" s="1"/>
  <c r="C71" i="80"/>
  <c r="C27" i="43"/>
  <c r="C56" i="15"/>
  <c r="C65" i="15" s="1"/>
  <c r="B2" i="67"/>
  <c r="C49" i="68"/>
  <c r="C51" i="68" s="1"/>
  <c r="Q75" i="67"/>
  <c r="C75" i="15"/>
  <c r="J17" i="15"/>
  <c r="Q70" i="15"/>
  <c r="C31" i="15"/>
  <c r="L46" i="15"/>
  <c r="J22" i="15"/>
  <c r="C61" i="15"/>
  <c r="C59" i="15" s="1"/>
  <c r="C46" i="69"/>
  <c r="C45" i="69" s="1"/>
  <c r="C43" i="69"/>
  <c r="C41" i="69" s="1"/>
  <c r="C28" i="69"/>
  <c r="C27" i="69" s="1"/>
  <c r="C25" i="69"/>
  <c r="C22" i="69" s="1"/>
  <c r="M65" i="40"/>
  <c r="N63" i="40"/>
  <c r="C26" i="43"/>
  <c r="C56" i="11"/>
  <c r="C57" i="11" s="1"/>
  <c r="M68" i="39"/>
  <c r="L70" i="39"/>
  <c r="O48" i="35"/>
  <c r="J7" i="35" s="1"/>
  <c r="F7" i="35"/>
  <c r="H7" i="35"/>
  <c r="E6" i="76"/>
  <c r="L51" i="80"/>
  <c r="Q67" i="80" l="1"/>
  <c r="Q47" i="80"/>
  <c r="Q53" i="80" s="1"/>
  <c r="B2" i="80"/>
  <c r="Q65" i="80"/>
  <c r="Q75" i="80" s="1"/>
  <c r="Q56" i="80"/>
  <c r="Q62" i="80" s="1"/>
  <c r="C43" i="80"/>
  <c r="C83" i="80"/>
  <c r="C82" i="80" s="1"/>
  <c r="C30" i="15"/>
  <c r="C39" i="15" s="1"/>
  <c r="C58" i="15"/>
  <c r="C67" i="15" s="1"/>
  <c r="C68" i="15" s="1"/>
  <c r="C71" i="15" s="1"/>
  <c r="J16" i="15"/>
  <c r="J25" i="15" s="1"/>
  <c r="J26" i="15" s="1"/>
  <c r="J29" i="15" s="1"/>
  <c r="C31" i="69"/>
  <c r="E2" i="76"/>
  <c r="B2" i="43"/>
  <c r="O63" i="40"/>
  <c r="O65" i="40" s="1"/>
  <c r="N65" i="40"/>
  <c r="J7" i="40" s="1"/>
  <c r="C49" i="69"/>
  <c r="C51" i="69" s="1"/>
  <c r="F7" i="40"/>
  <c r="U7" i="35"/>
  <c r="AB7" i="35"/>
  <c r="T38" i="35" s="1"/>
  <c r="G38" i="35" s="1"/>
  <c r="AA7" i="35"/>
  <c r="R38" i="35" s="1"/>
  <c r="S7" i="35"/>
  <c r="W7" i="35"/>
  <c r="AC7" i="35"/>
  <c r="V38" i="35" s="1"/>
  <c r="I38" i="35" s="1"/>
  <c r="N68" i="39"/>
  <c r="M70" i="39"/>
  <c r="AO7" i="1"/>
  <c r="L51" i="15"/>
  <c r="B6" i="76"/>
  <c r="B7" i="70" l="1"/>
  <c r="B3" i="80"/>
  <c r="Q69" i="15"/>
  <c r="Q68" i="15" s="1"/>
  <c r="C40" i="15"/>
  <c r="Q65" i="15" s="1"/>
  <c r="Q75" i="15" s="1"/>
  <c r="C80" i="15"/>
  <c r="C79" i="15" s="1"/>
  <c r="B2" i="76"/>
  <c r="B3" i="76" s="1"/>
  <c r="Q67" i="15"/>
  <c r="AA7" i="40"/>
  <c r="R42" i="40" s="1"/>
  <c r="S7" i="40"/>
  <c r="Q56" i="15"/>
  <c r="Q62" i="15" s="1"/>
  <c r="AC7" i="40"/>
  <c r="V42" i="40" s="1"/>
  <c r="I42" i="40" s="1"/>
  <c r="I46" i="40" s="1"/>
  <c r="J46" i="40" s="1"/>
  <c r="W7" i="40"/>
  <c r="B3" i="43"/>
  <c r="C52" i="69"/>
  <c r="B2" i="69" s="1"/>
  <c r="B3" i="69" s="1"/>
  <c r="H7" i="40"/>
  <c r="I42" i="35"/>
  <c r="J42" i="35" s="1"/>
  <c r="G42" i="35"/>
  <c r="H42" i="35" s="1"/>
  <c r="G43" i="35"/>
  <c r="H43" i="35" s="1"/>
  <c r="O68" i="39"/>
  <c r="O70" i="39" s="1"/>
  <c r="N70" i="39"/>
  <c r="E38" i="35"/>
  <c r="I43" i="35" s="1"/>
  <c r="J43" i="35" s="1"/>
  <c r="R39" i="35"/>
  <c r="B2" i="15" l="1"/>
  <c r="C43" i="15"/>
  <c r="C46" i="15"/>
  <c r="C83" i="15"/>
  <c r="C82" i="15" s="1"/>
  <c r="Q47" i="15"/>
  <c r="Q53" i="15" s="1"/>
  <c r="AB7" i="40"/>
  <c r="T42" i="40" s="1"/>
  <c r="G42" i="40" s="1"/>
  <c r="U7" i="40"/>
  <c r="C57" i="69"/>
  <c r="C56" i="69" s="1"/>
  <c r="E42" i="40"/>
  <c r="R43" i="40"/>
  <c r="H109" i="9"/>
  <c r="C38" i="35"/>
  <c r="C39" i="35"/>
  <c r="B2" i="35" s="1"/>
  <c r="B3" i="35" s="1"/>
  <c r="E43" i="35"/>
  <c r="F43" i="35" s="1"/>
  <c r="E42" i="35"/>
  <c r="F42" i="35" s="1"/>
  <c r="F7" i="39"/>
  <c r="J7" i="39"/>
  <c r="H7" i="39"/>
  <c r="AO6" i="1"/>
  <c r="B6" i="70" l="1"/>
  <c r="B2" i="70" s="1"/>
  <c r="B2" i="82" s="1"/>
  <c r="B3" i="15"/>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D19" i="9"/>
  <c r="D102" i="9" l="1"/>
  <c r="D21" i="9"/>
  <c r="B3" i="70"/>
  <c r="B34" i="72"/>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D20" i="9"/>
  <c r="D103" i="9" l="1"/>
  <c r="C7" i="74"/>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C19" i="9"/>
  <c r="B3" i="68" l="1"/>
  <c r="B3" i="82"/>
  <c r="C102" i="9"/>
  <c r="G19" i="9"/>
  <c r="C32" i="9" s="1"/>
  <c r="C21" i="9"/>
  <c r="D22" i="9"/>
  <c r="C20" i="9"/>
  <c r="G20" i="9" l="1"/>
  <c r="C103" i="9"/>
  <c r="G21" i="9"/>
  <c r="C35" i="9"/>
  <c r="F118" i="9" s="1"/>
  <c r="H118" i="9"/>
  <c r="C34" i="9" l="1"/>
  <c r="D118" i="9" s="1"/>
  <c r="D119" i="9" s="1"/>
  <c r="D5" i="52" s="1"/>
  <c r="B49" i="72" s="1"/>
  <c r="F4" i="52"/>
  <c r="B51" i="72" s="1"/>
  <c r="F119" i="9"/>
  <c r="F5" i="52" s="1"/>
  <c r="B53" i="72" s="1"/>
  <c r="G118" i="9"/>
  <c r="G4" i="52" s="1"/>
  <c r="B52" i="72" s="1"/>
  <c r="D14" i="74"/>
  <c r="C104" i="9"/>
  <c r="H4" i="52"/>
  <c r="I118" i="9"/>
  <c r="H119" i="9"/>
  <c r="H5" i="52" s="1"/>
  <c r="H101" i="9"/>
  <c r="B1" i="82" s="1"/>
  <c r="D4" i="52" l="1"/>
  <c r="B47" i="72" s="1"/>
  <c r="H107" i="9"/>
  <c r="D5" i="53"/>
  <c r="M48" i="9"/>
  <c r="D45" i="9"/>
  <c r="E14" i="74"/>
  <c r="B5" i="74"/>
  <c r="F14" i="74"/>
  <c r="H102" i="9"/>
  <c r="D7" i="53" s="1"/>
  <c r="B21" i="72" s="1"/>
  <c r="E118" i="9"/>
  <c r="E4" i="52" s="1"/>
  <c r="B48" i="72" s="1"/>
  <c r="C105" i="9"/>
  <c r="I4" i="52"/>
  <c r="M49" i="9" l="1"/>
  <c r="D122" i="9"/>
  <c r="H108" i="9"/>
  <c r="D15" i="53" s="1"/>
  <c r="B31" i="72" s="1"/>
  <c r="D13" i="53"/>
  <c r="D5" i="74"/>
  <c r="C5" i="74"/>
  <c r="C64" i="9"/>
  <c r="C63" i="9" s="1"/>
  <c r="C67" i="9" s="1"/>
  <c r="C68" i="9" s="1"/>
  <c r="D54" i="9" s="1"/>
  <c r="D55" i="9"/>
  <c r="M53" i="9" s="1"/>
  <c r="C78" i="9"/>
  <c r="C73" i="9" s="1"/>
  <c r="D52" i="9"/>
  <c r="C72" i="9"/>
  <c r="C93" i="9"/>
  <c r="C86" i="9" s="1"/>
  <c r="D53" i="9"/>
  <c r="C85" i="9"/>
  <c r="B20" i="72"/>
  <c r="D6" i="53"/>
  <c r="B22" i="72" s="1"/>
  <c r="C79" i="9" l="1"/>
  <c r="C80" i="9" s="1"/>
  <c r="E80" i="9" s="1"/>
  <c r="E81" i="9" s="1"/>
  <c r="C95" i="9"/>
  <c r="C96" i="9" s="1"/>
  <c r="E96" i="9" s="1"/>
  <c r="E97" i="9" s="1"/>
  <c r="B30" i="72"/>
  <c r="D14" i="53"/>
  <c r="B32" i="72" s="1"/>
  <c r="D123" i="9"/>
  <c r="D9" i="52" s="1"/>
  <c r="D8" i="52"/>
  <c r="G14" i="74"/>
  <c r="B6" i="74" s="1"/>
  <c r="L67" i="9"/>
  <c r="M67" i="9" s="1"/>
  <c r="L66" i="9"/>
  <c r="M66" i="9" s="1"/>
  <c r="L65" i="9"/>
  <c r="M65" i="9" s="1"/>
  <c r="L64" i="9"/>
  <c r="M64" i="9" s="1"/>
  <c r="L68" i="9"/>
  <c r="M68" i="9" s="1"/>
  <c r="L63" i="9"/>
  <c r="M63" i="9" s="1"/>
  <c r="M69" i="9" l="1"/>
  <c r="N69" i="9" s="1"/>
  <c r="C81" i="9"/>
  <c r="C97" i="9"/>
  <c r="D58" i="9" s="1"/>
  <c r="D56" i="9" s="1"/>
  <c r="M54" i="9" s="1"/>
  <c r="N57" i="9" s="1"/>
  <c r="D6" i="74"/>
  <c r="C6" i="74"/>
  <c r="N59" i="9" l="1"/>
  <c r="H111" i="9" s="1"/>
  <c r="N58" i="9"/>
  <c r="P57"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<sst xmlns="http://schemas.openxmlformats.org/spreadsheetml/2006/main" count="8816" uniqueCount="4140">
  <si>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</si>
  <si>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</si>
  <si>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</si>
  <si>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</si>
  <si>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</si>
  <si>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</si>
  <si>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</si>
  <si>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</si>
  <si>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</si>
  <si>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</si>
  <si>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</si>
  <si>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</si>
  <si>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</si>
  <si>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</si>
  <si>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</si>
  <si>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</si>
  <si>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</si>
  <si>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</si>
  <si>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</si>
  <si>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</si>
  <si>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</si>
  <si>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</si>
  <si>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</si>
  <si>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</si>
  <si>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</si>
  <si>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</si>
  <si>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</si>
  <si>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</si>
  <si>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</si>
  <si>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</si>
  <si>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</si>
  <si>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</si>
  <si>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</si>
  <si>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</si>
  <si>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</si>
  <si>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</si>
  <si>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</si>
  <si>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</si>
  <si>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</si>
  <si>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</si>
  <si>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</si>
  <si>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</si>
  <si>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</si>
  <si>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</si>
  <si>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</si>
  <si>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</si>
  <si>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</si>
  <si>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</si>
  <si>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</si>
  <si>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</si>
  <si>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</si>
  <si>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</si>
  <si>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</si>
  <si>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</si>
  <si>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</si>
  <si>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</si>
  <si>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</si>
  <si>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</si>
  <si>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</si>
  <si>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</si>
  <si>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</si>
  <si>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</si>
  <si>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</si>
  <si>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</si>
  <si>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</si>
  <si>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</si>
  <si>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</si>
  <si>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</si>
  <si>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</si>
  <si>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</si>
  <si>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</si>
  <si>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</si>
  <si>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</si>
  <si>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</si>
  <si>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</si>
  <si>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</si>
  <si>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</si>
  <si>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</si>
  <si>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</si>
  <si>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</si>
  <si>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</si>
  <si>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</si>
  <si>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</si>
  <si>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</si>
  <si>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</si>
  <si>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</si>
  <si>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</si>
  <si>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</si>
  <si>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</si>
  <si>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</si>
  <si>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</si>
  <si>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</si>
  <si>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</si>
  <si>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</si>
  <si>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</si>
  <si>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</si>
  <si>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</si>
  <si>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</si>
  <si>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</si>
  <si>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</si>
  <si>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</si>
  <si>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</si>
  <si>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</si>
  <si>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</si>
  <si>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</si>
  <si>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</si>
  <si>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</si>
  <si>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</si>
  <si>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</si>
  <si>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</si>
  <si>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</si>
  <si>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</si>
  <si>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</si>
  <si>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</si>
  <si>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</si>
  <si>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</si>
  <si>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</si>
  <si>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</si>
  <si>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</si>
  <si>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</si>
  <si>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</si>
  <si>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</si>
  <si>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</si>
  <si>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</si>
  <si>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</si>
  <si>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</si>
  <si>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</si>
  <si>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</si>
  <si>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</si>
  <si>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</si>
  <si>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</si>
  <si>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</si>
  <si>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</si>
  <si>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</si>
  <si>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</si>
  <si>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</si>
  <si>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</si>
  <si>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</si>
  <si>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</si>
  <si>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</si>
  <si>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</si>
  <si>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</si>
  <si>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</si>
  <si>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</si>
  <si>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</si>
  <si>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</si>
  <si>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</si>
  <si>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</si>
  <si>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</si>
  <si>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</si>
  <si>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</si>
  <si>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</si>
  <si>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</si>
  <si>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</si>
  <si>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</si>
  <si>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</si>
  <si>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</si>
  <si>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</si>
  <si>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</si>
  <si>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</si>
  <si>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</si>
  <si>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</si>
  <si>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</si>
  <si>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</si>
  <si>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</si>
  <si>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</si>
  <si>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</si>
  <si>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</si>
  <si>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</si>
  <si>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</si>
  <si>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</si>
  <si>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</si>
  <si>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</si>
  <si>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</si>
  <si>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</si>
  <si>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</si>
  <si>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</si>
  <si>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</si>
  <si>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</si>
  <si>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</si>
  <si>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</si>
  <si>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</si>
  <si>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</si>
  <si>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</si>
  <si>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</si>
  <si>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</si>
  <si>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</si>
  <si>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</si>
  <si>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</si>
  <si>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</si>
  <si>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</si>
  <si>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</si>
  <si>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</si>
  <si>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</si>
  <si>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</si>
  <si>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</si>
  <si>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</si>
  <si>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</si>
  <si>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</si>
  <si>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</si>
  <si>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</si>
  <si>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</si>
  <si>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</si>
  <si>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</si>
  <si>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</si>
  <si>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</si>
  <si>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</si>
  <si>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</si>
  <si>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</si>
  <si>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</si>
  <si>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</si>
  <si>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</si>
  <si>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</si>
  <si>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</si>
  <si>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</si>
  <si>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</si>
  <si>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</si>
  <si>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</si>
  <si>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</si>
  <si>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</si>
  <si>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</si>
  <si>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</si>
  <si>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</si>
  <si>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</si>
  <si>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</si>
  <si>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</si>
  <si>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</si>
  <si>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</si>
  <si>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</si>
  <si>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</si>
  <si>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</si>
  <si>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</si>
  <si>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</si>
  <si>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</si>
  <si>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</si>
  <si>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</si>
  <si>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</si>
  <si>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</si>
  <si>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</si>
  <si>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</si>
  <si>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</si>
  <si>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</si>
  <si>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</si>
  <si>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</si>
  <si>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</si>
  <si>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</si>
  <si>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</si>
  <si>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</si>
  <si>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</si>
  <si>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</si>
  <si>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</si>
  <si>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</si>
  <si>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</si>
  <si>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</si>
  <si>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</si>
  <si>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</si>
  <si>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</si>
  <si>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</si>
  <si>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</si>
  <si>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</si>
  <si>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</si>
  <si>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</si>
  <si>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</si>
  <si>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</si>
  <si>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</si>
  <si>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</si>
  <si>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</si>
  <si>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</si>
  <si>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</si>
  <si>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</si>
  <si>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</si>
  <si>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</si>
  <si>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</si>
  <si>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</si>
  <si>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</si>
  <si>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</si>
  <si>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</si>
  <si>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</si>
  <si>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</si>
  <si>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</si>
  <si>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</si>
  <si>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</si>
  <si>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</si>
  <si>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</si>
  <si>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</si>
  <si>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</si>
  <si>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</si>
  <si>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</si>
  <si>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</si>
  <si>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</si>
  <si>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</si>
  <si>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</si>
  <si>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</si>
  <si>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</si>
  <si>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</si>
  <si>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</si>
  <si>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</si>
  <si>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</si>
  <si>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</si>
  <si>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</si>
  <si>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</si>
  <si>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</si>
  <si>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</si>
  <si>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</si>
  <si>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</si>
  <si>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</si>
  <si>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</si>
  <si>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</si>
  <si>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</si>
  <si>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</si>
  <si>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</si>
  <si>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</si>
  <si>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</si>
  <si>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</si>
  <si>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</si>
  <si>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</si>
  <si>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</si>
  <si>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</si>
  <si>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</si>
  <si>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</si>
  <si>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</si>
  <si>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</si>
  <si>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</si>
  <si>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</si>
  <si>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</si>
  <si>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</si>
  <si>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</si>
  <si>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</si>
  <si>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</si>
  <si>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</si>
  <si>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</si>
  <si>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</si>
  <si>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</si>
  <si>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</si>
  <si>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</si>
  <si>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</si>
  <si>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</si>
  <si>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</si>
  <si>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</si>
  <si>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</si>
  <si>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</si>
  <si>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</si>
  <si>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</si>
  <si>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</si>
  <si>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</si>
  <si>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</si>
  <si>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</si>
  <si>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</si>
  <si>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</si>
  <si>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</si>
  <si>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</si>
  <si>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</si>
  <si>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</si>
  <si>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</si>
  <si>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</si>
  <si>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</si>
  <si>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</si>
  <si>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</si>
  <si>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</si>
  <si>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</si>
  <si>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</si>
  <si>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</si>
  <si>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</si>
  <si>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</si>
  <si>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</si>
  <si>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</si>
  <si>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</si>
  <si>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</si>
  <si>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</si>
  <si>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</si>
  <si>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</si>
  <si>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</si>
  <si>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</si>
  <si>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</si>
  <si>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</si>
  <si>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</si>
  <si>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</si>
  <si>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</si>
  <si>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</si>
  <si>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</si>
  <si>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</si>
  <si>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</si>
  <si>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</si>
  <si>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</si>
  <si>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</si>
  <si>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</si>
  <si>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</si>
  <si>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</si>
  <si>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</si>
  <si>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</si>
  <si>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</si>
  <si>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</si>
  <si>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</si>
  <si>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</si>
  <si>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</si>
  <si>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</si>
  <si>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</si>
  <si>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</si>
  <si>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</si>
  <si>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</si>
  <si>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</si>
  <si>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</si>
  <si>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</si>
  <si>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</si>
  <si>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</si>
  <si>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</si>
  <si>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</si>
  <si>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</si>
  <si>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</si>
  <si>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</si>
  <si>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</si>
  <si>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</si>
  <si>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</si>
  <si>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</si>
  <si>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</si>
  <si>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</si>
  <si>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</si>
  <si>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</si>
  <si>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</si>
  <si>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</si>
  <si>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</si>
  <si>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</si>
  <si>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</si>
  <si>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</si>
  <si>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</si>
  <si>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</si>
  <si>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</si>
  <si>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</si>
  <si>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</si>
  <si>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</si>
  <si>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</si>
  <si>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</si>
  <si>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</si>
  <si>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</si>
  <si>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</si>
  <si>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</si>
  <si>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</si>
  <si>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</si>
  <si>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</si>
  <si>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</si>
  <si>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</si>
  <si>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</si>
  <si>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</si>
  <si>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</si>
  <si>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</si>
  <si>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</si>
  <si>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</si>
  <si>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</si>
  <si>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</si>
  <si>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</si>
  <si>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</si>
  <si>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</si>
  <si>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</si>
  <si>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</si>
  <si>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</si>
  <si>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</si>
  <si>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</si>
  <si>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</si>
  <si>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</si>
  <si>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</si>
  <si>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</si>
  <si>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</si>
  <si>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</si>
  <si>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</si>
  <si>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</si>
  <si>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</si>
  <si>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</si>
  <si>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</si>
  <si>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</si>
  <si>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</si>
  <si>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</si>
  <si>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</si>
  <si>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</si>
  <si>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</si>
  <si>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</si>
  <si>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</si>
  <si>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</si>
  <si>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</si>
  <si>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</si>
  <si>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</si>
  <si>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</si>
  <si>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</si>
  <si>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</si>
  <si>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</si>
  <si>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</si>
  <si>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</si>
  <si>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</si>
  <si>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</si>
  <si>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</si>
  <si>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</si>
  <si>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</si>
  <si>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</si>
  <si>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</si>
  <si>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</si>
  <si>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</si>
  <si>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</si>
  <si>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</si>
  <si>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</si>
  <si>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</si>
  <si>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</si>
  <si>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</si>
  <si>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</si>
  <si>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</si>
  <si>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</si>
  <si>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</si>
  <si>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</si>
  <si>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</si>
  <si>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</si>
  <si>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</si>
  <si>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</si>
  <si>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</si>
  <si>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</si>
  <si>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</si>
  <si>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</si>
  <si>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</si>
  <si>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</si>
  <si>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</si>
  <si>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</si>
  <si>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</si>
  <si>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</si>
  <si>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</si>
  <si>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</si>
  <si>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</si>
  <si>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</si>
  <si>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</si>
  <si>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</si>
  <si>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</si>
  <si>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</si>
  <si>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</si>
  <si>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</si>
  <si>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</si>
  <si>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</si>
  <si>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</si>
  <si>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</si>
  <si>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</si>
  <si>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</si>
  <si>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</si>
  <si>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</si>
  <si>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</si>
  <si>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</si>
  <si>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</si>
  <si>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</si>
  <si>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</si>
  <si>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</si>
  <si>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</si>
  <si>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</si>
  <si>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</si>
  <si>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</si>
  <si>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</si>
  <si>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</si>
  <si>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</si>
  <si>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</si>
  <si>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</si>
  <si>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</si>
  <si>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</si>
  <si>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</si>
  <si>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</si>
  <si>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</si>
  <si>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</si>
  <si>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</si>
  <si>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</si>
  <si>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</si>
  <si>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</si>
  <si>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</si>
  <si>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</si>
  <si>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</si>
  <si>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</si>
  <si>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</si>
  <si>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</si>
  <si>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</si>
  <si>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</si>
  <si>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</si>
  <si>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</si>
  <si>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</si>
  <si>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</si>
  <si>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</si>
  <si>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</si>
  <si>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</si>
  <si>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</si>
  <si>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</si>
  <si>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</si>
  <si>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</si>
  <si>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</si>
  <si>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</si>
  <si>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</si>
  <si>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</si>
  <si>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</si>
  <si>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</si>
  <si>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</si>
  <si>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</si>
  <si>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</si>
  <si>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</si>
  <si>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</si>
  <si>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</si>
  <si>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</si>
  <si>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</si>
  <si>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</si>
  <si>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</si>
  <si>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</si>
  <si>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</si>
  <si>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</si>
  <si>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</si>
  <si>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</si>
  <si>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</si>
  <si>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</si>
  <si>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</si>
  <si>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</si>
  <si>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</si>
  <si>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</si>
  <si>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</si>
  <si>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</si>
  <si>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</si>
  <si>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</si>
  <si>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</si>
  <si>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</si>
  <si>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</si>
  <si>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</si>
  <si>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</si>
  <si>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</si>
  <si>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</si>
  <si>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</si>
  <si>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</si>
  <si>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</si>
  <si>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</si>
  <si>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</si>
  <si>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</si>
  <si>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</si>
  <si>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</si>
  <si>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</si>
  <si>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</si>
  <si>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</si>
  <si>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</si>
  <si>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</si>
  <si>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</si>
  <si>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</si>
  <si>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</si>
  <si>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</si>
  <si>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</si>
  <si>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</si>
  <si>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</si>
  <si>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</si>
  <si>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</si>
  <si>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</si>
  <si>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</si>
  <si>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</si>
  <si>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</si>
  <si>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</si>
  <si>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</si>
  <si>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</si>
  <si>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</si>
  <si>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</si>
  <si>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</si>
  <si>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</si>
  <si>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</si>
  <si>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</si>
  <si>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</si>
  <si>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</si>
  <si>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</si>
  <si>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</si>
  <si>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</si>
  <si>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</si>
  <si>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</si>
  <si>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</si>
  <si>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</si>
  <si>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</si>
  <si>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</si>
  <si>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</si>
  <si>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</si>
  <si>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</si>
  <si>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</si>
  <si>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</si>
  <si>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</si>
  <si>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</si>
  <si>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</si>
  <si>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</si>
  <si>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</si>
  <si>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</si>
  <si>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</si>
  <si>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</si>
  <si>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</si>
  <si>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</si>
  <si>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</si>
  <si>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</si>
  <si>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</si>
  <si>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</si>
  <si>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</si>
  <si>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</si>
  <si>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</si>
  <si>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</si>
  <si>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</si>
  <si>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</si>
  <si>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</si>
  <si>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</si>
  <si>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</si>
  <si>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</si>
  <si>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</si>
  <si>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</si>
  <si>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</si>
  <si>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</si>
  <si>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</si>
  <si>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</si>
  <si>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</si>
  <si>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</si>
  <si>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</si>
  <si>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</si>
  <si>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</si>
  <si>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</si>
  <si>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</si>
  <si>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</si>
  <si>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</si>
  <si>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</si>
  <si>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</si>
  <si>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</si>
  <si>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</si>
  <si>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</si>
  <si>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</si>
  <si>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</si>
  <si>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</si>
  <si>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</si>
  <si>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</si>
  <si>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</si>
  <si>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</si>
  <si>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</si>
  <si>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</si>
  <si>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</si>
  <si>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</si>
  <si>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</si>
  <si>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</si>
  <si>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</si>
  <si>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</si>
  <si>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</si>
  <si>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</si>
  <si>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</si>
  <si>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</si>
  <si>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</si>
  <si>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</si>
  <si>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</si>
  <si>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</si>
  <si>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</si>
  <si>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</si>
  <si>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</si>
  <si>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</si>
  <si>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</si>
  <si>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</si>
  <si>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</si>
  <si>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</si>
  <si>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</si>
  <si>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</si>
  <si>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</si>
  <si>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</si>
  <si>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</si>
  <si>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</si>
  <si>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</si>
  <si>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</si>
  <si>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</si>
  <si>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</si>
  <si>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</si>
  <si>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</si>
  <si>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</si>
  <si>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</si>
  <si>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</si>
  <si>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</si>
  <si>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</si>
  <si>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</si>
  <si>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</si>
  <si>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</si>
  <si>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</si>
  <si>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</si>
  <si>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</si>
  <si>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</si>
  <si>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</si>
  <si>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</si>
  <si>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</si>
  <si>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</si>
  <si>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</si>
  <si>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</si>
  <si>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</si>
  <si>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</si>
  <si>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</si>
  <si>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</si>
  <si>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</si>
  <si>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</si>
  <si>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</si>
  <si>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</si>
  <si>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</si>
  <si>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</si>
  <si>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</si>
  <si>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</si>
  <si>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</si>
  <si>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</si>
  <si>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</si>
  <si>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</si>
  <si>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</si>
  <si>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</si>
  <si>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</si>
  <si>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</si>
  <si>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</si>
  <si>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</si>
  <si>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</si>
  <si>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</si>
  <si>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</si>
  <si>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</si>
  <si>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</si>
  <si>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</si>
  <si>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</si>
  <si>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</si>
  <si>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</si>
  <si>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</si>
  <si>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</si>
  <si>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</si>
  <si>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</si>
  <si>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</si>
  <si>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</si>
  <si>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</si>
  <si>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</si>
  <si>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</si>
  <si>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</si>
  <si>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</si>
  <si>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</si>
  <si>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</si>
  <si>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</si>
  <si>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</si>
  <si>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</si>
  <si>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</si>
  <si>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</si>
  <si>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</si>
  <si>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</si>
  <si>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</si>
  <si>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</si>
  <si>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</si>
  <si>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</si>
  <si>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</si>
  <si>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</si>
  <si>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</si>
  <si>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</si>
  <si>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</si>
  <si>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</si>
  <si>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</si>
  <si>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</si>
  <si>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</si>
  <si>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</si>
  <si>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</si>
  <si>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</si>
  <si>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</si>
  <si>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</si>
  <si>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</si>
  <si>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</si>
  <si>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</si>
  <si>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</si>
  <si>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</si>
  <si>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</si>
  <si>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</si>
  <si>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</si>
  <si>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</si>
  <si>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</si>
  <si>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</si>
  <si>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</si>
  <si>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</si>
  <si>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</si>
  <si>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</si>
  <si>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</si>
  <si>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</si>
  <si>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</si>
  <si>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</si>
  <si>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</si>
  <si>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</si>
  <si>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</si>
  <si>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</si>
  <si>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</si>
  <si>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</si>
  <si>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</si>
  <si>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</si>
  <si>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</si>
  <si>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</si>
  <si>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</si>
  <si>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</si>
  <si>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</si>
  <si>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</si>
  <si>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</si>
  <si>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</si>
  <si>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</si>
  <si>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</si>
  <si>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</si>
  <si>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</si>
  <si>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</si>
  <si>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</si>
  <si>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</si>
  <si>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</si>
  <si>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</si>
  <si>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</si>
  <si>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</si>
  <si>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</si>
  <si>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</si>
  <si>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</si>
  <si>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</si>
  <si>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</si>
  <si>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</si>
  <si>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</si>
  <si>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</si>
  <si>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</si>
  <si>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</si>
  <si>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</si>
  <si>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</si>
  <si>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</si>
  <si>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</si>
  <si>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</si>
  <si>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</si>
  <si>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</si>
  <si>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</si>
  <si>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</si>
  <si>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</si>
  <si>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</si>
  <si>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</si>
  <si>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</si>
  <si>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</si>
  <si>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</si>
  <si>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</si>
  <si>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</si>
  <si>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</si>
  <si>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</si>
  <si>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</si>
  <si>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</si>
  <si>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</si>
  <si>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</si>
  <si>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</si>
  <si>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</si>
  <si>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</si>
  <si>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</si>
  <si>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</si>
  <si>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</si>
  <si>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</si>
  <si>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</si>
  <si>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</si>
  <si>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</si>
  <si>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</si>
  <si>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</si>
  <si>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</si>
  <si>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</si>
  <si>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</si>
  <si>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</si>
  <si>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</si>
  <si>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</si>
  <si>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</si>
  <si>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</si>
  <si>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</si>
  <si>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</si>
  <si>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</si>
  <si>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</si>
  <si>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</si>
  <si>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</si>
  <si>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</si>
  <si>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</si>
  <si>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</si>
  <si>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</si>
  <si>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</si>
  <si>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</si>
  <si>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</si>
  <si>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</si>
  <si>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</si>
  <si>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</si>
  <si>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</si>
  <si>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</si>
  <si>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</si>
  <si>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</si>
  <si>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</si>
  <si>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</si>
  <si>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</si>
  <si>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</si>
  <si>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</si>
  <si>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</si>
  <si>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</si>
  <si>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</si>
  <si>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</si>
  <si>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</si>
  <si>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</si>
  <si>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</si>
  <si>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</si>
  <si>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</si>
  <si>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</si>
  <si>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</si>
  <si>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</si>
  <si>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</si>
  <si>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</si>
  <si>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</si>
  <si>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</si>
  <si>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</si>
  <si>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</si>
  <si>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</si>
  <si>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</si>
  <si>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</si>
  <si>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</si>
  <si>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</si>
  <si>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</si>
  <si>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</si>
  <si>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</si>
  <si>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</si>
  <si>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</si>
  <si>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</si>
  <si>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</si>
  <si>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</si>
  <si>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</si>
  <si>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</si>
  <si>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</si>
  <si>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</si>
  <si>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</si>
  <si>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</si>
  <si>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</si>
  <si>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</si>
  <si>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</si>
  <si>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</si>
  <si>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</si>
  <si>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</si>
  <si>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</si>
  <si>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</si>
  <si>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</si>
  <si>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</si>
  <si>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</si>
  <si>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</si>
  <si>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</si>
  <si>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</si>
  <si>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</si>
  <si>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</si>
  <si>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</si>
  <si>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</si>
  <si>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</si>
  <si>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</si>
  <si>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</si>
  <si>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</si>
  <si>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</si>
  <si>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</si>
  <si>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</si>
  <si>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</si>
  <si>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</si>
  <si>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</si>
  <si>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</si>
  <si>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</si>
  <si>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</si>
  <si>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</si>
  <si>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</si>
  <si>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</si>
  <si>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</si>
  <si>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</si>
  <si>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</si>
  <si>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</si>
  <si>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</si>
  <si>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</si>
  <si>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</si>
  <si>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</si>
  <si>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</si>
  <si>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</si>
  <si>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</si>
  <si>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</si>
  <si>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</si>
  <si>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</si>
  <si>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</si>
  <si>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</si>
  <si>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</si>
  <si>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</si>
  <si>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</si>
  <si>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</si>
  <si>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</si>
  <si>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</si>
  <si>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</si>
  <si>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</si>
  <si>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</si>
  <si>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</si>
  <si>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</si>
  <si>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</si>
  <si>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</si>
  <si>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</si>
  <si>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</si>
  <si>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</si>
  <si>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</si>
  <si>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</si>
  <si>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</si>
  <si>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</si>
  <si>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</si>
  <si>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</si>
  <si>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</si>
  <si>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</si>
  <si>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</si>
  <si>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</si>
  <si>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</si>
  <si>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</si>
  <si>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</si>
  <si>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</si>
  <si>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</si>
  <si>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</si>
  <si>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</si>
  <si>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</si>
  <si>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</si>
  <si>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</si>
  <si>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</si>
  <si>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</si>
  <si>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</si>
  <si>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</si>
  <si>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</si>
  <si>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</si>
  <si>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</si>
  <si>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</si>
  <si>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</si>
  <si>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</si>
  <si>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</si>
  <si>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</si>
  <si>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</si>
  <si>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</si>
  <si>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</si>
  <si>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</si>
  <si>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</si>
  <si>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</si>
  <si>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</si>
  <si>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</si>
  <si>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</si>
  <si>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</si>
  <si>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</si>
  <si>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</si>
  <si>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</si>
  <si>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</si>
  <si>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</si>
  <si>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</si>
  <si>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</si>
  <si>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</si>
  <si>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</si>
  <si>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</si>
  <si>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</si>
  <si>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</si>
  <si>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</si>
  <si>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</si>
  <si>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</si>
  <si>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</si>
  <si>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</si>
  <si>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</si>
  <si>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</si>
  <si>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</si>
  <si>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</si>
  <si>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</si>
  <si>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</si>
  <si>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</si>
  <si>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</si>
  <si>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</si>
  <si>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</si>
  <si>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</si>
  <si>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</si>
  <si>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</si>
  <si>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</si>
  <si>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</si>
  <si>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</si>
  <si>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</si>
  <si>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</si>
  <si>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</si>
  <si>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</si>
  <si>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</si>
  <si>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</si>
  <si>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</si>
  <si>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</si>
  <si>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</si>
  <si>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</si>
  <si>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</si>
  <si>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</si>
  <si>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</si>
  <si>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</si>
  <si>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</si>
  <si>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</si>
  <si>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</si>
  <si>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</si>
  <si>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</si>
  <si>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</si>
  <si>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</si>
  <si>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</si>
  <si>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</si>
  <si>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</si>
  <si>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</si>
  <si>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</si>
  <si>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</si>
  <si>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</si>
  <si>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</si>
  <si>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</si>
  <si>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</si>
  <si>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</si>
  <si>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</si>
  <si>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</si>
  <si>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</si>
  <si>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</si>
  <si>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</si>
  <si>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</si>
  <si>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</si>
  <si>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</si>
  <si>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</si>
  <si>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</si>
  <si>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</si>
  <si>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</si>
  <si>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</si>
  <si>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</si>
  <si>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</si>
  <si>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</si>
  <si>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</si>
  <si>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</si>
  <si>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</si>
  <si>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</si>
  <si>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</si>
  <si>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</si>
  <si>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</si>
  <si>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</si>
  <si>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</si>
  <si>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</si>
  <si>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</si>
  <si>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</si>
  <si>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</si>
  <si>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</si>
  <si>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</si>
  <si>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</si>
  <si>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</si>
  <si>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</si>
  <si>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</si>
  <si>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</si>
  <si>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</si>
  <si>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</si>
  <si>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</si>
  <si>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</si>
  <si>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</si>
  <si>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</si>
  <si>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</si>
  <si>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</si>
  <si>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</si>
  <si>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</si>
  <si>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</si>
  <si>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</si>
  <si>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</si>
  <si>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</si>
  <si>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</si>
  <si>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</si>
  <si>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</si>
  <si>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</si>
  <si>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</si>
  <si>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</si>
  <si>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</si>
  <si>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</si>
  <si>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</si>
  <si>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</si>
  <si>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</si>
  <si>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</si>
  <si>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</si>
  <si>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</si>
  <si>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</si>
  <si>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</si>
  <si>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</si>
  <si>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</si>
  <si>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</si>
  <si>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</si>
  <si>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</si>
  <si>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</si>
  <si>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</si>
  <si>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</si>
  <si>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</si>
  <si>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</si>
  <si>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</si>
  <si>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</si>
  <si>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</si>
  <si>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</si>
  <si>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</si>
  <si>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</si>
  <si>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</si>
  <si>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</si>
  <si>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</si>
  <si>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</si>
  <si>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</si>
  <si>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</si>
  <si>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</si>
  <si>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</si>
  <si>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</si>
  <si>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</si>
  <si>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</si>
  <si>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</si>
  <si>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</si>
  <si>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</si>
  <si>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</si>
  <si>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</si>
  <si>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</si>
  <si>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</si>
  <si>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</si>
  <si>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</si>
  <si>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</si>
  <si>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</si>
  <si>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</si>
  <si>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</si>
  <si>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</si>
  <si>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</si>
  <si>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</si>
  <si>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</si>
  <si>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</si>
  <si>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</si>
  <si>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</si>
  <si>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</si>
  <si>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</si>
  <si>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</si>
  <si>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</si>
  <si>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</si>
  <si>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</si>
  <si>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</si>
  <si>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</si>
  <si>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</si>
  <si>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</si>
  <si>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</si>
  <si>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</si>
  <si>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</si>
  <si>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</si>
  <si>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</si>
  <si>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</si>
  <si>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</si>
  <si>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</si>
  <si>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</si>
  <si>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</si>
  <si>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</si>
  <si>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</si>
  <si>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</si>
  <si>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</si>
  <si>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</si>
  <si>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</si>
  <si>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</si>
  <si>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</si>
  <si>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</si>
  <si>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</si>
  <si>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</si>
  <si>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</si>
  <si>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</si>
  <si>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</si>
  <si>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</si>
  <si>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</si>
  <si>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</si>
  <si>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</si>
  <si>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</si>
  <si>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</si>
  <si>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</si>
  <si>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</si>
  <si>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</si>
  <si>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</si>
  <si>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</si>
  <si>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</si>
  <si>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</si>
  <si>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</si>
  <si>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</si>
  <si>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</si>
  <si>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</si>
  <si>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</si>
  <si>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</si>
  <si>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</si>
  <si>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</si>
  <si>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</si>
  <si>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</si>
  <si>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</si>
  <si>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</si>
  <si>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</si>
  <si>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</si>
  <si>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</si>
  <si>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</si>
  <si>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</si>
  <si>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</si>
  <si>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</si>
  <si>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</si>
  <si>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</si>
  <si>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</si>
  <si>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</si>
  <si>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</si>
  <si>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</si>
  <si>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</si>
  <si>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</si>
  <si>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</si>
  <si>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</si>
  <si>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</si>
  <si>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</si>
  <si>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</si>
  <si>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</si>
  <si>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</si>
  <si>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</si>
  <si>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</si>
  <si>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</si>
  <si>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</si>
  <si>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</si>
  <si>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</si>
  <si>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</si>
  <si>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</si>
  <si>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</si>
  <si>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</si>
  <si>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</si>
  <si>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</si>
  <si>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</si>
  <si>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</si>
  <si>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</si>
  <si>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</si>
  <si>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</si>
  <si>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</si>
  <si>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</si>
  <si>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</si>
  <si>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</si>
  <si>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</si>
  <si>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</si>
  <si>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</si>
  <si>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</si>
  <si>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</si>
  <si>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</si>
  <si>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</si>
  <si>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</si>
  <si>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</si>
  <si>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</si>
  <si>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</si>
  <si>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</si>
  <si>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</si>
  <si>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</si>
  <si>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</si>
  <si>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</si>
  <si>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</si>
  <si>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</si>
  <si>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</si>
  <si>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</si>
  <si>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</si>
  <si>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</si>
  <si>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</si>
  <si>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</si>
  <si>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</si>
  <si>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</si>
  <si>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</si>
  <si>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</si>
  <si>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</si>
  <si>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</si>
  <si>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</si>
  <si>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</si>
  <si>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</si>
  <si>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</si>
  <si>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</si>
  <si>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</si>
  <si>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</si>
  <si>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</si>
  <si>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</si>
  <si>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</si>
  <si>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</si>
  <si>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</si>
  <si>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</si>
  <si>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</si>
  <si>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</si>
  <si>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</si>
  <si>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</si>
  <si>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</si>
  <si>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</si>
  <si>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</si>
  <si>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</si>
  <si>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</si>
  <si>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</si>
  <si>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</si>
  <si>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</si>
  <si>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</si>
  <si>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</si>
  <si>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</si>
  <si>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</si>
  <si>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</si>
  <si>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</si>
  <si>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</si>
  <si>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</si>
  <si>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</si>
  <si>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</si>
  <si>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</si>
  <si>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</si>
  <si>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</si>
  <si>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</si>
  <si>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</si>
  <si>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</si>
  <si>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</si>
  <si>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</si>
  <si>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</si>
  <si>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</si>
  <si>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</si>
  <si>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</si>
  <si>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</si>
  <si>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</si>
  <si>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</si>
  <si>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</si>
  <si>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</si>
  <si>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</si>
  <si>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</si>
  <si>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</si>
  <si>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</si>
  <si>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</si>
  <si>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</si>
  <si>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</si>
  <si>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</si>
  <si>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</si>
  <si>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</si>
  <si>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</si>
  <si>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</si>
  <si>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</si>
  <si>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</si>
  <si>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</si>
  <si>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</si>
  <si>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</si>
  <si>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</si>
  <si>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</si>
  <si>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</si>
  <si>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</si>
  <si>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</si>
  <si>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</si>
  <si>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</si>
  <si>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</si>
  <si>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</si>
  <si>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</si>
  <si>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</si>
  <si>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</si>
  <si>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</si>
  <si>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</si>
  <si>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</si>
  <si>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</si>
  <si>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</si>
  <si>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</si>
  <si>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</si>
  <si>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</si>
  <si>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</si>
  <si>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</si>
  <si>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</si>
  <si>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</si>
  <si>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</si>
  <si>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</si>
  <si>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</si>
  <si>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</si>
  <si>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</si>
  <si>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</si>
  <si>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</si>
  <si>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</si>
  <si>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</si>
  <si>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</si>
  <si>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</si>
  <si>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</si>
  <si>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</si>
  <si>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</si>
  <si>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</si>
  <si>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</si>
  <si>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</si>
  <si>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</si>
  <si>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</si>
  <si>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</si>
  <si>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</si>
  <si>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</si>
  <si>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</si>
  <si>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</si>
  <si>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</si>
  <si>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</si>
  <si>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</si>
  <si>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</si>
  <si>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</si>
  <si>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</si>
  <si>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</si>
  <si>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</si>
  <si>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</si>
  <si>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</si>
  <si>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</si>
  <si>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</si>
  <si>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</si>
  <si>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</si>
  <si>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</si>
  <si>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</si>
  <si>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</si>
  <si>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</si>
  <si>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</si>
  <si>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</si>
  <si>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</si>
  <si>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</si>
  <si>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</si>
  <si>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</si>
  <si>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</si>
  <si>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</si>
  <si>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</si>
  <si>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</si>
  <si>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</si>
  <si>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</si>
  <si>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</si>
  <si>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</si>
  <si>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</si>
  <si>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</si>
  <si>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</si>
  <si>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</si>
  <si>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</si>
  <si>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</si>
  <si>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</si>
  <si>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</si>
  <si>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</si>
  <si>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</si>
  <si>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</si>
  <si>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</si>
  <si>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</si>
  <si>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</si>
  <si>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</si>
  <si>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</si>
  <si>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</si>
  <si>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</si>
  <si>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</si>
  <si>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</si>
  <si>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</si>
  <si>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</si>
  <si>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</si>
  <si>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</si>
  <si>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</si>
  <si>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</si>
  <si>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</si>
  <si>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</si>
  <si>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</si>
  <si>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</si>
  <si>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</si>
  <si>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</si>
  <si>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</si>
  <si>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</si>
  <si>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</si>
  <si>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</si>
  <si>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</si>
  <si>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</si>
  <si>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</si>
  <si>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</si>
  <si>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</si>
  <si>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</si>
  <si>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</si>
  <si>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</si>
  <si>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</si>
  <si>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</si>
  <si>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</si>
  <si>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</si>
  <si>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</si>
  <si>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</si>
  <si>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</si>
  <si>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</si>
  <si>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</si>
  <si>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</si>
  <si>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</si>
  <si>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</si>
  <si>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</si>
  <si>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</si>
  <si>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</si>
  <si>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</si>
  <si>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</si>
  <si>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</si>
  <si>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</si>
  <si>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</si>
  <si>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</si>
  <si>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</si>
  <si>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</si>
  <si>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</si>
  <si>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</si>
  <si>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</si>
  <si>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</si>
  <si>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</si>
  <si>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</si>
  <si>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</si>
  <si>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</si>
  <si>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</si>
  <si>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</si>
  <si>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</si>
  <si>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</si>
  <si>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</si>
  <si>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</si>
  <si>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</si>
  <si>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</si>
  <si>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</si>
  <si>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</si>
  <si>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</si>
  <si>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</si>
  <si>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</si>
  <si>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</si>
  <si>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</si>
  <si>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</si>
  <si>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</si>
  <si>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</si>
  <si>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</si>
  <si>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</si>
  <si>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</si>
  <si>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</si>
  <si>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</si>
  <si>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</si>
  <si>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</si>
  <si>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</si>
  <si>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</si>
  <si>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</si>
  <si>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</si>
  <si>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</si>
  <si>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</si>
  <si>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</si>
  <si>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</si>
  <si>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</si>
  <si>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</si>
  <si>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</si>
  <si>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</si>
  <si>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</si>
  <si>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</si>
  <si>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</si>
  <si>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</si>
  <si>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</si>
  <si>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</si>
  <si>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</si>
  <si>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</si>
  <si>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</si>
  <si>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</si>
  <si>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</si>
  <si>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</si>
  <si>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</si>
  <si>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</si>
  <si>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</si>
  <si>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</si>
  <si>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</si>
  <si>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</si>
  <si>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</si>
  <si>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</si>
  <si>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</si>
  <si>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</si>
  <si>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</si>
  <si>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</si>
  <si>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</si>
  <si>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</si>
  <si>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</si>
  <si>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</si>
  <si>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</si>
  <si>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</si>
  <si>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</si>
  <si>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</si>
  <si>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</si>
  <si>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</si>
  <si>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</si>
  <si>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</si>
  <si>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</si>
  <si>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</si>
  <si>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</si>
  <si>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</si>
  <si>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</si>
  <si>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</si>
  <si>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</si>
  <si>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</si>
  <si>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</si>
  <si>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</si>
  <si>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</si>
  <si>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</si>
  <si>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</si>
  <si>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</si>
  <si>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</si>
  <si>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</si>
  <si>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</si>
  <si>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</si>
  <si>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</si>
  <si>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</si>
  <si>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</si>
  <si>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</si>
  <si>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</si>
  <si>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</si>
  <si>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</si>
  <si>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</si>
  <si>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</si>
  <si>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</si>
  <si>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</si>
  <si>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</si>
  <si>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</si>
  <si>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</si>
  <si>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</si>
  <si>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</si>
  <si>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</si>
  <si>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</si>
  <si>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</si>
  <si>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</si>
  <si>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</si>
  <si>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</si>
  <si>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</si>
  <si>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</si>
  <si>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</si>
  <si>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</si>
  <si>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</si>
  <si>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</si>
  <si>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</si>
  <si>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</si>
  <si>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</si>
  <si>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</si>
  <si>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</si>
  <si>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</si>
  <si>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</si>
  <si>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</si>
  <si>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</si>
  <si>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</si>
  <si>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</si>
  <si>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</si>
  <si>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</si>
  <si>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</si>
  <si>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</si>
  <si>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</si>
  <si>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</si>
  <si>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</si>
  <si>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</si>
  <si>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</si>
  <si>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</si>
  <si>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</si>
  <si>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</si>
  <si>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</si>
  <si>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</si>
  <si>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</si>
  <si>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</si>
  <si>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</si>
  <si>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</si>
  <si>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</si>
  <si>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</si>
  <si>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</si>
  <si>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</si>
  <si>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</si>
  <si>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</si>
  <si>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</si>
  <si>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</si>
  <si>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</si>
  <si>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</si>
  <si>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</si>
  <si>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</si>
  <si>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</si>
  <si>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</si>
  <si>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</si>
  <si>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</si>
  <si>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</si>
  <si>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</si>
  <si>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</si>
  <si>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</si>
  <si>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</si>
  <si>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</si>
  <si>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</si>
  <si>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</si>
  <si>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</si>
  <si>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</si>
  <si>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</si>
  <si>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</si>
  <si>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</si>
  <si>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</si>
  <si>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</si>
  <si>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</si>
  <si>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</si>
  <si>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</si>
  <si>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</si>
  <si>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</si>
  <si>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</si>
  <si>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</si>
  <si>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</si>
  <si>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</si>
  <si>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</si>
  <si>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</si>
  <si>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</si>
  <si>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</si>
  <si>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</si>
  <si>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</si>
  <si>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</si>
  <si>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</si>
  <si>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</si>
  <si>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</si>
  <si>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</si>
  <si>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</si>
  <si>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</si>
  <si>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</si>
  <si>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</si>
  <si>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</si>
  <si>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</si>
  <si>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</si>
  <si>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</si>
  <si>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</si>
  <si>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</si>
  <si>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</si>
  <si>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</si>
  <si>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</si>
  <si>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</si>
  <si>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</si>
  <si>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</si>
  <si>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</si>
  <si>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</si>
  <si>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</si>
  <si>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</si>
  <si>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</si>
  <si>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</si>
  <si>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</si>
  <si>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</si>
  <si>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</si>
  <si>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</si>
  <si>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</si>
  <si>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</si>
  <si>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</si>
  <si>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</si>
  <si>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</si>
  <si>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</si>
  <si>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</si>
  <si>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</si>
  <si>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</si>
  <si>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</si>
  <si>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</si>
  <si>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</si>
  <si>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</si>
  <si>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</si>
  <si>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</si>
  <si>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</si>
  <si>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</si>
  <si>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</si>
  <si>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</si>
  <si>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</si>
  <si>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</si>
  <si>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</si>
  <si>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</si>
  <si>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</si>
  <si>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</si>
  <si>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</si>
  <si>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</si>
  <si>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</si>
  <si>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</si>
  <si>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</si>
  <si>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</si>
  <si>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</si>
  <si>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</si>
  <si>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</si>
  <si>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</si>
  <si>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</si>
  <si>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</si>
  <si>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</si>
  <si>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</si>
  <si>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</si>
  <si>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</si>
  <si>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</si>
  <si>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</si>
  <si>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</si>
  <si>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</si>
  <si>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</si>
  <si>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</si>
  <si>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</si>
  <si>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</si>
  <si>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</si>
  <si>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</si>
  <si>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</si>
  <si>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</si>
  <si>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</si>
  <si>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</si>
  <si>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</si>
  <si>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</si>
  <si>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</si>
  <si>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</si>
  <si>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</si>
  <si>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</si>
  <si>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</si>
  <si>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</si>
  <si>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</si>
  <si>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</si>
  <si>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</si>
  <si>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</si>
  <si>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</si>
  <si>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</si>
  <si>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</si>
  <si>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</si>
  <si>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</si>
  <si>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</si>
  <si>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</si>
  <si>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</si>
  <si>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</si>
  <si>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</si>
  <si>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</si>
  <si>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</si>
  <si>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</si>
  <si>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</si>
  <si>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</si>
  <si>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</si>
  <si>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</si>
  <si>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</si>
  <si>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</si>
  <si>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</si>
  <si>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</si>
  <si>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</si>
  <si>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</si>
  <si>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</si>
  <si>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</si>
  <si>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</si>
  <si>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</si>
  <si>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</si>
  <si>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</si>
  <si>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</si>
  <si>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</si>
  <si>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</si>
  <si>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</si>
  <si>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</si>
  <si>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</si>
  <si>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</si>
  <si>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</si>
  <si>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</si>
  <si>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</si>
  <si>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</si>
  <si>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</si>
  <si>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</si>
  <si>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</si>
  <si>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</si>
  <si>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</si>
  <si>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</si>
  <si>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</si>
  <si>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</si>
  <si>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</si>
  <si>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</si>
  <si>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</si>
  <si>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</si>
  <si>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</si>
  <si>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</si>
  <si>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</si>
  <si>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</si>
  <si>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</si>
  <si>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</si>
  <si>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</si>
  <si>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</si>
  <si>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</si>
  <si>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</si>
  <si>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</si>
  <si>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</si>
  <si>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</si>
  <si>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</si>
  <si>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</si>
  <si>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</si>
  <si>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</si>
  <si>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</si>
  <si>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</si>
  <si>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</si>
  <si>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</si>
  <si>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</si>
  <si>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</si>
  <si>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</si>
  <si>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</si>
  <si>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</si>
  <si>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</si>
  <si>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</si>
  <si>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</si>
  <si>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</si>
  <si>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</si>
  <si>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</si>
  <si>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</si>
  <si>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</si>
  <si>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</si>
  <si>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</si>
  <si>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</si>
  <si>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</si>
  <si>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</si>
  <si>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</si>
  <si>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</si>
  <si>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</si>
  <si>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</si>
  <si>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</si>
  <si>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</si>
  <si>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</si>
  <si>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</si>
  <si>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</si>
  <si>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</si>
  <si>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</si>
  <si>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</si>
  <si>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</si>
  <si>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</si>
  <si>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</si>
  <si>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</si>
  <si>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</si>
  <si>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</si>
  <si>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</si>
  <si>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</si>
  <si>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</si>
  <si>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</si>
  <si>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</si>
  <si>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</si>
  <si>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</si>
  <si>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</si>
  <si>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</si>
  <si>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</si>
  <si>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</si>
  <si>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</si>
  <si>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</si>
  <si>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</si>
  <si>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</si>
  <si>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</si>
  <si>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</si>
  <si>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</si>
  <si>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</si>
  <si>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</si>
  <si>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</si>
  <si>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</si>
  <si>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</si>
  <si>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</si>
  <si>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</si>
  <si>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</si>
  <si>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</si>
  <si>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</si>
  <si>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</si>
  <si>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</si>
  <si>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</si>
  <si>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</si>
  <si>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</si>
  <si>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</si>
  <si>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</si>
  <si>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</si>
  <si>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</si>
  <si>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</si>
  <si>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</si>
  <si>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</si>
  <si>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</si>
  <si>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</si>
  <si>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</si>
  <si>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</si>
  <si>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</si>
  <si>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</si>
  <si>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</si>
  <si>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</si>
  <si>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</si>
  <si>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</si>
  <si>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</si>
  <si>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</si>
  <si>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</si>
  <si>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</si>
  <si>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</si>
  <si>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</si>
  <si>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</si>
  <si>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</si>
  <si>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</si>
  <si>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</si>
  <si>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</si>
  <si>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</si>
  <si>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</si>
  <si>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</si>
  <si>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</si>
  <si>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</si>
  <si>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</si>
  <si>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</si>
  <si>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</si>
  <si>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</si>
  <si>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</si>
  <si>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</si>
  <si>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</si>
  <si>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</si>
  <si>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</si>
  <si>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</si>
  <si>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</si>
  <si>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</si>
  <si>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</si>
  <si>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</si>
  <si>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</si>
  <si>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</si>
  <si>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</si>
  <si>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</si>
  <si>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</si>
  <si>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</si>
  <si>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</si>
  <si>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</si>
  <si>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</si>
  <si>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</si>
  <si>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</si>
  <si>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</si>
  <si>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</si>
  <si>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</si>
  <si>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</si>
  <si>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</si>
  <si>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</si>
  <si>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</si>
  <si>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</si>
  <si>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</si>
  <si>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</si>
  <si>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</si>
  <si>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</si>
  <si>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</si>
  <si>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</si>
  <si>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</si>
  <si>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</si>
  <si>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</si>
  <si>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</si>
  <si>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</si>
  <si>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</si>
  <si>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</si>
  <si>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</si>
  <si>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</si>
  <si>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</si>
  <si>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</si>
  <si>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</si>
  <si>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</si>
  <si>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</si>
  <si>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</si>
  <si>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</si>
  <si>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</si>
  <si>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</si>
  <si>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</si>
  <si>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</si>
  <si>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</si>
  <si>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</si>
  <si>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</si>
  <si>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</si>
  <si>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</si>
  <si>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</si>
  <si>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</si>
  <si>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</si>
  <si>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</si>
  <si>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</si>
  <si>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</si>
  <si>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</si>
  <si>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</si>
  <si>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</si>
  <si>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</si>
  <si>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</si>
  <si>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</si>
  <si>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</si>
  <si>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</si>
  <si>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</si>
  <si>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</si>
  <si>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</si>
  <si>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</si>
  <si>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</si>
  <si>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</si>
  <si>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</si>
  <si>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</si>
  <si>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</si>
  <si>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</si>
  <si>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</si>
  <si>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</si>
  <si>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</si>
  <si>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</si>
  <si>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</si>
  <si>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</si>
  <si>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</si>
  <si>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</si>
  <si>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</si>
  <si>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</si>
  <si>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</si>
  <si>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</si>
  <si>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</si>
  <si>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</si>
  <si>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</si>
  <si>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</si>
  <si>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</si>
  <si>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</si>
  <si>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</si>
  <si>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</si>
  <si>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</si>
  <si>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</si>
  <si>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</si>
  <si>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</si>
  <si>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</si>
  <si>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</si>
  <si>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</si>
  <si>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</si>
  <si>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</si>
  <si>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</si>
  <si>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</si>
  <si>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</si>
  <si>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</si>
  <si>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</si>
  <si>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</si>
  <si>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</si>
  <si>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</si>
  <si>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</si>
  <si>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</si>
  <si>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</si>
  <si>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</si>
  <si>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</si>
  <si>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</si>
  <si>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</si>
  <si>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</si>
  <si>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</si>
  <si>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</si>
  <si>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</si>
  <si>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</si>
  <si>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</si>
  <si>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</si>
  <si>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</si>
  <si>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</si>
  <si>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</si>
  <si>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</si>
  <si>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</si>
  <si>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</si>
  <si>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</si>
  <si>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</si>
  <si>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</si>
  <si>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</si>
  <si>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</si>
  <si>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</si>
  <si>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</si>
  <si>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</si>
  <si>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</si>
  <si>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</si>
  <si>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</si>
  <si>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</si>
  <si>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</si>
  <si>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</si>
  <si>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</si>
  <si>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</si>
  <si>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</si>
  <si>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</si>
  <si>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</si>
  <si>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</si>
  <si>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</si>
  <si>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</si>
  <si>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</si>
  <si>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</si>
  <si>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</si>
  <si>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</si>
  <si>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</si>
  <si>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</si>
  <si>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</si>
  <si>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</si>
  <si>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</si>
  <si>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</si>
  <si>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</si>
  <si>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</si>
  <si>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</si>
  <si>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</si>
  <si>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</si>
  <si>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</si>
  <si>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</si>
  <si>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</si>
  <si>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</si>
  <si>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</si>
  <si>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</si>
  <si>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</si>
  <si>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</si>
  <si>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</si>
  <si>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</si>
  <si>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</si>
  <si>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</si>
  <si>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</si>
  <si>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</si>
  <si>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</si>
  <si>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</si>
  <si>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</si>
  <si>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</si>
  <si>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</si>
  <si>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</si>
  <si>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</si>
  <si>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</si>
  <si>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</si>
  <si>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</si>
  <si>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</si>
  <si>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</si>
  <si>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</si>
  <si>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</si>
  <si>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</si>
  <si>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</si>
  <si>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</si>
  <si>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</si>
  <si>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</si>
  <si>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</si>
  <si>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</si>
  <si>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</si>
  <si>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</si>
  <si>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</si>
  <si>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</si>
  <si>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</si>
  <si>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</si>
  <si>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</si>
  <si>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</si>
  <si>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</si>
  <si>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</si>
  <si>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</si>
  <si>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</si>
  <si>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</si>
  <si>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</si>
  <si>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</si>
  <si>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</si>
  <si>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</si>
  <si>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</si>
  <si>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</si>
  <si>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</si>
  <si>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</si>
  <si>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</si>
  <si>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</si>
  <si>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</si>
  <si>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</si>
  <si>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</si>
  <si>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</si>
  <si>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</si>
  <si>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</si>
  <si>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</si>
  <si>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</si>
  <si>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</si>
  <si>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</si>
  <si>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</si>
  <si>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</si>
  <si>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</si>
  <si>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</si>
  <si>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</si>
  <si>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</si>
  <si>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</si>
  <si>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</si>
  <si>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</si>
  <si>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</si>
  <si>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</si>
  <si>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</si>
  <si>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</si>
  <si>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</si>
  <si>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</si>
  <si>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</si>
  <si>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</si>
  <si>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</si>
  <si>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</si>
  <si>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</si>
  <si>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</si>
  <si>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</si>
  <si>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</si>
  <si>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</si>
  <si>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</si>
  <si>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</si>
  <si>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</si>
  <si>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</si>
  <si>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</si>
  <si>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</si>
  <si>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</si>
  <si>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</si>
  <si>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</si>
  <si>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</si>
  <si>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</si>
  <si>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</si>
  <si>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</si>
  <si>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</si>
  <si>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</si>
  <si>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</si>
  <si>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</si>
  <si>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</si>
  <si>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</si>
  <si>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</si>
  <si>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</si>
  <si>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</si>
  <si>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</si>
  <si>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</si>
  <si>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</si>
  <si>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</si>
  <si>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</si>
  <si>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</si>
  <si>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</si>
  <si>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</si>
  <si>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</si>
  <si>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</si>
  <si>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</si>
  <si>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</si>
  <si>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</si>
  <si>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</si>
  <si>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</si>
  <si>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</si>
  <si>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</si>
  <si>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</si>
  <si>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</si>
  <si>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</si>
  <si>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</si>
  <si>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</si>
  <si>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</si>
  <si>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</si>
  <si>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</si>
  <si>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</si>
  <si>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</si>
  <si>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</si>
  <si>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</si>
  <si>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</si>
  <si>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</si>
  <si>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</si>
  <si>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</si>
  <si>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</si>
  <si>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</si>
  <si>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</si>
  <si>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</si>
  <si>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</si>
  <si>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</si>
  <si>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</si>
  <si>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</si>
  <si>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</si>
  <si>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</si>
  <si>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</si>
  <si>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</si>
  <si>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</si>
  <si>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</si>
  <si>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</si>
  <si>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</si>
  <si>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</si>
  <si>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</si>
  <si>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</si>
  <si>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</si>
  <si>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</si>
  <si>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</si>
  <si>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</si>
  <si>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</si>
  <si>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</si>
  <si>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</si>
  <si>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</si>
  <si>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</si>
  <si>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</si>
  <si>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</si>
  <si>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</si>
  <si>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</si>
  <si>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</si>
  <si>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</si>
  <si>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</si>
  <si>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</si>
  <si>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</si>
  <si>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</si>
  <si>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</si>
  <si>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</si>
  <si>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</si>
  <si>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</si>
  <si>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</si>
  <si>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</si>
  <si>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</si>
  <si>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</si>
  <si>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</si>
  <si>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</si>
  <si>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</si>
  <si>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</si>
  <si>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</si>
  <si>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</si>
  <si>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</si>
  <si>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</si>
  <si>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</si>
  <si>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</si>
  <si>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</si>
  <si>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</si>
  <si>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</si>
  <si>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</si>
  <si>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</si>
  <si>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</si>
  <si>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</si>
  <si>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</si>
  <si>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</si>
  <si>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</si>
  <si>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</si>
  <si>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</si>
  <si>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</si>
  <si>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</si>
  <si>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</si>
  <si>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</si>
  <si>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</si>
  <si>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</si>
  <si>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</si>
  <si>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</si>
  <si>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</si>
  <si>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</si>
  <si>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</si>
  <si>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</si>
  <si>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</si>
  <si>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</si>
  <si>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</si>
  <si>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</si>
  <si>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</si>
  <si>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</si>
  <si>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</si>
  <si>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</si>
  <si>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</si>
  <si>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</si>
  <si>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</si>
  <si>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</si>
  <si>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</si>
  <si>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</si>
  <si>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</si>
  <si>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</si>
  <si>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</si>
  <si>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</si>
  <si>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</si>
  <si>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</si>
  <si>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</si>
  <si>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</si>
  <si>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</si>
  <si>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</si>
  <si>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</si>
  <si>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</si>
  <si>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</si>
  <si>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</si>
  <si>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</si>
  <si>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</si>
  <si>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</si>
  <si>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</si>
  <si>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</si>
  <si>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</si>
  <si>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</si>
  <si>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</si>
  <si>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</si>
  <si>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</si>
  <si>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</si>
  <si>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</si>
  <si>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</si>
  <si>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</si>
  <si>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</si>
  <si>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</si>
  <si>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</si>
  <si>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</si>
  <si>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</si>
  <si>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</si>
  <si>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</si>
  <si>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</si>
  <si>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</si>
  <si>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</si>
  <si>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</si>
  <si>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</si>
  <si>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</si>
  <si>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</si>
  <si>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</si>
  <si>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</si>
  <si>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</si>
  <si>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</si>
  <si>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</si>
  <si>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</si>
  <si>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</si>
  <si>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</si>
  <si>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</si>
  <si>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</si>
  <si>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</si>
  <si>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</si>
  <si>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</si>
  <si>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</si>
  <si>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</si>
  <si>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</si>
  <si>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</si>
  <si>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</si>
  <si>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</si>
  <si>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</si>
  <si>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</si>
  <si>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</si>
  <si>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</si>
  <si>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</si>
  <si>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</si>
  <si>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</si>
  <si>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</si>
  <si>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</si>
  <si>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</si>
  <si>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</si>
  <si>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</si>
  <si>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</si>
  <si>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</si>
  <si>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</si>
  <si>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</si>
  <si>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</si>
  <si>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</si>
  <si>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</si>
  <si>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</si>
  <si>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</si>
  <si>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</si>
  <si>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</si>
  <si>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</si>
  <si>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</si>
  <si>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</si>
  <si>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</si>
  <si>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</si>
  <si>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</si>
  <si>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</si>
  <si>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</si>
  <si>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</si>
  <si>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</si>
  <si>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</si>
  <si>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</si>
  <si>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</si>
  <si>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</si>
  <si>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</si>
  <si>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</si>
  <si>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</si>
  <si>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</si>
  <si>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</si>
  <si>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</si>
  <si>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</si>
  <si>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</si>
  <si>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</si>
  <si>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</si>
  <si>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</si>
  <si>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</si>
  <si>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</si>
  <si>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</si>
  <si>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</si>
  <si>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</si>
  <si>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</si>
  <si>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</si>
  <si>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</si>
  <si>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</si>
  <si>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</si>
  <si>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</si>
  <si>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</si>
  <si>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</si>
  <si>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</si>
  <si>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</si>
  <si>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</si>
  <si>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</si>
  <si>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</si>
  <si>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</si>
  <si>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</si>
  <si>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</si>
  <si>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</si>
  <si>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</si>
  <si>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</si>
  <si>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</si>
  <si>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</si>
  <si>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</si>
  <si>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</si>
  <si>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</si>
  <si>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</si>
  <si>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</si>
  <si>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</si>
  <si>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</si>
  <si>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</si>
  <si>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</si>
  <si>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</si>
  <si>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</si>
  <si>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</si>
  <si>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</si>
  <si>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</si>
  <si>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</si>
  <si>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</si>
  <si>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</si>
  <si>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</si>
  <si>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</si>
  <si>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</si>
  <si>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</si>
  <si>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</si>
  <si>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</si>
  <si>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</si>
  <si>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</si>
  <si>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</si>
  <si>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</si>
  <si>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</si>
  <si>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</si>
  <si>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</si>
  <si>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</si>
  <si>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</si>
  <si>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</si>
  <si>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</si>
  <si>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</si>
  <si>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</si>
  <si>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</si>
  <si>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</si>
  <si>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</si>
  <si>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</si>
  <si>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</si>
  <si>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</si>
  <si>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</si>
  <si>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</si>
  <si>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</si>
  <si>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</si>
  <si>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</si>
  <si>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</si>
  <si>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</si>
  <si>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</si>
  <si>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</si>
  <si>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</si>
  <si>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</si>
  <si>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</si>
  <si>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</si>
  <si>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</si>
  <si>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</si>
  <si>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</si>
  <si>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</si>
  <si>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</si>
  <si>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</si>
  <si>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</si>
  <si>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</si>
  <si>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</si>
  <si>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</si>
  <si>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</si>
  <si>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</si>
  <si>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</si>
  <si>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</si>
  <si>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</si>
  <si>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</si>
  <si>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</si>
  <si>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</si>
  <si>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</si>
  <si>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</si>
  <si>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</si>
  <si>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</si>
  <si>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</si>
  <si>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</si>
  <si>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</si>
  <si>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</si>
  <si>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</si>
  <si>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</si>
  <si>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</si>
  <si>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</si>
  <si>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</si>
  <si>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</si>
  <si>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</si>
  <si>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</si>
  <si>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</si>
  <si>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</si>
  <si>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</si>
  <si>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</si>
  <si>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</si>
  <si>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</si>
  <si>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</si>
  <si>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</si>
  <si>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</si>
  <si>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</si>
  <si>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</si>
  <si>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</si>
  <si>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</si>
  <si>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</si>
  <si>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</si>
  <si>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</si>
  <si>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</si>
  <si>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</si>
  <si>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</si>
  <si>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</si>
  <si>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</si>
  <si>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</si>
  <si>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</si>
  <si>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</si>
  <si>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</si>
  <si>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</si>
  <si>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</si>
  <si>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</si>
  <si>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</si>
  <si>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</si>
  <si>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</si>
  <si>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</si>
  <si>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</si>
  <si>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</si>
  <si>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</si>
  <si>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</si>
  <si>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</si>
  <si>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</si>
  <si>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</si>
  <si>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</si>
  <si>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</si>
  <si>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</si>
  <si>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</si>
  <si>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</si>
  <si>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</si>
  <si>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</si>
  <si>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</si>
  <si>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</si>
  <si>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</si>
  <si>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</si>
  <si>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</si>
  <si>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</si>
  <si>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</si>
  <si>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</si>
  <si>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</si>
  <si>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</si>
  <si>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</si>
  <si>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</si>
  <si>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</si>
  <si>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</si>
  <si>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</si>
  <si>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</si>
  <si>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</si>
  <si>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</si>
  <si>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</si>
  <si>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</si>
  <si>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</si>
  <si>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</si>
  <si>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</si>
  <si>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</si>
  <si>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</si>
  <si>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</si>
  <si>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</si>
  <si>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</si>
  <si>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</si>
  <si>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</si>
  <si>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</si>
  <si>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</si>
  <si>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</si>
  <si>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</si>
  <si>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</si>
  <si>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</si>
  <si>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</si>
  <si>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</si>
  <si>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</si>
  <si>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</si>
  <si>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</si>
  <si>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</si>
  <si>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</si>
  <si>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</si>
  <si>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</si>
  <si>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</si>
  <si>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</si>
  <si>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</si>
  <si>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</si>
  <si>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</si>
  <si>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</si>
  <si>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</si>
  <si>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</si>
  <si>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</si>
  <si>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</si>
  <si>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</si>
  <si>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</si>
  <si>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</si>
  <si>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</si>
  <si>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</si>
  <si>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</si>
  <si>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</si>
  <si>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</si>
  <si>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</si>
  <si>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</si>
  <si>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</si>
  <si>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</si>
  <si>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</si>
  <si>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</si>
  <si>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</si>
  <si>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</si>
  <si>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</si>
  <si>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</si>
  <si>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</si>
  <si>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</si>
  <si>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</si>
  <si>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</si>
  <si>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</si>
  <si>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</si>
  <si>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</si>
  <si>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</si>
  <si>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</si>
  <si>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</si>
  <si>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</si>
  <si>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</si>
  <si>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</si>
  <si>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</si>
  <si>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</si>
  <si>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</si>
  <si>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</si>
  <si>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</si>
  <si>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</si>
  <si>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</si>
  <si>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</si>
  <si>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</si>
  <si>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</si>
  <si>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</si>
  <si>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</si>
  <si>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</si>
  <si>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</si>
  <si>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</si>
  <si>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</si>
  <si>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</si>
  <si>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</si>
  <si>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</si>
  <si>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</si>
  <si>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</si>
  <si>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</si>
  <si>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</si>
  <si>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</si>
  <si>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</si>
  <si>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</si>
  <si>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</si>
  <si>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</si>
  <si>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</si>
  <si>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</si>
  <si>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</si>
  <si>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</si>
  <si>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</si>
  <si>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</si>
  <si>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</si>
  <si>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</si>
  <si>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</si>
  <si>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</si>
  <si>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</si>
  <si>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</si>
  <si>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</si>
  <si>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</si>
  <si>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</si>
  <si>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</si>
  <si>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</si>
  <si>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</si>
  <si>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</si>
  <si>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</si>
  <si>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</si>
  <si>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</si>
  <si>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</si>
  <si>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</si>
  <si>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</si>
  <si>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</si>
  <si>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</si>
  <si>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</si>
  <si>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</si>
  <si>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</si>
  <si>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</si>
  <si>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</si>
  <si>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</si>
  <si>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</si>
  <si>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</si>
  <si>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</si>
  <si>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</si>
  <si>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</si>
  <si>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</si>
  <si>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</si>
  <si>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</si>
  <si>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</si>
  <si>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</si>
  <si>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</si>
  <si>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</si>
  <si>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</si>
  <si>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</si>
  <si>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</si>
  <si>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</si>
  <si>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</si>
  <si>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</si>
  <si>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</si>
  <si>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</si>
  <si>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</si>
  <si>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</si>
  <si>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</si>
  <si>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</si>
  <si>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</si>
  <si>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</si>
  <si>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</si>
  <si>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</si>
  <si>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</si>
  <si>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</si>
  <si>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</si>
  <si>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</si>
  <si>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</si>
  <si>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</si>
  <si>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</si>
  <si>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</si>
  <si>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</si>
  <si>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</si>
  <si>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</si>
  <si>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</si>
  <si>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</si>
  <si>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</si>
  <si>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</si>
  <si>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</si>
  <si>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</si>
  <si>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</si>
  <si>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</si>
  <si>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</si>
  <si>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</si>
  <si>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</si>
  <si>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</si>
  <si>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</si>
  <si>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</si>
  <si>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</si>
  <si>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</si>
  <si>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</si>
  <si>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</si>
  <si>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</si>
  <si>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</si>
  <si>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</si>
  <si>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</si>
  <si>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</si>
  <si>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</si>
  <si>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</si>
  <si>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</si>
  <si>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</si>
  <si>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</si>
  <si>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</si>
  <si>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</si>
  <si>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</si>
  <si>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</si>
  <si>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</si>
  <si>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</si>
  <si>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</si>
  <si>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</si>
  <si>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</si>
  <si>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</si>
  <si>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</si>
  <si>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</si>
  <si>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</si>
  <si>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</si>
  <si>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</si>
  <si>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</si>
  <si>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</si>
  <si>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</si>
  <si>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</si>
  <si>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</si>
  <si>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</si>
  <si>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</si>
  <si>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</si>
  <si>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</si>
  <si>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</si>
  <si>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</si>
  <si>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</si>
  <si>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</si>
  <si>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</si>
  <si>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</si>
  <si>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</si>
  <si>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</si>
  <si>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</si>
  <si>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</si>
  <si>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</si>
  <si>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</si>
  <si>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</si>
  <si>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</si>
  <si>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</si>
  <si>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</si>
  <si>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</si>
  <si>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</si>
  <si>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</si>
  <si>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t>地上</t>
  </si>
  <si>
    <t>成新度</t>
  </si>
  <si>
    <t>成本法</t>
  </si>
  <si>
    <t>未包含在土地购买价格中</t>
  </si>
  <si>
    <t>已包含在土地取得成本中</t>
  </si>
  <si>
    <t>押一</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</si>
  <si>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</si>
  <si>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</si>
  <si>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</si>
  <si>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</si>
  <si>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</si>
  <si>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</si>
  <si>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</si>
  <si>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</si>
  <si>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</si>
  <si>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</si>
  <si>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</si>
  <si>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</si>
  <si>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</si>
  <si>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</si>
  <si>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</si>
  <si>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</si>
  <si>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</si>
  <si>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</si>
  <si>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</si>
  <si>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</si>
  <si>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</si>
  <si>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</si>
  <si>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</si>
  <si>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</si>
  <si>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</si>
  <si>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</si>
  <si>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</si>
  <si>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</si>
  <si>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</si>
  <si>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</si>
  <si>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</si>
  <si>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</si>
  <si>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</si>
  <si>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</si>
  <si>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</si>
  <si>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</si>
  <si>
    <t>较规则</t>
  </si>
  <si>
    <t>较规则</t>
    <phoneticPr fontId="31" type="noConversion"/>
  </si>
  <si>
    <t>较好</t>
    <phoneticPr fontId="31" type="noConversion"/>
  </si>
  <si>
    <r>
      <t>16</t>
    </r>
    <r>
      <rPr>
        <sz val="10"/>
        <color indexed="8"/>
        <rFont val="宋体"/>
        <family val="3"/>
        <charset val="134"/>
      </rPr>
      <t>号楼</t>
    </r>
    <phoneticPr fontId="3" type="noConversion"/>
  </si>
  <si>
    <r>
      <t>5.7.8.9.10.11</t>
    </r>
    <r>
      <rPr>
        <sz val="10"/>
        <color indexed="8"/>
        <rFont val="宋体"/>
        <family val="3"/>
        <charset val="134"/>
      </rPr>
      <t>号楼</t>
    </r>
    <phoneticPr fontId="3" type="noConversion"/>
  </si>
  <si>
    <t>商业16</t>
  </si>
  <si>
    <t>商业16</t>
    <phoneticPr fontId="7" type="noConversion"/>
  </si>
  <si>
    <r>
      <rPr>
        <sz val="10"/>
        <color indexed="8"/>
        <rFont val="宋体"/>
        <family val="3"/>
        <charset val="134"/>
      </rPr>
      <t>商业</t>
    </r>
    <r>
      <rPr>
        <sz val="10"/>
        <color indexed="8"/>
        <rFont val="Arial"/>
        <family val="2"/>
      </rPr>
      <t>5.7.8.9.10.11</t>
    </r>
    <phoneticPr fontId="7" type="noConversion"/>
  </si>
  <si>
    <t>收益法（5.7.8.9.10.11）</t>
    <phoneticPr fontId="16" type="noConversion"/>
  </si>
  <si>
    <t>需扣减承租人权益</t>
  </si>
  <si>
    <t>商业5.7.8.9.10.11</t>
  </si>
  <si>
    <t>地址</t>
    <phoneticPr fontId="143" type="noConversion"/>
  </si>
  <si>
    <t>楼层</t>
    <phoneticPr fontId="143" type="noConversion"/>
  </si>
  <si>
    <t>面积</t>
    <phoneticPr fontId="143" type="noConversion"/>
  </si>
  <si>
    <t>房本面积</t>
    <phoneticPr fontId="143" type="noConversion"/>
  </si>
  <si>
    <t>租金（每月每平方米）</t>
    <phoneticPr fontId="143" type="noConversion"/>
  </si>
  <si>
    <t>年限</t>
    <phoneticPr fontId="143" type="noConversion"/>
  </si>
  <si>
    <t>递增</t>
    <phoneticPr fontId="143" type="noConversion"/>
  </si>
  <si>
    <t>押金</t>
    <phoneticPr fontId="143" type="noConversion"/>
  </si>
  <si>
    <t>泰兴佳源新天地-商业南区（1—S2）-5号楼-301</t>
    <phoneticPr fontId="143" type="noConversion"/>
  </si>
  <si>
    <t>第三年递增5%</t>
    <phoneticPr fontId="143" type="noConversion"/>
  </si>
  <si>
    <t>泰兴佳源新天地-商业南区（1—S2）-5号楼-401</t>
  </si>
  <si>
    <r>
      <t>第三年1</t>
    </r>
    <r>
      <rPr>
        <sz val="11"/>
        <color theme="1"/>
        <rFont val="宋体"/>
        <family val="3"/>
        <charset val="134"/>
        <scheme val="minor"/>
      </rPr>
      <t>00</t>
    </r>
    <phoneticPr fontId="143" type="noConversion"/>
  </si>
  <si>
    <t>泰兴佳源新天地-商业南区（1—S2）-5号楼-501</t>
    <phoneticPr fontId="143" type="noConversion"/>
  </si>
  <si>
    <t>第三年100</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</si>
  <si>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</si>
  <si>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t>第四年递增6%</t>
    <phoneticPr fontId="143" type="noConversion"/>
  </si>
  <si>
    <t>泰兴佳源新天地-商业南区（1—S2）-7号楼-401</t>
  </si>
  <si>
    <t>第四年递增8%</t>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</si>
  <si>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</si>
  <si>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t>
    <phoneticPr fontId="143" type="noConversion"/>
  </si>
  <si>
    <t>泰兴佳源新天地-商业南区（1—S2）-8号楼-501</t>
    <phoneticPr fontId="143" type="noConversion"/>
  </si>
  <si>
    <t>第三年每两年上涨5</t>
    <phoneticPr fontId="143" type="noConversion"/>
  </si>
  <si>
    <t>泰兴佳源新天地-商业南区（1—S2）-10号楼-301</t>
  </si>
  <si>
    <r>
      <t>泰兴佳源新天地-商业南区（1—S2）-10号楼-401</t>
    </r>
    <r>
      <rPr>
        <sz val="11"/>
        <color theme="1"/>
        <rFont val="宋体"/>
        <family val="3"/>
        <charset val="134"/>
        <scheme val="minor"/>
      </rPr>
      <t>-430</t>
    </r>
    <phoneticPr fontId="143" type="noConversion"/>
  </si>
  <si>
    <t>第四年递增5%</t>
    <phoneticPr fontId="143" type="noConversion"/>
  </si>
  <si>
    <r>
      <t>泰兴佳源新天地-商业南区（1—S2）-10号楼-501</t>
    </r>
    <r>
      <rPr>
        <sz val="11"/>
        <color theme="1"/>
        <rFont val="宋体"/>
        <family val="3"/>
        <charset val="134"/>
        <scheme val="minor"/>
      </rPr>
      <t>-531</t>
    </r>
    <phoneticPr fontId="143" type="noConversion"/>
  </si>
  <si>
    <t>第四年递增5%</t>
    <phoneticPr fontId="143" type="noConversion"/>
  </si>
  <si>
    <r>
      <t>免租1</t>
    </r>
    <r>
      <rPr>
        <sz val="11"/>
        <color theme="1"/>
        <rFont val="宋体"/>
        <family val="3"/>
        <charset val="134"/>
        <scheme val="minor"/>
      </rPr>
      <t>8月</t>
    </r>
    <phoneticPr fontId="143" type="noConversion"/>
  </si>
  <si>
    <t>泰兴佳源新天地-商业南区（1—S2）-9号楼-301-401</t>
    <phoneticPr fontId="143" type="noConversion"/>
  </si>
  <si>
    <t>泰兴佳源新天地-商业南区（1—S2）-11号楼-301</t>
  </si>
  <si>
    <t>住址</t>
    <phoneticPr fontId="143" type="noConversion"/>
  </si>
  <si>
    <t>面积</t>
  </si>
  <si>
    <t>不动产证号</t>
  </si>
  <si>
    <t>泰兴市佳源新天地2号5幢301室</t>
  </si>
  <si>
    <t>苏（2018）泰兴市不动产权第0036221号</t>
  </si>
  <si>
    <t>3层</t>
    <phoneticPr fontId="143" type="noConversion"/>
  </si>
  <si>
    <t>泰兴市佳源新天地2号5幢401室</t>
  </si>
  <si>
    <t>苏（2018）泰兴市不动产权第0036222号</t>
  </si>
  <si>
    <t>4层</t>
    <phoneticPr fontId="143" type="noConversion"/>
  </si>
  <si>
    <t>泰兴市佳源新天地2号5幢501室</t>
  </si>
  <si>
    <t>苏（2018）泰兴市不动产权第0036223号</t>
  </si>
  <si>
    <t>5层</t>
    <phoneticPr fontId="143" type="noConversion"/>
  </si>
  <si>
    <t>泰兴市佳源新天地2号9幢301</t>
  </si>
  <si>
    <t>苏（2018）泰兴市不动产权第0019850号</t>
  </si>
  <si>
    <t>泰兴市佳源新天地2号9幢401</t>
  </si>
  <si>
    <t>苏（2018）泰兴市不动产权第0019920号</t>
  </si>
  <si>
    <t>泰兴市佳源新天地2号7幢315</t>
  </si>
  <si>
    <t>苏（2018）泰兴市不动产权第0019841号</t>
  </si>
  <si>
    <t>泰兴市佳源新天地2号7幢316</t>
  </si>
  <si>
    <t>苏（2018）泰兴市不动产权第0019838号</t>
  </si>
  <si>
    <t>泰兴市佳源新天地2号7幢317</t>
  </si>
  <si>
    <t>苏（2018）泰兴市不动产权第0019839号</t>
  </si>
  <si>
    <t>泰兴市佳源新天地2号7幢318</t>
  </si>
  <si>
    <t>苏（2018）泰兴市不动产权第0019890号</t>
  </si>
  <si>
    <t>泰兴市佳源新天地2号7幢319</t>
  </si>
  <si>
    <t>苏（2018）泰兴市不动产权第0019840号</t>
  </si>
  <si>
    <t>泰兴市佳源新天地2号7幢320</t>
  </si>
  <si>
    <t>苏（2018）泰兴市不动产权第0019895号</t>
  </si>
  <si>
    <t>泰兴市佳源新天地2号7幢321</t>
  </si>
  <si>
    <t>苏（2018）泰兴市不动产权第0019897号</t>
  </si>
  <si>
    <t>泰兴市佳源新天地2号7幢323</t>
  </si>
  <si>
    <t>苏（2018）泰兴市不动产权第0019865号</t>
  </si>
  <si>
    <t>泰兴市佳源新天地2号7幢324</t>
  </si>
  <si>
    <t>苏（2018）泰兴市不动产权第0019875号</t>
  </si>
  <si>
    <t>泰兴市佳源新天地2号7幢325</t>
  </si>
  <si>
    <t>苏（2018）泰兴市不动产权第0019885号</t>
  </si>
  <si>
    <t>泰兴市佳源新天地2号7幢327</t>
  </si>
  <si>
    <t>苏（2018）泰兴市不动产权第0019888号</t>
  </si>
  <si>
    <t>泰兴市佳源新天地2号7幢328</t>
  </si>
  <si>
    <t>苏（2018）泰兴市不动产权第0019857号</t>
  </si>
  <si>
    <t>泰兴市佳源新天地2号7幢329</t>
  </si>
  <si>
    <t>苏（2018）泰兴市不动产权第0019854号</t>
  </si>
  <si>
    <t>泰兴市佳源新天地2号7幢330</t>
  </si>
  <si>
    <t>苏（2018）泰兴市不动产权第0019871号</t>
  </si>
  <si>
    <t>泰兴市佳源新天地2号7幢331</t>
  </si>
  <si>
    <t>苏（2018）泰兴市不动产权第0019866号</t>
  </si>
  <si>
    <t>泰兴市佳源新天地2号7幢332</t>
  </si>
  <si>
    <t>苏（2018）泰兴市不动产权第0019860号</t>
  </si>
  <si>
    <t>泰兴市佳源新天地2号7幢333</t>
  </si>
  <si>
    <t>苏（2018）泰兴市不动产权第0019863号</t>
  </si>
  <si>
    <t>泰兴市佳源新天地2号7幢334</t>
  </si>
  <si>
    <t>苏（2018）泰兴市不动产权第0019913号</t>
  </si>
  <si>
    <t>泰兴市佳源新天地2号7幢335</t>
  </si>
  <si>
    <t>苏（2018）泰兴市不动产权第0019836号</t>
  </si>
  <si>
    <t>泰兴市佳源新天地2号7幢336</t>
  </si>
  <si>
    <t>苏（2018）泰兴市不动产权第0019843号</t>
  </si>
  <si>
    <t>泰兴市佳源新天地2号7幢337</t>
  </si>
  <si>
    <t>苏（2018）泰兴市不动产权第0019842号</t>
  </si>
  <si>
    <t>泰兴市佳源新天地2号7幢338</t>
  </si>
  <si>
    <t>苏（2018）泰兴市不动产权第0019844号</t>
  </si>
  <si>
    <t>泰兴市佳源新天地2号7幢339</t>
  </si>
  <si>
    <t>苏（2018）泰兴市不动产权第0019864号</t>
  </si>
  <si>
    <t>7泰兴市佳源新天地2号7幢340</t>
  </si>
  <si>
    <t>苏（2018）泰兴市不动产权第0019868号</t>
  </si>
  <si>
    <t>泰兴市佳源新天地2号7幢341</t>
  </si>
  <si>
    <t>苏（2018）泰兴市不动产权第0019852号</t>
  </si>
  <si>
    <t>泰兴市佳源新天地2号7幢342</t>
  </si>
  <si>
    <t>苏（2018）泰兴市不动产权第0019924号</t>
  </si>
  <si>
    <t>泰兴市佳源新天地2号7幢343</t>
  </si>
  <si>
    <t>苏（2018）泰兴市不动产权第0019912号</t>
  </si>
  <si>
    <t>泰兴市佳源新天地2号7幢344</t>
  </si>
  <si>
    <t>苏（2018）泰兴市不动产权第0019915号</t>
  </si>
  <si>
    <t>泰兴市佳源新天地2号7幢345</t>
  </si>
  <si>
    <t>苏（2018）泰兴市不动产权第0019914号</t>
  </si>
  <si>
    <t>泰兴市佳源新天地2号7幢346</t>
  </si>
  <si>
    <t>苏（2018）泰兴市不动产权第0019934号</t>
  </si>
  <si>
    <t>泰兴市佳源新天地2号7幢347</t>
  </si>
  <si>
    <t>苏（2018）泰兴市不动产权第0019917号</t>
  </si>
  <si>
    <t>泰兴市佳源新天地2号7幢348</t>
  </si>
  <si>
    <t>苏（2018）泰兴市不动产权第0019921号</t>
  </si>
  <si>
    <t>泰兴市佳源新天地2号7幢349</t>
  </si>
  <si>
    <t>苏（2018）泰兴市不动产权第0019932号</t>
  </si>
  <si>
    <t>3层</t>
    <phoneticPr fontId="143" type="noConversion"/>
  </si>
  <si>
    <t>泰兴市佳源新天地2号7幢401</t>
  </si>
  <si>
    <t>苏（2018）泰兴市不动产权第0019831号</t>
  </si>
  <si>
    <t>4层</t>
    <phoneticPr fontId="143" type="noConversion"/>
  </si>
  <si>
    <t>泰兴市佳源新天地2号8幢302</t>
  </si>
  <si>
    <t>苏（2018）泰兴市不动产权第0019933号</t>
  </si>
  <si>
    <t>泰兴市佳源新天地2号8幢306</t>
  </si>
  <si>
    <t>苏（2018）泰兴市不动产权第0019830号</t>
  </si>
  <si>
    <t>泰兴市佳源新天地2号8幢401</t>
  </si>
  <si>
    <t>苏（2018）泰兴市不动产权第0019846号</t>
  </si>
  <si>
    <t>泰兴市佳源新天地2号8幢501</t>
  </si>
  <si>
    <t>苏（2018）泰兴市不动产权第0019848号</t>
  </si>
  <si>
    <t>5层</t>
    <phoneticPr fontId="143" type="noConversion"/>
  </si>
  <si>
    <t>泰兴市佳源新天地2号10幢301</t>
  </si>
  <si>
    <t>苏（2018）泰兴市不动产权第0019901号</t>
  </si>
  <si>
    <t>泰兴市佳源新天地2号10幢401</t>
  </si>
  <si>
    <t>苏（2018）泰兴市不动产权第0019906号</t>
  </si>
  <si>
    <t>泰兴市佳源新天地2号10幢402</t>
  </si>
  <si>
    <t>苏（2018）泰兴市不动产权第0019930号</t>
  </si>
  <si>
    <t>泰兴市佳源新天地2号10幢403</t>
  </si>
  <si>
    <t>苏（2018）泰兴市不动产权第0019886号</t>
  </si>
  <si>
    <t>泰兴市佳源新天地2号10幢404</t>
  </si>
  <si>
    <t>苏（2018）泰兴市不动产权第0019891号</t>
  </si>
  <si>
    <t>泰兴市佳源新天地2号10幢405</t>
  </si>
  <si>
    <t>苏（2018）泰兴市不动产权第0019893号</t>
  </si>
  <si>
    <t>泰兴市佳源新天地2号10幢406</t>
    <phoneticPr fontId="143" type="noConversion"/>
  </si>
  <si>
    <t>苏（2018）泰兴市不动产权第0019902号</t>
  </si>
  <si>
    <t>泰兴市佳源新天地2号10幢407</t>
  </si>
  <si>
    <t>苏（2018）泰兴市不动产权第0019870号</t>
  </si>
  <si>
    <t>泰兴市佳源新天地2号10幢408</t>
  </si>
  <si>
    <t>苏（2018）泰兴市不动产权第0019923号</t>
  </si>
  <si>
    <t>泰兴市佳源新天地2号10幢409</t>
  </si>
  <si>
    <t>苏（2018）泰兴市不动产权第0019910号</t>
  </si>
  <si>
    <t>泰兴市佳源新天地2号10幢410</t>
  </si>
  <si>
    <t>苏（2018）泰兴市不动产权第0019909号</t>
  </si>
  <si>
    <t>泰兴市佳源新天地2号10幢411</t>
  </si>
  <si>
    <t>苏（2018）泰兴市不动产权第0019908号</t>
  </si>
  <si>
    <t>泰兴市佳源新天地2号10幢412</t>
  </si>
  <si>
    <t>苏（2018）泰兴市不动产权第0019907号</t>
  </si>
  <si>
    <t>泰兴市佳源新天地2号10幢413</t>
  </si>
  <si>
    <t>苏（2018）泰兴市不动产权第0019911号</t>
  </si>
  <si>
    <t>泰兴市佳源新天地2号10幢414</t>
  </si>
  <si>
    <t>苏（2018）泰兴市不动产权第0019847号</t>
  </si>
  <si>
    <t>泰兴市佳源新天地2号10幢415</t>
  </si>
  <si>
    <t>苏（2018）泰兴市不动产权第0019919号</t>
  </si>
  <si>
    <t>泰兴市佳源新天地2号10幢416</t>
  </si>
  <si>
    <t>苏（2018）泰兴市不动产权第0019925号</t>
  </si>
  <si>
    <t>泰兴市佳源新天地2号10幢417</t>
  </si>
  <si>
    <t>苏（2018）泰兴市不动产权第0019918号</t>
  </si>
  <si>
    <t>泰兴市佳源新天地2号10幢418</t>
  </si>
  <si>
    <t>苏（2018）泰兴市不动产权第0019916号</t>
  </si>
  <si>
    <t>泰兴市佳源新天地2号10幢419</t>
  </si>
  <si>
    <t>苏（2018）泰兴市不动产权第0019829号</t>
  </si>
  <si>
    <t>泰兴市佳源新天地2号10幢420</t>
  </si>
  <si>
    <t>苏（2018）泰兴市不动产权第0019927号</t>
  </si>
  <si>
    <t>泰兴市佳源新天地2号10幢421</t>
  </si>
  <si>
    <t>苏（2018）泰兴市不动产权第0019834号</t>
  </si>
  <si>
    <t>泰兴市佳源新天地2号10幢422</t>
  </si>
  <si>
    <t>苏（2018）泰兴市不动产权第0019905号</t>
  </si>
  <si>
    <t>泰兴市佳源新天地2号10幢423</t>
  </si>
  <si>
    <t>苏（2018）泰兴市不动产权第0019879号</t>
  </si>
  <si>
    <t>泰兴市佳源新天地2号10幢424</t>
  </si>
  <si>
    <t>苏（2018）泰兴市不动产权第0019882号</t>
  </si>
  <si>
    <t>泰兴市佳源新天地2号10幢425</t>
  </si>
  <si>
    <t>苏（2018）泰兴市不动产权第0019887号</t>
  </si>
  <si>
    <t>泰兴市佳源新天地2号10幢426</t>
  </si>
  <si>
    <t>苏（2018）泰兴市不动产权第0019889号</t>
  </si>
  <si>
    <t>泰兴市佳源新天地2号10幢427</t>
  </si>
  <si>
    <t>苏（2018）泰兴市不动产权第0019878号</t>
  </si>
  <si>
    <t>泰兴市佳源新天地2号10幢428</t>
  </si>
  <si>
    <t>苏（2018）泰兴市不动产权第0019873号</t>
  </si>
  <si>
    <t>泰兴市佳源新天地2号10幢429</t>
  </si>
  <si>
    <t>苏（2018）泰兴市不动产权第0019851号</t>
  </si>
  <si>
    <t>泰兴市佳源新天地2号10幢430</t>
  </si>
  <si>
    <t>苏（2018）泰兴市不动产权第0019858号</t>
  </si>
  <si>
    <t>泰兴市佳源新天地2号10幢431</t>
  </si>
  <si>
    <t>苏（2018）泰兴市不动产权第0019861号</t>
  </si>
  <si>
    <t>泰兴市佳源新天地2号10幢432</t>
  </si>
  <si>
    <t>苏（2018）泰兴市不动产权第0019883号</t>
  </si>
  <si>
    <t>泰兴市佳源新天地2号10幢433</t>
  </si>
  <si>
    <t>苏（2018）泰兴市不动产权第0019849号</t>
  </si>
  <si>
    <t>泰兴市佳源新天地2号10幢501</t>
  </si>
  <si>
    <t>苏（2018）泰兴市不动产权第0019881号</t>
  </si>
  <si>
    <t>泰兴市佳源新天地2号10幢502</t>
  </si>
  <si>
    <t>苏（2018）泰兴市不动产权第0019862号</t>
  </si>
  <si>
    <t>泰兴市佳源新天地2号10幢503</t>
  </si>
  <si>
    <t>苏（2018）泰兴市不动产权第0019926号</t>
  </si>
  <si>
    <t>泰兴市佳源新天地2号10幢504</t>
  </si>
  <si>
    <t>苏（2018）泰兴市不动产权第0019899号</t>
  </si>
  <si>
    <t>泰兴市佳源新天地2号10幢505</t>
  </si>
  <si>
    <t>苏（2018）泰兴市不动产权第0019903号</t>
  </si>
  <si>
    <t>泰兴市佳源新天地2号10幢506</t>
  </si>
  <si>
    <t>苏（2018）泰兴市不动产权第0019904号</t>
  </si>
  <si>
    <t>泰兴市佳源新天地2号10幢507</t>
  </si>
  <si>
    <t>苏（2018）泰兴市不动产权第0019892号</t>
  </si>
  <si>
    <t>泰兴市佳源新天地2号10幢508</t>
  </si>
  <si>
    <t>苏（2018）泰兴市不动产权第0019896号</t>
  </si>
  <si>
    <t>泰兴市佳源新天地2号10幢509</t>
  </si>
  <si>
    <t>苏（2018）泰兴市不动产权第0019832号</t>
  </si>
  <si>
    <t>泰兴市佳源新天地2号10幢510</t>
  </si>
  <si>
    <t>苏（2018）泰兴市不动产权第0019876号</t>
  </si>
  <si>
    <t>泰兴市佳源新天地2号10幢511</t>
  </si>
  <si>
    <t>苏（2018）泰兴市不动产权第0019872号</t>
  </si>
  <si>
    <t>泰兴市佳源新天地2号10幢512</t>
  </si>
  <si>
    <t>苏（2018）泰兴市不动产权第0019833号</t>
  </si>
  <si>
    <t>泰兴市佳源新天地2号10幢513</t>
  </si>
  <si>
    <t>苏（2018）泰兴市不动产权第0019880号</t>
  </si>
  <si>
    <t>泰兴市佳源新天地2号10幢514</t>
  </si>
  <si>
    <t>苏（2018）泰兴市不动产权第0019929号</t>
  </si>
  <si>
    <t>泰兴市佳源新天地2号10幢515</t>
  </si>
  <si>
    <t>苏（2018）泰兴市不动产权第0019884号</t>
  </si>
  <si>
    <t>泰兴市佳源新天地2号10幢516</t>
  </si>
  <si>
    <t>苏（2018）泰兴市不动产权第0019928号</t>
  </si>
  <si>
    <t>泰兴市佳源新天地2号10幢517</t>
  </si>
  <si>
    <t>苏（2018）泰兴市不动产权第0019855号</t>
  </si>
  <si>
    <t>泰兴市佳源新天地2号10幢518</t>
  </si>
  <si>
    <t>苏（2018）泰兴市不动产权第0019837号</t>
  </si>
  <si>
    <t>泰兴市佳源新天地2号10幢519</t>
  </si>
  <si>
    <t>苏（2018）泰兴市不动产权第0019835号</t>
  </si>
  <si>
    <t>泰兴市佳源新天地2号10幢520</t>
  </si>
  <si>
    <t>苏（2018）泰兴市不动产权第0019853号</t>
  </si>
  <si>
    <t>泰兴市佳源新天地2号10幢521</t>
  </si>
  <si>
    <t>苏（2018）泰兴市不动产权第0019898号</t>
  </si>
  <si>
    <t>泰兴市佳源新天地2号10幢522</t>
  </si>
  <si>
    <t>苏（2018）泰兴市不动产权第0019894号</t>
  </si>
  <si>
    <t>泰兴市佳源新天地2号10幢523</t>
  </si>
  <si>
    <t>苏（2018）泰兴市不动产权第0019922号</t>
  </si>
  <si>
    <t>泰兴市佳源新天地2号10幢524</t>
  </si>
  <si>
    <t>苏（2018）泰兴市不动产权第0019900号</t>
  </si>
  <si>
    <t>泰兴市佳源新天地2号10幢525</t>
  </si>
  <si>
    <t>苏（2018）泰兴市不动产权第0019869号</t>
  </si>
  <si>
    <t>泰兴市佳源新天地2号10幢526</t>
  </si>
  <si>
    <t>苏（2018）泰兴市不动产权第0019856号</t>
  </si>
  <si>
    <t>泰兴市佳源新天地2号10幢527</t>
  </si>
  <si>
    <t>苏（2018）泰兴市不动产权第0019931号</t>
  </si>
  <si>
    <t>泰兴市佳源新天地2号10幢528</t>
  </si>
  <si>
    <t>苏（2018）泰兴市不动产权第0019877号</t>
  </si>
  <si>
    <t>泰兴市佳源新天地2号10幢529</t>
  </si>
  <si>
    <t>苏（2018）泰兴市不动产权第0019874号</t>
  </si>
  <si>
    <t>泰兴市佳源新天地2号10幢530</t>
  </si>
  <si>
    <t>苏（2018）泰兴市不动产权第0019845号</t>
  </si>
  <si>
    <t>泰兴市佳源新天地2号10幢531</t>
  </si>
  <si>
    <t>苏（2018）泰兴市不动产权第0019867号</t>
  </si>
  <si>
    <t>泰兴市佳源新天地2号11幢301</t>
  </si>
  <si>
    <t>苏（2018）泰兴市不动产权第0019859号</t>
  </si>
  <si>
    <t>泰兴市佳源新天地2号16幢101室</t>
  </si>
  <si>
    <t>苏（2018）泰兴市不动产权第0040274号</t>
  </si>
  <si>
    <t>泰兴市佳源新天地2号16幢102室</t>
  </si>
  <si>
    <t>苏（2018）泰兴市不动产权第0040275号</t>
  </si>
  <si>
    <t>泰兴市佳源新天地2号16幢103室</t>
  </si>
  <si>
    <t>苏（2018）泰兴市不动产权第0040276号</t>
  </si>
  <si>
    <t>泰兴市佳源新天地2号16幢104室</t>
  </si>
  <si>
    <t>苏（2018）泰兴市不动产权第0040277号</t>
  </si>
  <si>
    <t>泰兴市佳源新天地2号16幢105室</t>
  </si>
  <si>
    <t>苏（2018）泰兴市不动产权第0040278号</t>
  </si>
  <si>
    <t>泰兴市佳源新天地2号16幢106室</t>
  </si>
  <si>
    <t>苏（2018）泰兴市不动产权第0040279号</t>
  </si>
  <si>
    <t>泰兴市佳源新天地2号16幢107室</t>
  </si>
  <si>
    <t>苏（2018）泰兴市不动产权第0040280号</t>
  </si>
  <si>
    <t>泰兴市佳源新天地2号16幢108室</t>
  </si>
  <si>
    <t>苏（2018）泰兴市不动产权第0040281号</t>
  </si>
  <si>
    <t>泰兴市佳源新天地2号16幢109室</t>
  </si>
  <si>
    <t>苏（2018）泰兴市不动产权第0040282号</t>
  </si>
  <si>
    <t>泰兴市佳源新天地2号16幢110室</t>
  </si>
  <si>
    <t>苏（2018）泰兴市不动产权第0039999号</t>
  </si>
  <si>
    <t>泰兴市佳源新天地2号16幢111室</t>
  </si>
  <si>
    <t>苏（2018）泰兴市不动产权第0040000号</t>
  </si>
  <si>
    <t>泰兴市佳源新天地2号16幢112室</t>
  </si>
  <si>
    <t>苏（2018）泰兴市不动产权第0040001号</t>
  </si>
  <si>
    <t>泰兴市佳源新天地2号16幢113室</t>
  </si>
  <si>
    <t>苏（2018）泰兴市不动产权第0040002号</t>
  </si>
  <si>
    <t>泰兴市佳源新天地2号16幢114室</t>
  </si>
  <si>
    <t>苏（2018）泰兴市不动产权第0040003号</t>
  </si>
  <si>
    <t>泰兴市佳源新天地2号16幢115室</t>
  </si>
  <si>
    <t>苏（2018）泰兴市不动产权第0040004号</t>
  </si>
  <si>
    <t>泰兴市佳源新天地2号16幢118室</t>
  </si>
  <si>
    <t>苏（2018）泰兴市不动产权第0040007号</t>
  </si>
  <si>
    <t>泰兴市佳源新天地2号16幢119室</t>
  </si>
  <si>
    <t>苏（2018）泰兴市不动产权第0040008号</t>
  </si>
  <si>
    <t>泰兴市佳源新天地2号16幢144室</t>
  </si>
  <si>
    <t>苏（2018）泰兴市不动产权第0040106号</t>
  </si>
  <si>
    <t>泰兴市佳源新天地2号16幢145室</t>
  </si>
  <si>
    <t>苏（2018）泰兴市不动产权第0040107号</t>
  </si>
  <si>
    <t>泰兴市佳源新天地2号16幢146室</t>
  </si>
  <si>
    <t>苏（2018）泰兴市不动产权第0040108号</t>
  </si>
  <si>
    <t>泰兴市佳源新天地2号16幢147室</t>
  </si>
  <si>
    <t>苏（2018）泰兴市不动产权第0040109号</t>
  </si>
  <si>
    <t>泰兴市佳源新天地2号16幢148室</t>
  </si>
  <si>
    <t>苏（2018）泰兴市不动产权第0040110号</t>
  </si>
  <si>
    <t>泰兴市佳源新天地2号16幢149室</t>
  </si>
  <si>
    <t>苏（2018）泰兴市不动产权第0040111号</t>
  </si>
  <si>
    <t>泰兴市佳源新天地2号16幢150室</t>
  </si>
  <si>
    <t>苏（2018）泰兴市不动产权第0039937号</t>
  </si>
  <si>
    <t>泰兴市佳源新天地2号16幢151室</t>
  </si>
  <si>
    <t>苏（2018）泰兴市不动产权第0040118号</t>
  </si>
  <si>
    <t>泰兴市佳源新天地2号16幢153室</t>
  </si>
  <si>
    <t>苏（2018）泰兴市不动产权第0040120号</t>
  </si>
  <si>
    <t>泰兴市佳源新天地2号16幢154室</t>
  </si>
  <si>
    <t>苏（2018）泰兴市不动产权第0040121号</t>
  </si>
  <si>
    <t>泰兴市佳源新天地2号16幢157室</t>
  </si>
  <si>
    <t>苏（2018）泰兴市不动产权第0040123号</t>
  </si>
  <si>
    <t>泰兴市佳源新天地2号16幢158室</t>
  </si>
  <si>
    <t>苏（2018）泰兴市不动产权第0040124号</t>
  </si>
  <si>
    <t>泰兴市佳源新天地2号16幢160室</t>
  </si>
  <si>
    <t>苏（2018）泰兴市不动产权第0040126号</t>
  </si>
  <si>
    <t>泰兴市佳源新天地2号16幢161室</t>
  </si>
  <si>
    <t>苏（2018）泰兴市不动产权第0039939号</t>
  </si>
  <si>
    <t>泰兴市佳源新天地2号16幢162室</t>
  </si>
  <si>
    <t>苏（2018）泰兴市不动产权第0040161号</t>
  </si>
  <si>
    <t>泰兴市佳源新天地2号16幢163室</t>
  </si>
  <si>
    <t>苏（2018）泰兴市不动产权第0040163号</t>
  </si>
  <si>
    <t>泰兴市佳源新天地2号16幢164室</t>
  </si>
  <si>
    <t>苏（2018）泰兴市不动产权第0040164号</t>
  </si>
  <si>
    <t>泰兴市佳源新天地2号16幢165室</t>
  </si>
  <si>
    <t>苏（2018）泰兴市不动产权第0040165号</t>
  </si>
  <si>
    <t>泰兴市佳源新天地2号16幢166室</t>
  </si>
  <si>
    <t>苏（2018）泰兴市不动产权第0040166号</t>
  </si>
  <si>
    <t>泰兴市佳源新天地2号16幢167室</t>
  </si>
  <si>
    <t>苏（2018）泰兴市不动产权第0040167号</t>
  </si>
  <si>
    <t>泰兴市佳源新天地2号16幢168室</t>
  </si>
  <si>
    <t>苏（2018）泰兴市不动产权第0040182号</t>
  </si>
  <si>
    <t>泰兴市佳源新天地2号16幢169室</t>
  </si>
  <si>
    <t>苏（2018）泰兴市不动产权第0040183号</t>
  </si>
  <si>
    <t>泰兴市佳源新天地2号16幢170室</t>
  </si>
  <si>
    <t>苏（2018）泰兴市不动产权第0040184号</t>
  </si>
  <si>
    <t>泰兴市佳源新天地2号16幢171室</t>
  </si>
  <si>
    <t>苏（2018）泰兴市不动产权第0040185号</t>
  </si>
  <si>
    <t>泰兴市佳源新天地2号16幢172室</t>
  </si>
  <si>
    <t>苏（2018）泰兴市不动产权第0040237号</t>
  </si>
  <si>
    <t>泰兴市佳源新天地2号16幢173室</t>
  </si>
  <si>
    <t>苏（2018）泰兴市不动产权第0040238号</t>
  </si>
  <si>
    <t>泰兴市佳源新天地2号16幢174室</t>
  </si>
  <si>
    <t>苏（2018）泰兴市不动产权第0040239号</t>
  </si>
  <si>
    <t>泰兴市佳源新天地2号16幢175室</t>
  </si>
  <si>
    <t>苏（2018）泰兴市不动产权第0039940号</t>
  </si>
  <si>
    <t>泰兴市佳源新天地2号16幢176室</t>
  </si>
  <si>
    <t>苏（2018）泰兴市不动产权第0040240号</t>
  </si>
  <si>
    <t>泰兴市佳源新天地2号16幢177室</t>
  </si>
  <si>
    <t>苏（2018）泰兴市不动产权第0040241号</t>
  </si>
  <si>
    <t>泰兴市佳源新天地2号16幢178室</t>
  </si>
  <si>
    <t>苏（2018）泰兴市不动产权第0040242号</t>
  </si>
  <si>
    <t>泰兴市佳源新天地2号16幢179室</t>
  </si>
  <si>
    <t>苏（2018）泰兴市不动产权第0040243号</t>
  </si>
  <si>
    <t>泰兴市佳源新天地2号16幢180室</t>
  </si>
  <si>
    <t>苏（2018）泰兴市不动产权第0040244号</t>
  </si>
  <si>
    <t>泰兴市佳源新天地2号16幢181室</t>
  </si>
  <si>
    <t>苏（2018）泰兴市不动产权第0039941号</t>
  </si>
  <si>
    <t>泰兴市佳源新天地2号16幢182室</t>
  </si>
  <si>
    <t>苏（2018）泰兴市不动产权第0040245号</t>
  </si>
  <si>
    <t>泰兴市佳源新天地2号16幢183室</t>
  </si>
  <si>
    <t>苏（2018）泰兴市不动产权第0040246号</t>
  </si>
  <si>
    <t>泰兴市佳源新天地2号16幢184室</t>
  </si>
  <si>
    <t>苏（2018）泰兴市不动产权第0040247号</t>
  </si>
  <si>
    <t>泰兴市佳源新天地2号16幢185室</t>
  </si>
  <si>
    <t>苏（2018）泰兴市不动产权第0040248号</t>
  </si>
  <si>
    <t>泰兴市佳源新天地2号16幢186室</t>
  </si>
  <si>
    <t>苏（2018）泰兴市不动产权第0040249号</t>
  </si>
  <si>
    <t>泰兴市佳源新天地2号16幢187室</t>
  </si>
  <si>
    <t>苏（2018）泰兴市不动产权第0039942号</t>
  </si>
  <si>
    <t>泰兴市佳源新天地2号16幢188室</t>
  </si>
  <si>
    <t>苏（2018）泰兴市不动产权第0039953号</t>
  </si>
  <si>
    <t>泰兴市佳源新天地2号16幢189室</t>
  </si>
  <si>
    <t>苏（2018）泰兴市不动产权第0039954号</t>
  </si>
  <si>
    <t>泰兴市佳源新天地2号16幢190室</t>
  </si>
  <si>
    <t>苏（2018）泰兴市不动产权第0039955号</t>
  </si>
  <si>
    <t>泰兴市佳源新天地2号16幢191室</t>
  </si>
  <si>
    <t>苏（2018）泰兴市不动产权第0039956号</t>
  </si>
  <si>
    <t>泰兴市佳源新天地2号16幢192室</t>
  </si>
  <si>
    <t>苏（2018）泰兴市不动产权第0039957号</t>
  </si>
  <si>
    <t>泰兴市佳源新天地2号16幢193室</t>
  </si>
  <si>
    <t>苏（2018）泰兴市不动产权第0039958号</t>
  </si>
  <si>
    <t>泰兴市佳源新天地2号16幢194室</t>
  </si>
  <si>
    <t>苏（2018）泰兴市不动产权第0039959号</t>
  </si>
  <si>
    <t>泰兴市佳源新天地2号16幢201室</t>
  </si>
  <si>
    <t>苏（2018）泰兴市不动产权第0039960号</t>
  </si>
  <si>
    <t>泰兴市佳源新天地2号16幢202室</t>
  </si>
  <si>
    <t>苏（2018）泰兴市不动产权第0039961号</t>
  </si>
  <si>
    <t>泰兴市佳源新天地2号16幢203室</t>
  </si>
  <si>
    <t>苏（2018）泰兴市不动产权第0039962号</t>
  </si>
  <si>
    <t>泰兴市佳源新天地2号16幢204室</t>
  </si>
  <si>
    <t>苏（2018）泰兴市不动产权第0039963号</t>
  </si>
  <si>
    <t>泰兴市佳源新天地2号16幢205室</t>
  </si>
  <si>
    <t>苏（2018）泰兴市不动产权第0039964号</t>
  </si>
  <si>
    <t>泰兴市佳源新天地2号16幢206室</t>
  </si>
  <si>
    <t>苏（2018）泰兴市不动产权第0039965号</t>
  </si>
  <si>
    <t>泰兴市佳源新天地2号16幢207室</t>
  </si>
  <si>
    <t>苏（2018）泰兴市不动产权第0039943号</t>
  </si>
  <si>
    <t>泰兴市佳源新天地2号16幢208室</t>
  </si>
  <si>
    <t>苏（2018）泰兴市不动产权第0039966号</t>
  </si>
  <si>
    <t>泰兴市佳源新天地2号16幢209室</t>
  </si>
  <si>
    <t>苏（2018）泰兴市不动产权第0039967号</t>
  </si>
  <si>
    <t>泰兴市佳源新天地2号16幢210室</t>
  </si>
  <si>
    <t>苏（2018）泰兴市不动产权第0039968号</t>
  </si>
  <si>
    <t>泰兴市佳源新天地2号16幢2100室</t>
  </si>
  <si>
    <t>苏（2018）泰兴市不动产权第0039913号</t>
  </si>
  <si>
    <t>泰兴市佳源新天地2号16幢2101室</t>
  </si>
  <si>
    <t>苏（2018）泰兴市不动产权第0039914号</t>
  </si>
  <si>
    <t>泰兴市佳源新天地2号16幢2102室</t>
  </si>
  <si>
    <t>苏（2018）泰兴市不动产权第0039915号</t>
  </si>
  <si>
    <t>泰兴市佳源新天地2号16幢211室</t>
  </si>
  <si>
    <t>苏（2018）泰兴市不动产权第0039969号</t>
  </si>
  <si>
    <t>泰兴市佳源新天地2号16幢212室</t>
  </si>
  <si>
    <t>苏（2018）泰兴市不动产权第0039970号</t>
  </si>
  <si>
    <t>泰兴市佳源新天地2号16幢213室</t>
  </si>
  <si>
    <t>苏（2018）泰兴市不动产权第0039944号</t>
  </si>
  <si>
    <t>泰兴市佳源新天地2号16幢214室</t>
  </si>
  <si>
    <t>苏（2018）泰兴市不动产权第0039971号</t>
  </si>
  <si>
    <t>泰兴市佳源新天地2号16幢215室</t>
  </si>
  <si>
    <t>苏（2018）泰兴市不动产权第0039972号</t>
  </si>
  <si>
    <t>泰兴市佳源新天地2号16幢216室</t>
  </si>
  <si>
    <t>苏（2018）泰兴市不动产权第0039973号</t>
  </si>
  <si>
    <t>泰兴市佳源新天地2号16幢217室</t>
  </si>
  <si>
    <t>苏（2018）泰兴市不动产权第0039974号</t>
  </si>
  <si>
    <t>泰兴市佳源新天地2号16幢218室</t>
  </si>
  <si>
    <t>苏（2018）泰兴市不动产权第0039975号</t>
  </si>
  <si>
    <t>泰兴市佳源新天地2号16幢219室</t>
  </si>
  <si>
    <t>苏（2018）泰兴市不动产权第0039945号</t>
  </si>
  <si>
    <t>泰兴市佳源新天地2号16幢220室</t>
  </si>
  <si>
    <t>苏（2018）泰兴市不动产权第0040056号</t>
  </si>
  <si>
    <t>泰兴市佳源新天地2号16幢221室</t>
  </si>
  <si>
    <t>苏（2018）泰兴市不动产权第0040057号</t>
  </si>
  <si>
    <t>泰兴市佳源新天地2号16幢222室</t>
  </si>
  <si>
    <t>苏（2018）泰兴市不动产权第0040058号</t>
  </si>
  <si>
    <t>泰兴市佳源新天地2号16幢223室</t>
  </si>
  <si>
    <t>苏（2018）泰兴市不动产权第0040059号</t>
  </si>
  <si>
    <t>泰兴市佳源新天地2号16幢224室</t>
  </si>
  <si>
    <t>苏（2018）泰兴市不动产权第0040060号</t>
  </si>
  <si>
    <t>泰兴市佳源新天地2号16幢225室</t>
  </si>
  <si>
    <t>苏（2018）泰兴市不动产权第0040061号</t>
  </si>
  <si>
    <t>泰兴市佳源新天地2号16幢226室</t>
  </si>
  <si>
    <t>苏（2018）泰兴市不动产权第0040062号</t>
  </si>
  <si>
    <t>泰兴市佳源新天地2号16幢227室</t>
  </si>
  <si>
    <t>苏（2018）泰兴市不动产权第0040063号</t>
  </si>
  <si>
    <t>泰兴市佳源新天地2号16幢228室</t>
  </si>
  <si>
    <t>苏（2018）泰兴市不动产权第0040064号</t>
  </si>
  <si>
    <t>泰兴市佳源新天地2号16幢229室</t>
  </si>
  <si>
    <t>苏（2018）泰兴市不动产权第0040065号</t>
  </si>
  <si>
    <t>泰兴市佳源新天地2号16幢230室</t>
  </si>
  <si>
    <t>苏（2018）泰兴市不动产权第0040066号</t>
  </si>
  <si>
    <t>泰兴市佳源新天地2号16幢231室</t>
  </si>
  <si>
    <t>苏（2018）泰兴市不动产权第0040067号</t>
  </si>
  <si>
    <t>泰兴市佳源新天地2号16幢232室</t>
  </si>
  <si>
    <t>苏（2018）泰兴市不动产权第0040068号</t>
  </si>
  <si>
    <t>泰兴市佳源新天地2号16幢233室</t>
  </si>
  <si>
    <t>苏（2018）泰兴市不动产权第0040069号</t>
  </si>
  <si>
    <t>泰兴市佳源新天地2号16幢234室</t>
  </si>
  <si>
    <t>苏（2018）泰兴市不动产权第0039946号</t>
  </si>
  <si>
    <t>泰兴市佳源新天地2号16幢235室</t>
  </si>
  <si>
    <t>苏（2018）泰兴市不动产权第0040070号</t>
  </si>
  <si>
    <t>泰兴市佳源新天地2号16幢236室</t>
  </si>
  <si>
    <t>苏（2018）泰兴市不动产权第0040071号</t>
  </si>
  <si>
    <t>泰兴市佳源新天地2号16幢237室</t>
  </si>
  <si>
    <t>苏（2018）泰兴市不动产权第0040072号</t>
  </si>
  <si>
    <t>泰兴市佳源新天地2号16幢238室</t>
  </si>
  <si>
    <t>苏（2018）泰兴市不动产权第0040186号</t>
  </si>
  <si>
    <t>泰兴市佳源新天地2号16幢239室</t>
  </si>
  <si>
    <t>苏（2018）泰兴市不动产权第0039947号</t>
  </si>
  <si>
    <t>泰兴市佳源新天地2号16幢240室</t>
  </si>
  <si>
    <t>苏（2018）泰兴市不动产权第0040187号</t>
  </si>
  <si>
    <t>泰兴市佳源新天地2号16幢241室</t>
  </si>
  <si>
    <t>苏（2018）泰兴市不动产权第0040188号</t>
  </si>
  <si>
    <t>泰兴市佳源新天地2号16幢242室</t>
  </si>
  <si>
    <t>苏（2018）泰兴市不动产权第0040189号</t>
  </si>
  <si>
    <t>泰兴市佳源新天地2号16幢243室</t>
  </si>
  <si>
    <t>苏（2018）泰兴市不动产权第0040190号</t>
  </si>
  <si>
    <t>泰兴市佳源新天地2号16幢244室</t>
  </si>
  <si>
    <t>苏（2018）泰兴市不动产权第0040191号</t>
  </si>
  <si>
    <t>泰兴市佳源新天地2号16幢245室</t>
  </si>
  <si>
    <t>苏（2018）泰兴市不动产权第0039948号</t>
  </si>
  <si>
    <t>泰兴市佳源新天地2号16幢246室</t>
  </si>
  <si>
    <t>苏（2018）泰兴市不动产权第0040216号</t>
  </si>
  <si>
    <t>泰兴市佳源新天地2号16幢247室</t>
  </si>
  <si>
    <t>苏（2018）泰兴市不动产权第0040217号</t>
  </si>
  <si>
    <t>泰兴市佳源新天地2号16幢248室</t>
  </si>
  <si>
    <t>苏（2018）泰兴市不动产权第0040218号</t>
  </si>
  <si>
    <t>泰兴市佳源新天地2号16幢249室</t>
  </si>
  <si>
    <t>苏（2018）泰兴市不动产权第0040219号</t>
  </si>
  <si>
    <t>泰兴市佳源新天地2号16幢250室</t>
  </si>
  <si>
    <t>苏（2018）泰兴市不动产权第0040220号</t>
  </si>
  <si>
    <t>泰兴市佳源新天地2号16幢251室</t>
  </si>
  <si>
    <t>苏（2018）泰兴市不动产权第0040221号</t>
  </si>
  <si>
    <t>泰兴市佳源新天地2号16幢252室</t>
  </si>
  <si>
    <t>苏（2018）泰兴市不动产权第0040222号</t>
  </si>
  <si>
    <t>泰兴市佳源新天地2号16幢253室</t>
  </si>
  <si>
    <t>苏（2018）泰兴市不动产权第0040223号</t>
  </si>
  <si>
    <t>泰兴市佳源新天地2号16幢254室</t>
  </si>
  <si>
    <t>苏（2018）泰兴市不动产权第0040224号</t>
  </si>
  <si>
    <t>泰兴市佳源新天地2号16幢255室</t>
  </si>
  <si>
    <t>苏（2018）泰兴市不动产权第0040225号</t>
  </si>
  <si>
    <t>泰兴市佳源新天地2号16幢256室</t>
  </si>
  <si>
    <t>苏（2018）泰兴市不动产权第0040226号</t>
  </si>
  <si>
    <t>泰兴市佳源新天地2号16幢257室</t>
  </si>
  <si>
    <t>苏（2018）泰兴市不动产权第0040227号</t>
  </si>
  <si>
    <t>泰兴市佳源新天地2号16幢258室</t>
  </si>
  <si>
    <t>苏（2018）泰兴市不动产权第0040228号</t>
  </si>
  <si>
    <t>泰兴市佳源新天地2号16幢259室</t>
  </si>
  <si>
    <t>苏（2018）泰兴市不动产权第0040229号</t>
  </si>
  <si>
    <t>泰兴市佳源新天地2号16幢260室</t>
  </si>
  <si>
    <t>苏（2018）泰兴市不动产权第0039949号</t>
  </si>
  <si>
    <t>泰兴市佳源新天地2号16幢261室</t>
  </si>
  <si>
    <t>苏（2018）泰兴市不动产权第0040230号</t>
  </si>
  <si>
    <t>泰兴市佳源新天地2号16幢262室</t>
  </si>
  <si>
    <t>苏（2018）泰兴市不动产权第0040231号</t>
  </si>
  <si>
    <t>泰兴市佳源新天地2号16幢263室</t>
  </si>
  <si>
    <t>苏（2018）泰兴市不动产权第0040232号</t>
  </si>
  <si>
    <t>泰兴市佳源新天地2号16幢264室</t>
  </si>
  <si>
    <t>苏（2018）泰兴市不动产权第0040233号</t>
  </si>
  <si>
    <t>泰兴市佳源新天地2号16幢265室</t>
  </si>
  <si>
    <t>苏（2018）泰兴市不动产权第0039950号</t>
  </si>
  <si>
    <t>泰兴市佳源新天地2号16幢266室</t>
  </si>
  <si>
    <t>苏（2018）泰兴市不动产权第0040234号</t>
  </si>
  <si>
    <t>泰兴市佳源新天地2号16幢267室</t>
  </si>
  <si>
    <t>苏（2018）泰兴市不动产权第0040235号</t>
  </si>
  <si>
    <t>泰兴市佳源新天地2号16幢268室</t>
  </si>
  <si>
    <t>苏（2018）泰兴市不动产权第0040236号</t>
  </si>
  <si>
    <t>泰兴市佳源新天地2号16幢269室</t>
  </si>
  <si>
    <t>苏（2018）泰兴市不动产权第0040284号</t>
  </si>
  <si>
    <t>泰兴市佳源新天地2号16幢270室</t>
  </si>
  <si>
    <t>苏（2018）泰兴市不动产权第0040285号</t>
  </si>
  <si>
    <t>泰兴市佳源新天地2号16幢271室</t>
  </si>
  <si>
    <t>苏（2018）泰兴市不动产权第0039951号</t>
  </si>
  <si>
    <t>泰兴市佳源新天地2号16幢272室</t>
  </si>
  <si>
    <t>苏（2018）泰兴市不动产权第0040286号</t>
  </si>
  <si>
    <t>泰兴市佳源新天地2号16幢273室</t>
  </si>
  <si>
    <t>苏（2018）泰兴市不动产权第0040287号</t>
  </si>
  <si>
    <t>泰兴市佳源新天地2号16幢274室</t>
  </si>
  <si>
    <t>苏（2018）泰兴市不动产权第0040288号</t>
  </si>
  <si>
    <t>泰兴市佳源新天地2号16幢275室</t>
  </si>
  <si>
    <t>苏（2018）泰兴市不动产权第0039890号</t>
  </si>
  <si>
    <t>泰兴市佳源新天地2号16幢276室</t>
  </si>
  <si>
    <t>苏（2018）泰兴市不动产权第0039891号</t>
  </si>
  <si>
    <t>泰兴市佳源新天地2号16幢277室</t>
  </si>
  <si>
    <t>苏（2018）泰兴市不动产权第0039892号</t>
  </si>
  <si>
    <t>泰兴市佳源新天地2号16幢278室</t>
  </si>
  <si>
    <t>苏（2018）泰兴市不动产权第0039893号</t>
  </si>
  <si>
    <t>泰兴市佳源新天地2号16幢279室</t>
  </si>
  <si>
    <t>苏（2018）泰兴市不动产权第0039894号</t>
  </si>
  <si>
    <t>泰兴市佳源新天地2号16幢280室</t>
  </si>
  <si>
    <t>苏（2018）泰兴市不动产权第0039895号</t>
  </si>
  <si>
    <t>泰兴市佳源新天地2号16幢281室</t>
  </si>
  <si>
    <t>苏（2018）泰兴市不动产权第0039896号</t>
  </si>
  <si>
    <t>泰兴市佳源新天地2号16幢282室</t>
  </si>
  <si>
    <t>苏（2018）泰兴市不动产权第0039897号</t>
  </si>
  <si>
    <t>泰兴市佳源新天地2号16幢283室</t>
  </si>
  <si>
    <t>苏（2018）泰兴市不动产权第0039898号</t>
  </si>
  <si>
    <t>泰兴市佳源新天地2号16幢284室</t>
  </si>
  <si>
    <t>苏（2018）泰兴市不动产权第0039899号</t>
  </si>
  <si>
    <t>泰兴市佳源新天地2号16幢285室</t>
  </si>
  <si>
    <t>苏（2018）泰兴市不动产权第0039900号</t>
  </si>
  <si>
    <t>泰兴市佳源新天地2号16幢286室</t>
  </si>
  <si>
    <t>苏（2018）泰兴市不动产权第0039901号</t>
  </si>
  <si>
    <t>泰兴市佳源新天地2号16幢287室</t>
  </si>
  <si>
    <t>苏（2018）泰兴市不动产权第0039902号</t>
  </si>
  <si>
    <t>泰兴市佳源新天地2号16幢288室</t>
  </si>
  <si>
    <t>苏（2018）泰兴市不动产权第0039903号</t>
  </si>
  <si>
    <t>泰兴市佳源新天地2号16幢289室</t>
  </si>
  <si>
    <t>苏（2018）泰兴市不动产权第0039904号</t>
  </si>
  <si>
    <t>泰兴市佳源新天地2号16幢290室</t>
  </si>
  <si>
    <t>苏（2018）泰兴市不动产权第0039952号</t>
  </si>
  <si>
    <t>泰兴市佳源新天地2号16幢291室</t>
  </si>
  <si>
    <t>苏（2018）泰兴市不动产权第0039905号</t>
  </si>
  <si>
    <t>泰兴市佳源新天地2号16幢292室</t>
  </si>
  <si>
    <t>苏（2018）泰兴市不动产权第0039906号</t>
  </si>
  <si>
    <t>泰兴市佳源新天地2号16幢293室</t>
  </si>
  <si>
    <t>苏（2018）泰兴市不动产权第0039907号</t>
  </si>
  <si>
    <t>泰兴市佳源新天地2号16幢294室</t>
  </si>
  <si>
    <t>苏（2018）泰兴市不动产权第0039908号</t>
  </si>
  <si>
    <t>泰兴市佳源新天地2号16幢295室</t>
  </si>
  <si>
    <t>苏（2018）泰兴市不动产权第0039909号</t>
  </si>
  <si>
    <t>泰兴市佳源新天地2号16幢296室</t>
  </si>
  <si>
    <t>苏（2018）泰兴市不动产权第0040022号</t>
  </si>
  <si>
    <t>泰兴市佳源新天地2号16幢297室</t>
  </si>
  <si>
    <t>苏（2018）泰兴市不动产权第0039910号</t>
  </si>
  <si>
    <t>泰兴市佳源新天地2号16幢298室</t>
  </si>
  <si>
    <t>苏（2018）泰兴市不动产权第0039911号</t>
  </si>
  <si>
    <t>泰兴市佳源新天地2号16幢299室</t>
  </si>
  <si>
    <t>苏（2018）泰兴市不动产权第0039912号</t>
  </si>
  <si>
    <t>泰兴市佳源新天地2号16幢301室</t>
  </si>
  <si>
    <t>苏（2018）泰兴市不动产权第0039916号</t>
  </si>
  <si>
    <t>泰兴市佳源新天地2号16幢302室</t>
  </si>
  <si>
    <t>苏（2018）泰兴市不动产权第0039917号</t>
  </si>
  <si>
    <t>泰兴市佳源新天地2号16幢303室</t>
  </si>
  <si>
    <t>苏（2018）泰兴市不动产权第0039918号</t>
  </si>
  <si>
    <t>泰兴市佳源新天地2号16幢304室</t>
  </si>
  <si>
    <t>苏（2018）泰兴市不动产权第0039919号</t>
  </si>
  <si>
    <t>泰兴市佳源新天地2号16幢305室</t>
  </si>
  <si>
    <t>苏（2018）泰兴市不动产权第0039920号</t>
  </si>
  <si>
    <t>泰兴市佳源新天地2号16幢306室</t>
  </si>
  <si>
    <t>苏（2018）泰兴市不动产权第0039921号</t>
  </si>
  <si>
    <t>泰兴市佳源新天地2号16幢307室</t>
  </si>
  <si>
    <t>苏（2018）泰兴市不动产权第0039922号</t>
  </si>
  <si>
    <t>泰兴市佳源新天地2号16幢308室</t>
  </si>
  <si>
    <t>苏（2018）泰兴市不动产权第0039923号</t>
  </si>
  <si>
    <t>泰兴市佳源新天地2号16幢309室</t>
  </si>
  <si>
    <t>苏（2018）泰兴市不动产权第0039924号</t>
  </si>
  <si>
    <t>泰兴市佳源新天地2号16幢310室</t>
  </si>
  <si>
    <t>苏（2018）泰兴市不动产权第0039925号</t>
  </si>
  <si>
    <t>泰兴市佳源新天地2号16幢3100室</t>
  </si>
  <si>
    <t>苏（2018）泰兴市不动产权第0040253号</t>
  </si>
  <si>
    <t>泰兴市佳源新天地2号16幢3101室</t>
  </si>
  <si>
    <t>苏（2018）泰兴市不动产权第0040255号</t>
  </si>
  <si>
    <t>泰兴市佳源新天地2号16幢3102室</t>
  </si>
  <si>
    <t>苏（2018）泰兴市不动产权第0040256号</t>
  </si>
  <si>
    <t>泰兴市佳源新天地2号16幢311室</t>
  </si>
  <si>
    <t>苏（2018）泰兴市不动产权第0039926号</t>
  </si>
  <si>
    <t>泰兴市佳源新天地2号16幢312室</t>
  </si>
  <si>
    <t>苏（2018）泰兴市不动产权第0039927号</t>
  </si>
  <si>
    <t>泰兴市佳源新天地2号16幢313室</t>
  </si>
  <si>
    <t>苏（2018）泰兴市不动产权第0040023号</t>
  </si>
  <si>
    <t>泰兴市佳源新天地2号16幢314室</t>
  </si>
  <si>
    <t>苏（2018）泰兴市不动产权第0039928号</t>
  </si>
  <si>
    <t>泰兴市佳源新天地2号16幢315室</t>
  </si>
  <si>
    <t>苏（2018）泰兴市不动产权第0039929号</t>
  </si>
  <si>
    <t>泰兴市佳源新天地2号16幢316室</t>
  </si>
  <si>
    <t>苏（2018）泰兴市不动产权第0039931号</t>
  </si>
  <si>
    <t>泰兴市佳源新天地2号16幢317室</t>
  </si>
  <si>
    <t>苏（2018）泰兴市不动产权第0039932号</t>
  </si>
  <si>
    <t>泰兴市佳源新天地2号16幢318室</t>
  </si>
  <si>
    <t>苏（2018）泰兴市不动产权第0040024号</t>
  </si>
  <si>
    <t>泰兴市佳源新天地2号16幢319室</t>
  </si>
  <si>
    <t>苏（2018）泰兴市不动产权第0039933号</t>
  </si>
  <si>
    <t>泰兴市佳源新天地2号16幢320室</t>
  </si>
  <si>
    <t>苏（2018）泰兴市不动产权第0040192号</t>
  </si>
  <si>
    <t>泰兴市佳源新天地2号16幢321室</t>
  </si>
  <si>
    <t>苏（2018）泰兴市不动产权第0040193号</t>
  </si>
  <si>
    <t>泰兴市佳源新天地2号16幢322室</t>
  </si>
  <si>
    <t>苏（2018）泰兴市不动产权第0040194号</t>
  </si>
  <si>
    <t>泰兴市佳源新天地2号16幢323室</t>
  </si>
  <si>
    <t>苏（2018）泰兴市不动产权第0040195号</t>
  </si>
  <si>
    <t>泰兴市佳源新天地2号16幢324室</t>
  </si>
  <si>
    <t>苏（2018）泰兴市不动产权第0040196号</t>
  </si>
  <si>
    <t>泰兴市佳源新天地2号16幢325室</t>
  </si>
  <si>
    <t>苏（2018）泰兴市不动产权第0040197号</t>
  </si>
  <si>
    <t>泰兴市佳源新天地2号16幢326室</t>
  </si>
  <si>
    <t>苏（2018）泰兴市不动产权第0040198号</t>
  </si>
  <si>
    <t>泰兴市佳源新天地2号16幢327室</t>
  </si>
  <si>
    <t>苏（2018）泰兴市不动产权第0040199号</t>
  </si>
  <si>
    <t>泰兴市佳源新天地2号16幢328室</t>
  </si>
  <si>
    <t>苏（2018）泰兴市不动产权第0040201号</t>
  </si>
  <si>
    <t>泰兴市佳源新天地2号16幢329室</t>
  </si>
  <si>
    <t>苏（2018）泰兴市不动产权第0040202号</t>
  </si>
  <si>
    <t>泰兴市佳源新天地2号16幢330室</t>
  </si>
  <si>
    <t>苏（2018）泰兴市不动产权第0040203号</t>
  </si>
  <si>
    <t>泰兴市佳源新天地2号16幢331室</t>
  </si>
  <si>
    <t>苏（2018）泰兴市不动产权第0040204号</t>
  </si>
  <si>
    <t>泰兴市佳源新天地2号16幢332室</t>
  </si>
  <si>
    <t>苏（2018）泰兴市不动产权第0040205号</t>
  </si>
  <si>
    <t>泰兴市佳源新天地2号16幢333室</t>
  </si>
  <si>
    <t>苏（2018）泰兴市不动产权第0040025号</t>
  </si>
  <si>
    <t>泰兴市佳源新天地2号16幢334室</t>
  </si>
  <si>
    <t>苏（2018）泰兴市不动产权第0040206号</t>
  </si>
  <si>
    <t>泰兴市佳源新天地2号16幢335室</t>
  </si>
  <si>
    <t>苏（2018）泰兴市不动产权第0040207号</t>
  </si>
  <si>
    <t>泰兴市佳源新天地2号16幢336室</t>
  </si>
  <si>
    <t>苏（2018）泰兴市不动产权第0040208号</t>
  </si>
  <si>
    <t>泰兴市佳源新天地2号16幢337室</t>
  </si>
  <si>
    <t>苏（2018）泰兴市不动产权第0040209号</t>
  </si>
  <si>
    <t>泰兴市佳源新天地2号16幢338室</t>
  </si>
  <si>
    <t>苏（2018）泰兴市不动产权第0040210号</t>
  </si>
  <si>
    <t>泰兴市佳源新天地2号16幢339室</t>
  </si>
  <si>
    <t>苏（2018）泰兴市不动产权第0040026号</t>
  </si>
  <si>
    <t>泰兴市佳源新天地2号16幢340室</t>
  </si>
  <si>
    <t>苏（2018）泰兴市不动产权第0040211号</t>
  </si>
  <si>
    <t>泰兴市佳源新天地2号16幢341室</t>
  </si>
  <si>
    <t>苏（2018）泰兴市不动产权第0040212号</t>
  </si>
  <si>
    <t>泰兴市佳源新天地2号16幢342室</t>
  </si>
  <si>
    <t>苏（2018）泰兴市不动产权第0040213号</t>
  </si>
  <si>
    <t>泰兴市佳源新天地2号16幢343室</t>
  </si>
  <si>
    <t>苏（2018）泰兴市不动产权第0040214号</t>
  </si>
  <si>
    <t>泰兴市佳源新天地2号16幢344室</t>
  </si>
  <si>
    <t>苏（2018）泰兴市不动产权第0040215号</t>
  </si>
  <si>
    <t>泰兴市佳源新天地2号16幢345室</t>
  </si>
  <si>
    <t>苏（2018）泰兴市不动产权第0040027号</t>
  </si>
  <si>
    <t>泰兴市佳源新天地2号16幢346室</t>
  </si>
  <si>
    <t>苏（2018）泰兴市不动产权第0040039号</t>
  </si>
  <si>
    <t>泰兴市佳源新天地2号16幢347室</t>
  </si>
  <si>
    <t>苏（2018）泰兴市不动产权第0040040号</t>
  </si>
  <si>
    <t>泰兴市佳源新天地2号16幢348室</t>
  </si>
  <si>
    <t>苏（2018）泰兴市不动产权第0040041号</t>
  </si>
  <si>
    <t>泰兴市佳源新天地2号16幢349室</t>
  </si>
  <si>
    <t>苏（2018）泰兴市不动产权第0040042号</t>
  </si>
  <si>
    <t>泰兴市佳源新天地2号16幢350室</t>
  </si>
  <si>
    <t>苏（2018）泰兴市不动产权第0040043号</t>
  </si>
  <si>
    <t>泰兴市佳源新天地2号16幢351室</t>
  </si>
  <si>
    <t>苏（2018）泰兴市不动产权第0040046号</t>
  </si>
  <si>
    <t>泰兴市佳源新天地2号16幢352室</t>
  </si>
  <si>
    <t>苏（2018）泰兴市不动产权第0040047号</t>
  </si>
  <si>
    <t>泰兴市佳源新天地2号16幢353室</t>
  </si>
  <si>
    <t>苏（2018）泰兴市不动产权第0040048号</t>
  </si>
  <si>
    <t>泰兴市佳源新天地2号16幢354室</t>
  </si>
  <si>
    <t>苏（2018）泰兴市不动产权第0040049号</t>
  </si>
  <si>
    <t>泰兴市佳源新天地2号16幢355室</t>
  </si>
  <si>
    <t>苏（2018）泰兴市不动产权第0040050号</t>
  </si>
  <si>
    <t>泰兴市佳源新天地2号16幢356室</t>
  </si>
  <si>
    <t>苏（2018）泰兴市不动产权第0040051号</t>
  </si>
  <si>
    <t>泰兴市佳源新天地2号16幢357室</t>
  </si>
  <si>
    <t>苏（2018）泰兴市不动产权第0040052号</t>
  </si>
  <si>
    <t>泰兴市佳源新天地2号16幢358室</t>
  </si>
  <si>
    <t>苏（2018）泰兴市不动产权第0040053号</t>
  </si>
  <si>
    <t>泰兴市佳源新天地2号16幢359室</t>
  </si>
  <si>
    <t>苏（2018）泰兴市不动产权第0040054号</t>
  </si>
  <si>
    <t>泰兴市佳源新天地2号16幢360室</t>
  </si>
  <si>
    <t>苏（2018）泰兴市不动产权第0040028号</t>
  </si>
  <si>
    <t>泰兴市佳源新天地2号16幢361室</t>
  </si>
  <si>
    <t>苏（2018）泰兴市不动产权第0040055号</t>
  </si>
  <si>
    <t>泰兴市佳源新天地2号16幢362室</t>
  </si>
  <si>
    <t>苏（2018）泰兴市不动产权第0040073号</t>
  </si>
  <si>
    <t>泰兴市佳源新天地2号16幢363室</t>
  </si>
  <si>
    <t>苏（2018）泰兴市不动产权第0040074号</t>
  </si>
  <si>
    <t>泰兴市佳源新天地2号16幢364室</t>
  </si>
  <si>
    <t>苏（2018）泰兴市不动产权第0040075号</t>
  </si>
  <si>
    <t>泰兴市佳源新天地2号16幢365室</t>
  </si>
  <si>
    <t>苏（2018）泰兴市不动产权第0040029号</t>
  </si>
  <si>
    <t>泰兴市佳源新天地2号16幢366室</t>
  </si>
  <si>
    <t>苏（2018）泰兴市不动产权第0040076号</t>
  </si>
  <si>
    <t>泰兴市佳源新天地2号16幢367室</t>
  </si>
  <si>
    <t>苏（2018）泰兴市不动产权第0040077号</t>
  </si>
  <si>
    <t>泰兴市佳源新天地2号16幢368室</t>
  </si>
  <si>
    <t>苏（2018）泰兴市不动产权第0040078号</t>
  </si>
  <si>
    <t>泰兴市佳源新天地2号16幢369室</t>
  </si>
  <si>
    <t>苏（2018）泰兴市不动产权第0040079号</t>
  </si>
  <si>
    <t>泰兴市佳源新天地2号16幢370室</t>
  </si>
  <si>
    <t>苏（2018）泰兴市不动产权第0040080号</t>
  </si>
  <si>
    <t>泰兴市佳源新天地2号16幢371室</t>
  </si>
  <si>
    <t>苏（2018）泰兴市不动产权第0040030号</t>
  </si>
  <si>
    <t>泰兴市佳源新天地2号16幢372室</t>
  </si>
  <si>
    <t>苏（2018）泰兴市不动产权第0040127号</t>
  </si>
  <si>
    <t>泰兴市佳源新天地2号16幢373室</t>
  </si>
  <si>
    <t>苏（2018）泰兴市不动产权第0040128号</t>
  </si>
  <si>
    <t>泰兴市佳源新天地2号16幢374室</t>
  </si>
  <si>
    <t>苏（2018）泰兴市不动产权第0040130号</t>
  </si>
  <si>
    <t>泰兴市佳源新天地2号16幢375室</t>
  </si>
  <si>
    <t>苏（2018）泰兴市不动产权第0040131号</t>
  </si>
  <si>
    <t>泰兴市佳源新天地2号16幢376室</t>
  </si>
  <si>
    <t>苏（2018）泰兴市不动产权第0040132号</t>
  </si>
  <si>
    <t>泰兴市佳源新天地2号16幢377室</t>
  </si>
  <si>
    <t>苏（2018）泰兴市不动产权第0040133号</t>
  </si>
  <si>
    <t>泰兴市佳源新天地2号16幢378室</t>
  </si>
  <si>
    <t>苏（2018）泰兴市不动产权第0040134号</t>
  </si>
  <si>
    <t>泰兴市佳源新天地2号16幢379室</t>
  </si>
  <si>
    <t>苏（2018）泰兴市不动产权第0040135号</t>
  </si>
  <si>
    <t>泰兴市佳源新天地2号16幢380室</t>
  </si>
  <si>
    <t>苏（2018）泰兴市不动产权第0040136号</t>
  </si>
  <si>
    <t>泰兴市佳源新天地2号16幢381室</t>
  </si>
  <si>
    <t>苏（2018）泰兴市不动产权第0040137号</t>
  </si>
  <si>
    <t>泰兴市佳源新天地2号16幢382室</t>
  </si>
  <si>
    <t>苏（2018）泰兴市不动产权第0040138号</t>
  </si>
  <si>
    <t>泰兴市佳源新天地2号16幢383室</t>
  </si>
  <si>
    <t>苏（2018）泰兴市不动产权第0040139号</t>
  </si>
  <si>
    <t>泰兴市佳源新天地2号16幢384室</t>
  </si>
  <si>
    <t>苏（2018）泰兴市不动产权第0040140号</t>
  </si>
  <si>
    <t>泰兴市佳源新天地2号16幢385室</t>
  </si>
  <si>
    <t>苏（2018）泰兴市不动产权第0040141号</t>
  </si>
  <si>
    <t>泰兴市佳源新天地2号16幢386室</t>
  </si>
  <si>
    <t>苏（2018）泰兴市不动产权第0040142号</t>
  </si>
  <si>
    <t>泰兴市佳源新天地2号16幢387室</t>
  </si>
  <si>
    <t>苏（2018）泰兴市不动产权第0040143号</t>
  </si>
  <si>
    <t>泰兴市佳源新天地2号16幢388室</t>
  </si>
  <si>
    <t>苏（2018）泰兴市不动产权第0040144号</t>
  </si>
  <si>
    <t>泰兴市佳源新天地2号16幢389室</t>
  </si>
  <si>
    <t>苏（2018）泰兴市不动产权第0040145号</t>
  </si>
  <si>
    <t>泰兴市佳源新天地2号16幢390室</t>
  </si>
  <si>
    <t>苏（2018）泰兴市不动产权第0040031号</t>
  </si>
  <si>
    <t>泰兴市佳源新天地2号16幢391室</t>
  </si>
  <si>
    <t>苏（2018）泰兴市不动产权第0040147号</t>
  </si>
  <si>
    <t>泰兴市佳源新天地2号16幢392室</t>
  </si>
  <si>
    <t>苏（2018）泰兴市不动产权第0040148号</t>
  </si>
  <si>
    <t>泰兴市佳源新天地2号16幢393室</t>
  </si>
  <si>
    <t>苏（2018）泰兴市不动产权第0040149号</t>
  </si>
  <si>
    <t>泰兴市佳源新天地2号16幢394室</t>
  </si>
  <si>
    <t>苏（2018）泰兴市不动产权第0040150号</t>
  </si>
  <si>
    <t>泰兴市佳源新天地2号16幢395室</t>
  </si>
  <si>
    <t>苏（2018）泰兴市不动产权第0040151号</t>
  </si>
  <si>
    <t>泰兴市佳源新天地2号16幢396室</t>
  </si>
  <si>
    <t>苏（2018）泰兴市不动产权第0040032号</t>
  </si>
  <si>
    <t>泰兴市佳源新天地2号16幢397室</t>
  </si>
  <si>
    <t>苏（2018）泰兴市不动产权第0040250号</t>
  </si>
  <si>
    <t>泰兴市佳源新天地2号16幢398室</t>
  </si>
  <si>
    <t>苏（2018）泰兴市不动产权第0040251号</t>
  </si>
  <si>
    <t>泰兴市佳源新天地2号16幢399室</t>
  </si>
  <si>
    <t>苏（2018）泰兴市不动产权第0040252号</t>
  </si>
  <si>
    <t>泰兴市佳源新天地2号16幢401室</t>
  </si>
  <si>
    <t>苏（2018）泰兴市不动产权第0040257号</t>
  </si>
  <si>
    <t>泰兴市佳源新天地2号16幢402室</t>
  </si>
  <si>
    <t>苏（2018）泰兴市不动产权第0040258号</t>
  </si>
  <si>
    <t>泰兴市佳源新天地2号16幢403室</t>
  </si>
  <si>
    <t>苏（2018）泰兴市不动产权第0040259号</t>
  </si>
  <si>
    <t>泰兴市佳源新天地2号16幢404室</t>
  </si>
  <si>
    <t>苏（2018）泰兴市不动产权第0040260号</t>
  </si>
  <si>
    <t>泰兴市佳源新天地2号16幢405室</t>
  </si>
  <si>
    <t>苏（2018）泰兴市不动产权第0040261号</t>
  </si>
  <si>
    <t>泰兴市佳源新天地2号16幢406室</t>
  </si>
  <si>
    <t>苏（2018）泰兴市不动产权第0040262号</t>
  </si>
  <si>
    <t>泰兴市佳源新天地2号16幢407室</t>
  </si>
  <si>
    <t>苏（2018）泰兴市不动产权第0040263号</t>
  </si>
  <si>
    <t>泰兴市佳源新天地2号16幢408室</t>
  </si>
  <si>
    <t>苏（2018）泰兴市不动产权第0040264号</t>
  </si>
  <si>
    <t>泰兴市佳源新天地2号16幢409室</t>
  </si>
  <si>
    <t>苏（2018）泰兴市不动产权第0040265号</t>
  </si>
  <si>
    <t>泰兴市佳源新天地2号16幢410室</t>
  </si>
  <si>
    <t>苏（2018）泰兴市不动产权第0040266号</t>
  </si>
  <si>
    <t>泰兴市佳源新天地2号16幢411室</t>
  </si>
  <si>
    <t>苏（2018）泰兴市不动产权第0040267号</t>
  </si>
  <si>
    <t>泰兴市佳源新天地2号16幢412室</t>
  </si>
  <si>
    <t>苏（2018）泰兴市不动产权第0040268号</t>
  </si>
  <si>
    <t>泰兴市佳源新天地2号16幢413室</t>
  </si>
  <si>
    <t>苏（2018）泰兴市不动产权第0040033号</t>
  </si>
  <si>
    <t>泰兴市佳源新天地2号16幢414室</t>
  </si>
  <si>
    <t>苏（2018）泰兴市不动产权第0040269号</t>
  </si>
  <si>
    <t>泰兴市佳源新天地2号16幢415室</t>
  </si>
  <si>
    <t>苏（2018）泰兴市不动产权第0040270号</t>
  </si>
  <si>
    <t>泰兴市佳源新天地2号16幢416室</t>
  </si>
  <si>
    <t>苏（2018）泰兴市不动产权第0040271号</t>
  </si>
  <si>
    <t>泰兴市佳源新天地2号16幢417室</t>
  </si>
  <si>
    <t>苏（2018）泰兴市不动产权第0040272号</t>
  </si>
  <si>
    <t>泰兴市佳源新天地2号16幢418室</t>
  </si>
  <si>
    <t>苏（2018）泰兴市不动产权第0040273号</t>
  </si>
  <si>
    <t>泰兴市佳源新天地2号16幢419室</t>
  </si>
  <si>
    <t>苏（2018）泰兴市不动产权第0040034号</t>
  </si>
  <si>
    <t>泰兴市佳源新天地2号16幢420室</t>
  </si>
  <si>
    <t>苏（2018）泰兴市不动产权第0039976号</t>
  </si>
  <si>
    <t>泰兴市佳源新天地2号16幢421室</t>
  </si>
  <si>
    <t>苏（2018）泰兴市不动产权第0039977号</t>
  </si>
  <si>
    <t>泰兴市佳源新天地2号16幢422室</t>
  </si>
  <si>
    <t>苏（2018）泰兴市不动产权第0039978号</t>
  </si>
  <si>
    <t>泰兴市佳源新天地2号16幢423室</t>
  </si>
  <si>
    <t>苏（2018）泰兴市不动产权第0039979号</t>
  </si>
  <si>
    <t>泰兴市佳源新天地2号16幢424室</t>
  </si>
  <si>
    <t>苏（2018）泰兴市不动产权第0039980号</t>
  </si>
  <si>
    <t>泰兴市佳源新天地2号16幢425室</t>
  </si>
  <si>
    <t>苏（2018）泰兴市不动产权第0039981号</t>
  </si>
  <si>
    <t>泰兴市佳源新天地2号16幢426室</t>
  </si>
  <si>
    <t>苏（2018）泰兴市不动产权第0039982号</t>
  </si>
  <si>
    <t>泰兴市佳源新天地2号16幢427室</t>
  </si>
  <si>
    <t>苏（2018）泰兴市不动产权第0039983号</t>
  </si>
  <si>
    <t>泰兴市佳源新天地2号16幢428室</t>
  </si>
  <si>
    <t>苏（2018）泰兴市不动产权第0039984号</t>
  </si>
  <si>
    <t>泰兴市佳源新天地2号16幢429室</t>
  </si>
  <si>
    <t>苏（2018）泰兴市不动产权第0039985号</t>
  </si>
  <si>
    <t>泰兴市佳源新天地2号16幢430室</t>
  </si>
  <si>
    <t>苏（2018）泰兴市不动产权第0039986号</t>
  </si>
  <si>
    <t>泰兴市佳源新天地2号16幢431室</t>
  </si>
  <si>
    <t>苏（2018）泰兴市不动产权第0039987号</t>
  </si>
  <si>
    <t>泰兴市佳源新天地2号16幢432室</t>
  </si>
  <si>
    <t>苏（2018）泰兴市不动产权第0039988号</t>
  </si>
  <si>
    <t>泰兴市佳源新天地2号16幢433室</t>
  </si>
  <si>
    <t>苏（2018）泰兴市不动产权第0039989号</t>
  </si>
  <si>
    <t>泰兴市佳源新天地2号16幢434室</t>
  </si>
  <si>
    <t>苏（2018）泰兴市不动产权第0039990号</t>
  </si>
  <si>
    <t>泰兴市佳源新天地2号16幢435室</t>
  </si>
  <si>
    <t>苏（2018）泰兴市不动产权第0039991号</t>
  </si>
  <si>
    <t>泰兴市佳源新天地2号16幢436室</t>
  </si>
  <si>
    <t>苏（2018）泰兴市不动产权第0039992号</t>
  </si>
  <si>
    <t>泰兴市佳源新天地2号16幢437室</t>
  </si>
  <si>
    <t>苏（2018）泰兴市不动产权第0039993号</t>
  </si>
  <si>
    <t>泰兴市佳源新天地2号16幢438室</t>
  </si>
  <si>
    <t>苏（2018）泰兴市不动产权第0040035号</t>
  </si>
  <si>
    <t>泰兴市佳源新天地2号16幢439室</t>
  </si>
  <si>
    <t>苏（2018）泰兴市不动产权第0039994号</t>
  </si>
  <si>
    <t>泰兴市佳源新天地2号16幢440室</t>
  </si>
  <si>
    <t>苏（2018）泰兴市不动产权第0039995号</t>
  </si>
  <si>
    <t>泰兴市佳源新天地2号16幢441室</t>
  </si>
  <si>
    <t>苏（2018）泰兴市不动产权第0039996号</t>
  </si>
  <si>
    <t>泰兴市佳源新天地2号16幢442室</t>
  </si>
  <si>
    <t>苏（2018）泰兴市不动产权第0039997号</t>
  </si>
  <si>
    <t>泰兴市佳源新天地2号16幢443室</t>
  </si>
  <si>
    <t>苏（2018）泰兴市不动产权第0039998号</t>
  </si>
  <si>
    <t>泰兴市佳源新天地2号16幢444室</t>
  </si>
  <si>
    <t>苏（2018）泰兴市不动产权第0040036号</t>
  </si>
  <si>
    <t>泰兴市佳源新天地2号16幢445室</t>
  </si>
  <si>
    <t>苏（2018）泰兴市不动产权第0040081号</t>
  </si>
  <si>
    <t>泰兴市佳源新天地2号16幢446室</t>
  </si>
  <si>
    <t>苏（2018）泰兴市不动产权第0040082号</t>
  </si>
  <si>
    <t>泰兴市佳源新天地2号16幢447室</t>
  </si>
  <si>
    <t>苏（2018）泰兴市不动产权第0040083号</t>
  </si>
  <si>
    <t>泰兴市佳源新天地2号16幢448室</t>
  </si>
  <si>
    <t>苏（2018）泰兴市不动产权第0040084号</t>
  </si>
  <si>
    <t>泰兴市佳源新天地2号16幢449室</t>
  </si>
  <si>
    <t>苏（2018）泰兴市不动产权第0040085号</t>
  </si>
  <si>
    <t>泰兴市佳源新天地2号16幢450室</t>
  </si>
  <si>
    <t>苏（2018）泰兴市不动产权第0040086号</t>
  </si>
  <si>
    <t>泰兴市佳源新天地2号16幢451室</t>
  </si>
  <si>
    <t>苏（2018）泰兴市不动产权第0040087号</t>
  </si>
  <si>
    <t>泰兴市佳源新天地2号16幢452室</t>
  </si>
  <si>
    <t>苏（2018）泰兴市不动产权第0040088号</t>
  </si>
  <si>
    <t>泰兴市佳源新天地2号16幢453室</t>
  </si>
  <si>
    <t>苏（2018）泰兴市不动产权第0040089号</t>
  </si>
  <si>
    <t>泰兴市佳源新天地2号16幢454室</t>
  </si>
  <si>
    <t>苏（2018）泰兴市不动产权第0040090号</t>
  </si>
  <si>
    <t>泰兴市佳源新天地2号16幢455室</t>
  </si>
  <si>
    <t>苏（2018）泰兴市不动产权第0040091号</t>
  </si>
  <si>
    <t>泰兴市佳源新天地2号16幢456室</t>
  </si>
  <si>
    <t>苏（2018）泰兴市不动产权第0040092号</t>
  </si>
  <si>
    <t>泰兴市佳源新天地2号16幢457室</t>
  </si>
  <si>
    <t>苏（2018）泰兴市不动产权第0040093号</t>
  </si>
  <si>
    <t>泰兴市佳源新天地2号16幢458室</t>
  </si>
  <si>
    <t>苏（2018）泰兴市不动产权第0040094号</t>
  </si>
  <si>
    <t>泰兴市佳源新天地2号16幢459室</t>
  </si>
  <si>
    <t>苏（2018）泰兴市不动产权第0040095号</t>
  </si>
  <si>
    <t>泰兴市佳源新天地2号16幢460室</t>
  </si>
  <si>
    <t>苏（2018）泰兴市不动产权第0040096号</t>
  </si>
  <si>
    <t>泰兴市佳源新天地2号16幢461室</t>
  </si>
  <si>
    <t>苏（2018）泰兴市不动产权第0040097号</t>
  </si>
  <si>
    <t>泰兴市佳源新天地2号16幢462室</t>
  </si>
  <si>
    <t>苏（2018）泰兴市不动产权第0040112号</t>
  </si>
  <si>
    <t>泰兴市佳源新天地2号16幢463室</t>
  </si>
  <si>
    <t>苏（2018）泰兴市不动产权第0040037号</t>
  </si>
  <si>
    <t>泰兴市佳源新天地2号16幢464室</t>
  </si>
  <si>
    <t>苏（2018）泰兴市不动产权第0040113号</t>
  </si>
  <si>
    <t>泰兴市佳源新天地2号16幢465室</t>
  </si>
  <si>
    <t>苏（2018）泰兴市不动产权第0040114号</t>
  </si>
  <si>
    <t>泰兴市佳源新天地2号16幢466室</t>
  </si>
  <si>
    <t>苏（2018）泰兴市不动产权第0040115号</t>
  </si>
  <si>
    <t>泰兴市佳源新天地2号16幢467室</t>
  </si>
  <si>
    <t>苏（2018）泰兴市不动产权第0040116号</t>
  </si>
  <si>
    <t>泰兴市佳源新天地2号16幢468室</t>
  </si>
  <si>
    <t>苏（2018）泰兴市不动产权第0040117号</t>
  </si>
  <si>
    <t>泰兴市佳源新天地2号16幢469室</t>
  </si>
  <si>
    <t>苏（2018）泰兴市不动产权第0040038号</t>
  </si>
  <si>
    <t>泰兴市佳源新天地2号16幢470室</t>
  </si>
  <si>
    <t>苏（2018）泰兴市不动产权第0040152号</t>
  </si>
  <si>
    <t>泰兴市佳源新天地2号16幢471室</t>
  </si>
  <si>
    <t>苏（2018）泰兴市不动产权第0040153号</t>
  </si>
  <si>
    <t>泰兴市佳源新天地2号16幢472室</t>
  </si>
  <si>
    <t>苏（2018）泰兴市不动产权第0040154号</t>
  </si>
  <si>
    <t>泰兴市佳源新天地2号16幢501室</t>
  </si>
  <si>
    <t>苏（2018）泰兴市不动产权第0040155号</t>
  </si>
  <si>
    <t>泰兴市佳源新天地2号16幢505室</t>
  </si>
  <si>
    <t>苏（2018）泰兴市不动产权第0040156号</t>
  </si>
  <si>
    <t>泰兴市佳源新天地2号16幢506室</t>
  </si>
  <si>
    <t>苏（2018）泰兴市不动产权第0040157号</t>
  </si>
  <si>
    <t>泰兴市佳源新天地2号16幢507室</t>
  </si>
  <si>
    <t>苏（2018）泰兴市不动产权第0040158号</t>
  </si>
  <si>
    <t>泰兴市佳源新天地2号16幢508室</t>
  </si>
  <si>
    <t>苏（2018）泰兴市不动产权第0040159号</t>
  </si>
  <si>
    <t>泰兴市佳源新天地2号16幢509室</t>
  </si>
  <si>
    <t>苏（2018）泰兴市不动产权第0040160号</t>
  </si>
  <si>
    <t>泰兴市佳源新天地2号16幢510室</t>
  </si>
  <si>
    <t>苏（2018）泰兴市不动产权第0040168号</t>
  </si>
  <si>
    <t>泰兴市佳源新天地2号16幢511室</t>
  </si>
  <si>
    <t>苏（2018）泰兴市不动产权第0040169号</t>
  </si>
  <si>
    <t>泰兴市佳源新天地2号16幢512室</t>
  </si>
  <si>
    <t>苏（2018）泰兴市不动产权第0040170号</t>
  </si>
  <si>
    <t>泰兴市佳源新天地2号16幢513室</t>
  </si>
  <si>
    <t>苏（2018）泰兴市不动产权第0040171号</t>
  </si>
  <si>
    <t>泰兴市佳源新天地2号16幢514室</t>
  </si>
  <si>
    <t>苏（2018）泰兴市不动产权第0040172号</t>
  </si>
  <si>
    <t>泰兴市佳源新天地2号16幢515室</t>
  </si>
  <si>
    <t>苏（2018）泰兴市不动产权第0040173号</t>
  </si>
  <si>
    <t>泰兴市佳源新天地2号16幢516室</t>
  </si>
  <si>
    <t>苏（2018）泰兴市不动产权第0040174号</t>
  </si>
  <si>
    <t>泰兴市佳源新天地2号16幢517室</t>
  </si>
  <si>
    <t>苏（2018）泰兴市不动产权第0040175号</t>
  </si>
  <si>
    <t>泰兴市佳源新天地2号16幢518室</t>
  </si>
  <si>
    <t>苏（2018）泰兴市不动产权第0040176号</t>
  </si>
  <si>
    <t>泰兴市佳源新天地2号16幢519室</t>
  </si>
  <si>
    <t>苏（2018）泰兴市不动产权第0040044号</t>
  </si>
  <si>
    <t>泰兴市佳源新天地2号16幢520室</t>
  </si>
  <si>
    <t>苏（2018）泰兴市不动产权第0040177号</t>
  </si>
  <si>
    <t>泰兴市佳源新天地2号16幢521室</t>
  </si>
  <si>
    <t>苏（2018）泰兴市不动产权第0040178号</t>
  </si>
  <si>
    <t>泰兴市佳源新天地2号16幢522室</t>
  </si>
  <si>
    <t>苏（2018）泰兴市不动产权第0040179号</t>
  </si>
  <si>
    <t>泰兴市佳源新天地2号16幢523室</t>
  </si>
  <si>
    <t>苏（2018）泰兴市不动产权第0040180号</t>
  </si>
  <si>
    <t>泰兴市佳源新天地2号16幢524室</t>
  </si>
  <si>
    <t>苏（2018）泰兴市不动产权第0040181号</t>
  </si>
  <si>
    <t>泰兴市佳源新天地2号16幢525室</t>
  </si>
  <si>
    <t>苏（2018）泰兴市不动产权第0040045号</t>
  </si>
  <si>
    <t>泰兴市佳源新天地2号16幢526室</t>
  </si>
  <si>
    <t>苏（2018）泰兴市不动产权第0040283号</t>
  </si>
  <si>
    <t>泰兴佳源新天地-商业南区（1—S2）-5号楼-501</t>
    <phoneticPr fontId="143" type="noConversion"/>
  </si>
  <si>
    <r>
      <t>泰兴佳源新天地-商业南区（1—S2）-7</t>
    </r>
    <r>
      <rPr>
        <sz val="11"/>
        <color theme="1"/>
        <rFont val="宋体"/>
        <family val="3"/>
        <charset val="134"/>
        <scheme val="minor"/>
      </rPr>
      <t>号楼整层</t>
    </r>
    <r>
      <rPr>
        <sz val="11"/>
        <color theme="1"/>
        <rFont val="宋体"/>
        <family val="3"/>
        <charset val="134"/>
        <scheme val="minor"/>
      </rPr>
      <t>(315-349)</t>
    </r>
    <phoneticPr fontId="143" type="noConversion"/>
  </si>
  <si>
    <r>
      <t>泰兴佳源新天地-商业南区（1—S2）-8号楼-306</t>
    </r>
    <r>
      <rPr>
        <sz val="11"/>
        <color theme="1"/>
        <rFont val="宋体"/>
        <family val="3"/>
        <charset val="134"/>
        <scheme val="minor"/>
      </rPr>
      <t>.302</t>
    </r>
    <phoneticPr fontId="143" type="noConversion"/>
  </si>
  <si>
    <t>泰兴佳源新天地-商业南区（1—S2）-8号楼-401-501</t>
    <phoneticPr fontId="143" type="noConversion"/>
  </si>
  <si>
    <t>泰兴佳源新天地-商业南区（1—S2）-10号楼-401-430-531</t>
    <phoneticPr fontId="143" type="noConversion"/>
  </si>
  <si>
    <r>
      <t>泰兴佳源新天地-商业南区（1—S2）-9号楼-301</t>
    </r>
    <r>
      <rPr>
        <sz val="11"/>
        <color theme="1"/>
        <rFont val="宋体"/>
        <family val="3"/>
        <charset val="134"/>
        <scheme val="minor"/>
      </rPr>
      <t>-01</t>
    </r>
    <phoneticPr fontId="143" type="noConversion"/>
  </si>
  <si>
    <t>总收益</t>
    <phoneticPr fontId="143" type="noConversion"/>
  </si>
  <si>
    <t xml:space="preserve">16号楼（楼层）  </t>
    <phoneticPr fontId="143" type="noConversion"/>
  </si>
  <si>
    <t>面积</t>
    <phoneticPr fontId="143" type="noConversion"/>
  </si>
  <si>
    <t>租金</t>
    <phoneticPr fontId="143" type="noConversion"/>
  </si>
  <si>
    <t>系数</t>
    <phoneticPr fontId="143" type="noConversion"/>
  </si>
  <si>
    <t>1层</t>
    <phoneticPr fontId="143" type="noConversion"/>
  </si>
  <si>
    <t>2层</t>
    <phoneticPr fontId="143" type="noConversion"/>
  </si>
  <si>
    <t>3层</t>
    <phoneticPr fontId="143" type="noConversion"/>
  </si>
  <si>
    <t xml:space="preserve">4层 </t>
    <phoneticPr fontId="143" type="noConversion"/>
  </si>
  <si>
    <t>5层</t>
    <phoneticPr fontId="143" type="noConversion"/>
  </si>
  <si>
    <t>合计</t>
    <phoneticPr fontId="143" type="noConversion"/>
  </si>
  <si>
    <t>其他（楼层）</t>
    <phoneticPr fontId="143" type="noConversion"/>
  </si>
  <si>
    <r>
      <t>5</t>
    </r>
    <r>
      <rPr>
        <sz val="11"/>
        <color theme="1"/>
        <rFont val="宋体"/>
        <family val="3"/>
        <charset val="134"/>
        <scheme val="minor"/>
      </rPr>
      <t>.7.8.9.10.11</t>
    </r>
    <phoneticPr fontId="143" type="noConversion"/>
  </si>
  <si>
    <r>
      <t>2</t>
    </r>
    <r>
      <rPr>
        <sz val="11"/>
        <color theme="1"/>
        <rFont val="宋体"/>
        <family val="3"/>
        <charset val="134"/>
        <scheme val="minor"/>
      </rPr>
      <t>019.12.31</t>
    </r>
    <phoneticPr fontId="143" type="noConversion"/>
  </si>
  <si>
    <t>2020.12.31</t>
    <phoneticPr fontId="143" type="noConversion"/>
  </si>
  <si>
    <t>20121.12.31</t>
    <phoneticPr fontId="143" type="noConversion"/>
  </si>
  <si>
    <t>2022.12.31</t>
    <phoneticPr fontId="143" type="noConversion"/>
  </si>
  <si>
    <t>2023.12.31</t>
    <phoneticPr fontId="143" type="noConversion"/>
  </si>
  <si>
    <t>2024.12.31</t>
    <phoneticPr fontId="143" type="noConversion"/>
  </si>
  <si>
    <r>
      <t>2025</t>
    </r>
    <r>
      <rPr>
        <sz val="11"/>
        <color theme="1"/>
        <rFont val="宋体"/>
        <family val="3"/>
        <charset val="134"/>
        <scheme val="minor"/>
      </rPr>
      <t>.12.31</t>
    </r>
    <phoneticPr fontId="143" type="noConversion"/>
  </si>
  <si>
    <t>2026.12.31</t>
    <phoneticPr fontId="143" type="noConversion"/>
  </si>
  <si>
    <t>2027.12.30</t>
    <phoneticPr fontId="143" type="noConversion"/>
  </si>
  <si>
    <t>2028.12.30</t>
    <phoneticPr fontId="143" type="noConversion"/>
  </si>
  <si>
    <t>泰兴佳源新天地-商业南区（1—S2）-5号楼-301</t>
    <phoneticPr fontId="143" type="noConversion"/>
  </si>
  <si>
    <t>押二</t>
  </si>
  <si>
    <t>收益法 (2)</t>
  </si>
  <si>
    <t>收益法 (2)</t>
    <phoneticPr fontId="16" type="noConversion"/>
  </si>
  <si>
    <t>终止日期</t>
    <phoneticPr fontId="143" type="noConversion"/>
  </si>
  <si>
    <t>起始日期</t>
    <phoneticPr fontId="143" type="noConversion"/>
  </si>
  <si>
    <t>收益法（汇总）</t>
  </si>
  <si>
    <t xml:space="preserve">收益法 </t>
    <phoneticPr fontId="143" type="noConversion"/>
  </si>
  <si>
    <t>总值</t>
    <phoneticPr fontId="143" type="noConversion"/>
  </si>
  <si>
    <t>成本法</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</si>
</sst>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56" fillId="17" borderId="49" xfId="1" applyNumberFormat="1" applyFont="1" applyFill="1" applyBorder="1" applyAlignment="1" applyProtection="1">
      <alignment horizontal="center" vertical="center"/>
      <protection locked="0"/>
    </xf>
    <xf numFmtId="0" fontId="56" fillId="17" borderId="8"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0" fontId="50" fillId="17" borderId="1"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horizontal="center" vertical="center"/>
      <protection locked="0"/>
    </xf>
    <xf numFmtId="0" fontId="122" fillId="7" borderId="0" xfId="0" applyFont="1" applyFill="1" applyProtection="1">
      <alignment vertical="center"/>
      <protection locked="0"/>
    </xf>
    <xf numFmtId="0" fontId="148" fillId="17" borderId="24" xfId="1" applyFont="1" applyFill="1" applyBorder="1" applyAlignment="1" applyProtection="1">
      <alignment horizontal="right" vertical="center"/>
      <protection locked="0"/>
    </xf>
    <xf numFmtId="0" fontId="98" fillId="0" borderId="44" xfId="0" applyNumberFormat="1" applyFont="1" applyFill="1" applyBorder="1" applyAlignment="1" applyProtection="1">
      <alignment horizontal="center" vertical="center" wrapText="1"/>
      <protection locked="0"/>
    </xf>
    <xf numFmtId="0" fontId="47" fillId="7" borderId="5" xfId="0"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NumberFormat="1" applyFont="1" applyBorder="1">
      <alignment vertical="center"/>
    </xf>
    <xf numFmtId="0" fontId="0" fillId="0" borderId="1" xfId="0" applyNumberFormat="1" applyBorder="1">
      <alignment vertical="center"/>
    </xf>
    <xf numFmtId="0" fontId="99" fillId="7" borderId="1" xfId="0" applyNumberFormat="1" applyFont="1" applyFill="1" applyBorder="1" applyAlignment="1">
      <alignment horizontal="center"/>
    </xf>
    <xf numFmtId="0" fontId="99" fillId="7" borderId="1" xfId="0" applyNumberFormat="1" applyFont="1" applyFill="1" applyBorder="1">
      <alignment vertical="center"/>
    </xf>
    <xf numFmtId="0" fontId="0" fillId="7" borderId="1" xfId="0" applyNumberFormat="1" applyFill="1" applyBorder="1" applyAlignment="1">
      <alignment horizontal="center"/>
    </xf>
    <xf numFmtId="0" fontId="0" fillId="7" borderId="1" xfId="0" applyNumberFormat="1" applyFill="1" applyBorder="1">
      <alignment vertical="center"/>
    </xf>
    <xf numFmtId="0" fontId="0" fillId="0" borderId="0" xfId="0" applyNumberFormat="1">
      <alignment vertical="center"/>
    </xf>
    <xf numFmtId="0" fontId="0" fillId="0" borderId="1" xfId="0" applyNumberFormat="1" applyBorder="1" applyAlignment="1">
      <alignment horizontal="center"/>
    </xf>
    <xf numFmtId="0" fontId="0" fillId="0" borderId="1" xfId="0" applyNumberFormat="1" applyFont="1" applyFill="1" applyBorder="1" applyAlignment="1">
      <alignment horizontal="center"/>
    </xf>
    <xf numFmtId="0" fontId="254" fillId="7" borderId="1" xfId="0" applyNumberFormat="1" applyFont="1" applyFill="1" applyBorder="1" applyAlignment="1">
      <alignment horizontal="center"/>
    </xf>
    <xf numFmtId="0" fontId="0" fillId="7" borderId="0" xfId="0" applyNumberFormat="1" applyFill="1">
      <alignment vertical="center"/>
    </xf>
    <xf numFmtId="0" fontId="0" fillId="5" borderId="1" xfId="0" applyNumberFormat="1" applyFill="1" applyBorder="1" applyAlignment="1">
      <alignment horizontal="center"/>
    </xf>
    <xf numFmtId="0" fontId="0" fillId="5" borderId="1" xfId="0" applyNumberFormat="1" applyFill="1" applyBorder="1">
      <alignment vertical="center"/>
    </xf>
    <xf numFmtId="0" fontId="0" fillId="5" borderId="0" xfId="0" applyNumberFormat="1" applyFill="1">
      <alignment vertical="center"/>
    </xf>
    <xf numFmtId="0" fontId="0" fillId="0" borderId="0" xfId="0" applyNumberFormat="1" applyAlignment="1">
      <alignment horizontal="center"/>
    </xf>
    <xf numFmtId="0" fontId="99" fillId="0" borderId="0" xfId="0" applyNumberFormat="1" applyFont="1">
      <alignment vertical="center"/>
    </xf>
    <xf numFmtId="0" fontId="99" fillId="0" borderId="0" xfId="0" applyNumberFormat="1" applyFont="1" applyFill="1" applyBorder="1">
      <alignment vertical="center"/>
    </xf>
    <xf numFmtId="0" fontId="99" fillId="18" borderId="1" xfId="0" applyNumberFormat="1" applyFont="1" applyFill="1" applyBorder="1" applyAlignment="1">
      <alignment horizontal="center"/>
    </xf>
    <xf numFmtId="0" fontId="0" fillId="18" borderId="1" xfId="0" applyNumberFormat="1" applyFill="1" applyBorder="1" applyAlignment="1">
      <alignment horizontal="center"/>
    </xf>
    <xf numFmtId="0" fontId="99" fillId="19" borderId="1" xfId="0" applyNumberFormat="1" applyFont="1" applyFill="1" applyBorder="1" applyAlignment="1">
      <alignment horizontal="center"/>
    </xf>
    <xf numFmtId="0" fontId="0" fillId="19" borderId="1" xfId="0" applyNumberFormat="1" applyFill="1" applyBorder="1" applyAlignment="1">
      <alignment horizontal="center"/>
    </xf>
    <xf numFmtId="0" fontId="99" fillId="20" borderId="1" xfId="0" applyNumberFormat="1" applyFont="1" applyFill="1" applyBorder="1" applyAlignment="1">
      <alignment horizontal="center"/>
    </xf>
    <xf numFmtId="0" fontId="0" fillId="21" borderId="1" xfId="0" applyNumberFormat="1" applyFill="1" applyBorder="1" applyAlignment="1">
      <alignment horizontal="center"/>
    </xf>
    <xf numFmtId="0" fontId="99" fillId="21" borderId="1" xfId="0" applyNumberFormat="1" applyFont="1" applyFill="1" applyBorder="1" applyAlignment="1">
      <alignment horizontal="center"/>
    </xf>
    <xf numFmtId="0" fontId="99" fillId="22" borderId="1" xfId="0" applyNumberFormat="1" applyFont="1" applyFill="1" applyBorder="1" applyAlignment="1">
      <alignment horizontal="center"/>
    </xf>
    <xf numFmtId="0" fontId="0" fillId="0" borderId="0" xfId="0" applyNumberFormat="1" applyFont="1">
      <alignment vertical="center"/>
    </xf>
    <xf numFmtId="0" fontId="0" fillId="23" borderId="0" xfId="0" applyNumberForma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7" borderId="13" xfId="0" applyNumberFormat="1" applyFill="1" applyBorder="1" applyAlignment="1">
      <alignment horizontal="center" vertical="center"/>
    </xf>
    <xf numFmtId="0" fontId="0" fillId="7" borderId="2" xfId="0" applyNumberFormat="1" applyFill="1" applyBorder="1" applyAlignment="1">
      <alignment horizontal="center" vertical="center"/>
    </xf>
    <xf numFmtId="0" fontId="99" fillId="0" borderId="0" xfId="0" applyFont="1">
      <alignment vertical="center"/>
    </xf>
    <xf numFmtId="0" fontId="0" fillId="0" borderId="15" xfId="0" applyNumberFormat="1" applyFont="1" applyFill="1" applyBorder="1">
      <alignment vertical="center"/>
    </xf>
    <xf numFmtId="14" fontId="99" fillId="0" borderId="0" xfId="0" applyNumberFormat="1" applyFont="1">
      <alignment vertical="center"/>
    </xf>
    <xf numFmtId="14" fontId="0" fillId="0" borderId="0" xfId="0" applyNumberFormat="1">
      <alignment vertical="center"/>
    </xf>
    <xf numFmtId="176"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84932</v>
      </c>
    </row>
    <row r="21" spans="1:2" s="1591" customFormat="1">
      <c r="A21" s="1589" t="s">
        <v>1231</v>
      </c>
      <c r="B21" s="1590" t="e">
        <f ca="1">'预评函-2'!D7</f>
        <v>#DIV/0!</v>
      </c>
    </row>
    <row r="22" spans="1:2" s="1591" customFormat="1">
      <c r="A22" s="1589" t="s">
        <v>1232</v>
      </c>
      <c r="B22" s="1590" t="str">
        <f ca="1">'预评函-2'!D6</f>
        <v>捌亿肆仟玖佰叁拾贰万元整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84932</v>
      </c>
    </row>
    <row r="31" spans="1:2" s="1591" customFormat="1">
      <c r="A31" s="1589" t="s">
        <v>1270</v>
      </c>
      <c r="B31" s="1590">
        <f ca="1">'预评函-2'!D15</f>
        <v>12430</v>
      </c>
    </row>
    <row r="32" spans="1:2" s="1591" customFormat="1">
      <c r="A32" s="1589" t="s">
        <v>1237</v>
      </c>
      <c r="B32" s="1590" t="str">
        <f ca="1">'预评函-2'!D14</f>
        <v>捌亿肆仟玖佰叁拾贰万元整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4.抵押净值</v>
      </c>
    </row>
    <row r="38" spans="1:2" s="1591" customFormat="1">
      <c r="A38" s="1589" t="s">
        <v>1291</v>
      </c>
      <c r="B38" s="1590">
        <f ca="1">'预评函-2'!D19</f>
        <v>73412</v>
      </c>
    </row>
    <row r="39" spans="1:2" s="1591" customFormat="1">
      <c r="A39" s="1589" t="s">
        <v>1239</v>
      </c>
      <c r="B39" s="1590">
        <f ca="1">'预评函-2'!D21</f>
        <v>10744</v>
      </c>
    </row>
    <row r="40" spans="1:2" s="1591" customFormat="1">
      <c r="A40" s="1589" t="s">
        <v>1240</v>
      </c>
      <c r="B40" s="1590" t="str">
        <f ca="1">'预评函-2'!D20</f>
        <v>柒亿叁仟肆佰壹拾贰万元整</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68327.850000000006</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#DIV/0!</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抵押净值</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8" sqref="E2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3115</v>
      </c>
      <c r="C17" s="2013"/>
    </row>
    <row r="18" spans="1:3">
      <c r="A18" s="2012" t="s">
        <v>1763</v>
      </c>
      <c r="B18" s="2012" t="s">
        <v>4133</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5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1"/>
      <c r="B54" s="2020" t="s">
        <v>861</v>
      </c>
      <c r="C54" s="2017" t="s">
        <v>1277</v>
      </c>
    </row>
    <row r="55" spans="1:4">
      <c r="A55" s="3051"/>
      <c r="B55" s="2020" t="s">
        <v>862</v>
      </c>
      <c r="C55" s="2017" t="s">
        <v>1278</v>
      </c>
    </row>
    <row r="56" spans="1:4">
      <c r="A56" s="3051"/>
      <c r="B56" s="2020" t="s">
        <v>863</v>
      </c>
      <c r="C56" s="2017" t="s">
        <v>1282</v>
      </c>
    </row>
    <row r="57" spans="1:4">
      <c r="A57" s="305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Normal="100" zoomScaleSheetLayoutView="100" workbookViewId="0">
      <selection activeCell="I6" sqref="I6"/>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52"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053"/>
      <c r="D1" s="3053"/>
      <c r="E1" s="3053"/>
      <c r="F1" s="3053"/>
      <c r="G1" s="3053"/>
      <c r="H1" s="3053"/>
      <c r="I1" s="305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6"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6" t="s">
        <v>3057</v>
      </c>
      <c r="C7" s="2047"/>
      <c r="D7" s="2048"/>
      <c r="E7" s="2032"/>
      <c r="F7" s="2040"/>
      <c r="G7" s="2040"/>
      <c r="H7" s="2040"/>
      <c r="I7" s="2040"/>
      <c r="J7" s="2040"/>
      <c r="K7" s="2050"/>
      <c r="L7" s="2026"/>
      <c r="M7" s="2026"/>
      <c r="N7" s="2027"/>
      <c r="O7" s="2028"/>
      <c r="P7" s="2027"/>
      <c r="Q7" s="2027"/>
      <c r="R7" s="2027"/>
    </row>
    <row r="8" spans="1:19" ht="18" customHeight="1">
      <c r="A8" s="2045" t="s">
        <v>1780</v>
      </c>
      <c r="B8" s="2051" t="s">
        <v>3051</v>
      </c>
      <c r="C8" s="2052"/>
      <c r="D8" s="3055" t="s">
        <v>1781</v>
      </c>
      <c r="E8" s="2053" t="s">
        <v>3053</v>
      </c>
      <c r="F8" s="2054"/>
      <c r="G8" s="2024"/>
      <c r="H8" s="2024"/>
      <c r="I8" s="2024"/>
      <c r="J8" s="2040"/>
      <c r="K8" s="2041"/>
      <c r="L8" s="2026"/>
      <c r="M8" s="2026"/>
      <c r="N8" s="2027"/>
      <c r="O8" s="2028"/>
      <c r="P8" s="2027"/>
      <c r="Q8" s="2027"/>
      <c r="R8" s="2027"/>
    </row>
    <row r="9" spans="1:19" ht="18" customHeight="1" thickBot="1">
      <c r="A9" s="2038" t="s">
        <v>1782</v>
      </c>
      <c r="B9" s="2055" t="s">
        <v>3053</v>
      </c>
      <c r="C9" s="2056"/>
      <c r="D9" s="3056"/>
      <c r="E9" s="2055" t="s">
        <v>1281</v>
      </c>
      <c r="F9" s="2057"/>
      <c r="G9" s="2058"/>
      <c r="H9" s="2058"/>
      <c r="I9" s="2058"/>
      <c r="J9" s="2040"/>
      <c r="K9" s="2050"/>
      <c r="L9" s="2026"/>
      <c r="M9" s="2026"/>
      <c r="N9" s="2027"/>
      <c r="O9" s="2028"/>
      <c r="P9" s="2027"/>
      <c r="Q9" s="2027"/>
      <c r="R9" s="2027"/>
    </row>
    <row r="10" spans="1:19" ht="18" customHeight="1" thickTop="1">
      <c r="A10" s="2059" t="s">
        <v>1783</v>
      </c>
      <c r="B10" s="2060"/>
      <c r="C10" s="2947" t="s">
        <v>3054</v>
      </c>
      <c r="D10" s="2044"/>
      <c r="E10" s="2061" t="s">
        <v>1784</v>
      </c>
      <c r="F10" s="2062" t="s">
        <v>3058</v>
      </c>
      <c r="G10" s="2063"/>
      <c r="H10" s="2064"/>
      <c r="I10" s="2044"/>
      <c r="J10" s="2040"/>
      <c r="K10" s="2050"/>
      <c r="L10" s="2026"/>
      <c r="M10" s="2026"/>
      <c r="N10" s="2027"/>
      <c r="O10" s="2028"/>
      <c r="P10" s="2027"/>
      <c r="Q10" s="2027"/>
      <c r="R10" s="2027"/>
    </row>
    <row r="11" spans="1:19" ht="18" customHeight="1">
      <c r="A11" s="2065" t="s">
        <v>1785</v>
      </c>
      <c r="B11" s="2066" t="s">
        <v>3055</v>
      </c>
      <c r="C11" s="2948" t="s">
        <v>3056</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3063</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062" t="s">
        <v>3059</v>
      </c>
      <c r="C16" s="3063"/>
      <c r="D16" s="3064"/>
      <c r="E16" s="2080" t="s">
        <v>1798</v>
      </c>
      <c r="F16" s="3065"/>
      <c r="G16" s="3066"/>
      <c r="H16" s="3066"/>
      <c r="I16" s="3067"/>
      <c r="J16" s="2027"/>
      <c r="K16" s="2077"/>
      <c r="L16" s="2078"/>
      <c r="M16" s="2078"/>
      <c r="N16" s="2079"/>
      <c r="O16" s="2078"/>
      <c r="P16" s="2079"/>
      <c r="Q16" s="2027"/>
      <c r="R16" s="2027"/>
    </row>
    <row r="17" spans="1:22" ht="18" customHeight="1">
      <c r="A17" s="2081" t="s">
        <v>1799</v>
      </c>
      <c r="B17" s="2033" t="s">
        <v>1800</v>
      </c>
      <c r="C17" s="1052">
        <f>'数据-汇总表'!E3</f>
        <v>68327.850000000006</v>
      </c>
      <c r="D17" s="2082" t="s">
        <v>1801</v>
      </c>
      <c r="E17" s="3068" t="s">
        <v>3061</v>
      </c>
      <c r="F17" s="3069"/>
      <c r="G17" s="3069"/>
      <c r="H17" s="3069"/>
      <c r="I17" s="3070"/>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071" t="s">
        <v>1804</v>
      </c>
      <c r="F18" s="3072"/>
      <c r="G18" s="3072"/>
      <c r="H18" s="3072"/>
      <c r="I18" s="3073"/>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3060</v>
      </c>
      <c r="D19" s="2087" t="s">
        <v>1807</v>
      </c>
      <c r="E19" s="2088" t="s">
        <v>3060</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058" t="s">
        <v>1809</v>
      </c>
      <c r="C20" s="3059"/>
      <c r="D20" s="3060" t="s">
        <v>1810</v>
      </c>
      <c r="E20" s="3061"/>
      <c r="F20" s="2092" t="s">
        <v>1811</v>
      </c>
      <c r="G20" s="2040"/>
      <c r="H20" s="2040"/>
      <c r="I20" s="2040"/>
      <c r="J20" s="2040"/>
      <c r="K20" s="3057"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05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5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75"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5"/>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5"/>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6"/>
      <c r="B30" s="2033" t="s">
        <v>1828</v>
      </c>
      <c r="C30" s="3077"/>
      <c r="D30" s="3078"/>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9" t="s">
        <v>1829</v>
      </c>
      <c r="B31" s="2121" t="s">
        <v>3062</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80"/>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80"/>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074" t="s">
        <v>1838</v>
      </c>
      <c r="T34" s="2129" t="str">
        <f>NUMBERSTRING(7-K34,1)&amp;"通"</f>
        <v>七通</v>
      </c>
      <c r="U34" s="2027"/>
      <c r="V34" s="2027"/>
    </row>
    <row r="35" spans="1:22" ht="18" customHeight="1">
      <c r="A35" s="2130"/>
      <c r="B35" s="3081" t="s">
        <v>1839</v>
      </c>
      <c r="C35" s="3081"/>
      <c r="D35" s="3081"/>
      <c r="E35" s="3081"/>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4"/>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68327.850000000006</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68327.850000000006</v>
      </c>
      <c r="G5" s="16">
        <f>SUM(G13:G587)</f>
        <v>68327.850000000006</v>
      </c>
      <c r="H5" s="16">
        <f t="shared" ref="H5:AT5" si="0">SUM(H13:H656)</f>
        <v>68327.850000000006</v>
      </c>
      <c r="I5" s="16">
        <f t="shared" si="0"/>
        <v>68327.850000000006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68327.850000000006</v>
      </c>
      <c r="BA5" s="18">
        <f t="shared" si="1"/>
        <v>68327.850000000006</v>
      </c>
      <c r="BB5" s="18">
        <f t="shared" si="1"/>
        <v>68327.850000000006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3065</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3110</v>
      </c>
      <c r="D13" s="2208" t="s">
        <v>3064</v>
      </c>
      <c r="E13" s="16">
        <f>IF($C$3="是",ROUND($A$3*G13/$B$3,2),ROUND($A$3*(G13-AT13)/$B$3,2))</f>
        <v>0</v>
      </c>
      <c r="F13" s="32">
        <v>47478.82</v>
      </c>
      <c r="G13" s="33">
        <f>H13+AC13+AT13</f>
        <v>47478.82</v>
      </c>
      <c r="H13" s="20">
        <f>SUMIF(I$12:AB$12,"总值",I13:AB13)</f>
        <v>47478.82</v>
      </c>
      <c r="I13" s="2209">
        <v>47478.82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16号楼</v>
      </c>
      <c r="AY13" s="1804">
        <f>ROUND($AY$6*AZ13/$AZ$5,2)</f>
        <v>0</v>
      </c>
      <c r="AZ13" s="16">
        <f>BA13+BL13</f>
        <v>47478.82</v>
      </c>
      <c r="BA13" s="16">
        <f>SUM(BB13:BK13)</f>
        <v>47478.82</v>
      </c>
      <c r="BB13" s="16">
        <f>IF($D13="是",I13-J13,0)</f>
        <v>47478.82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25.5">
      <c r="A14" s="1270"/>
      <c r="B14" s="1270"/>
      <c r="C14" s="2148" t="s">
        <v>3111</v>
      </c>
      <c r="D14" s="2208" t="s">
        <v>3064</v>
      </c>
      <c r="E14" s="16">
        <f>IF($C$3="是",ROUND($A$3*G14/$B$3,2),ROUND($A$3*(G14-AT14)/$B$3,2))</f>
        <v>0</v>
      </c>
      <c r="F14" s="32">
        <v>20849.03</v>
      </c>
      <c r="G14" s="33">
        <f>H14+AC14+AT14</f>
        <v>20849.03</v>
      </c>
      <c r="H14" s="20">
        <f>SUMIF(I$12:AB$12,"总值",I14:AB14)</f>
        <v>20849.03</v>
      </c>
      <c r="I14" s="2209">
        <v>20849.03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5.7.8.9.10.11号楼</v>
      </c>
      <c r="AY14" s="1804">
        <f>ROUND($AY$6*AZ14/$AZ$5,2)</f>
        <v>0</v>
      </c>
      <c r="AZ14" s="16">
        <f>BA14+BL14</f>
        <v>20849.03</v>
      </c>
      <c r="BA14" s="16">
        <f>SUM(BB14:BK14)</f>
        <v>20849.03</v>
      </c>
      <c r="BB14" s="16">
        <f>IF($D14="是",I14-J14,0)</f>
        <v>20849.03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093" t="s">
        <v>1935</v>
      </c>
      <c r="B2" s="3093"/>
      <c r="C2" s="3093"/>
      <c r="D2" s="965" t="s">
        <v>1911</v>
      </c>
      <c r="E2" s="2222" t="s">
        <v>1912</v>
      </c>
      <c r="F2" s="1390"/>
      <c r="G2" s="2223"/>
      <c r="H2" s="2224"/>
      <c r="I2" s="2225" t="s">
        <v>1936</v>
      </c>
      <c r="J2" s="1390"/>
      <c r="K2" s="1390"/>
      <c r="L2" s="1390"/>
      <c r="M2" s="1390"/>
      <c r="N2" s="1425"/>
      <c r="O2" s="1390"/>
      <c r="P2" s="1390"/>
    </row>
    <row r="3" spans="1:16" ht="15.75" thickBot="1">
      <c r="A3" s="3094" t="s">
        <v>1909</v>
      </c>
      <c r="B3" s="3094"/>
      <c r="C3" s="3094"/>
      <c r="D3" s="46">
        <f>'数据-基础表'!AY6</f>
        <v>0</v>
      </c>
      <c r="E3" s="46">
        <f>'数据-基础表'!AZ5</f>
        <v>68327.850000000006</v>
      </c>
      <c r="F3" s="1390"/>
      <c r="G3" s="1397"/>
      <c r="H3" s="1245" t="s">
        <v>1910</v>
      </c>
      <c r="I3" s="55" t="e">
        <f>ROUND('数据-基础表'!B3/'数据-基础表'!A3,2)</f>
        <v>#DIV/0!</v>
      </c>
      <c r="J3" s="1390"/>
      <c r="K3" s="1390"/>
      <c r="L3" s="1390"/>
      <c r="M3" s="1390"/>
      <c r="N3" s="1425"/>
      <c r="O3" s="1390"/>
      <c r="P3" s="1390"/>
    </row>
    <row r="4" spans="1:16" ht="15">
      <c r="A4" s="3095"/>
      <c r="B4" s="3096"/>
      <c r="C4" s="3097"/>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098" t="s">
        <v>1914</v>
      </c>
      <c r="C5" s="3098"/>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98" t="s">
        <v>1915</v>
      </c>
      <c r="C6" s="3098"/>
      <c r="D6" s="48">
        <f>ROUND($D$3*E6/$E$3,2)</f>
        <v>0</v>
      </c>
      <c r="E6" s="49">
        <f>E3-E5</f>
        <v>68327.850000000006</v>
      </c>
      <c r="F6" s="1390"/>
      <c r="G6" s="2230" t="s">
        <v>1916</v>
      </c>
      <c r="H6" s="1397" t="s">
        <v>1917</v>
      </c>
      <c r="I6" s="937" t="e">
        <f>ROUND(F31/D31,2)</f>
        <v>#DIV/0!</v>
      </c>
      <c r="J6" s="1390"/>
      <c r="K6" s="1390"/>
      <c r="L6" s="1390"/>
      <c r="M6" s="1390"/>
      <c r="N6" s="1390"/>
      <c r="O6" s="1390"/>
      <c r="P6" s="1390"/>
    </row>
    <row r="7" spans="1:16" ht="15">
      <c r="A7" s="3090"/>
      <c r="B7" s="3091"/>
      <c r="C7" s="3092"/>
      <c r="D7" s="2226" t="s">
        <v>1911</v>
      </c>
      <c r="E7" s="2231" t="s">
        <v>1918</v>
      </c>
      <c r="F7" s="1390"/>
      <c r="G7" s="2223" t="s">
        <v>1919</v>
      </c>
      <c r="H7" s="64"/>
      <c r="I7" s="419">
        <v>3.6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68327.850000000006</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68327.850000000006</v>
      </c>
      <c r="F16" s="1390"/>
      <c r="G16" s="2232"/>
      <c r="H16" s="2235" t="s">
        <v>1939</v>
      </c>
      <c r="I16" s="2236"/>
      <c r="J16" s="1390"/>
      <c r="K16" s="3087" t="s">
        <v>1939</v>
      </c>
      <c r="L16" s="3088"/>
      <c r="M16" s="3088"/>
      <c r="N16" s="3088"/>
      <c r="O16" s="3088"/>
      <c r="P16" s="3089"/>
    </row>
    <row r="17" spans="1:19" ht="15">
      <c r="A17" s="2237" t="s">
        <v>1940</v>
      </c>
      <c r="B17" s="2238" t="s">
        <v>1941</v>
      </c>
      <c r="C17" s="2239" t="s">
        <v>1942</v>
      </c>
      <c r="D17" s="2240" t="s">
        <v>1930</v>
      </c>
      <c r="E17" s="2241" t="s">
        <v>1931</v>
      </c>
      <c r="F17" s="2242"/>
      <c r="G17" s="2243"/>
      <c r="H17" s="2244" t="s">
        <v>1943</v>
      </c>
      <c r="I17" s="2245" t="s">
        <v>1928</v>
      </c>
      <c r="J17" s="1390"/>
      <c r="K17" s="3084" t="s">
        <v>1944</v>
      </c>
      <c r="L17" s="3085"/>
      <c r="M17" s="3086"/>
      <c r="N17" s="3084" t="s">
        <v>1945</v>
      </c>
      <c r="O17" s="3085"/>
      <c r="P17" s="3086"/>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49" t="s">
        <v>3113</v>
      </c>
      <c r="D19" s="48">
        <f>ROUND($D$3*E19/$E$3,2)</f>
        <v>0</v>
      </c>
      <c r="E19" s="56">
        <f t="shared" ref="E19:E26" si="1">SUM(F19:G19)</f>
        <v>47478.82</v>
      </c>
      <c r="F19" s="57">
        <f>'数据-基础表'!I13</f>
        <v>47478.82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47478.82</v>
      </c>
    </row>
    <row r="20" spans="1:19">
      <c r="A20" s="2258"/>
      <c r="B20" s="50" t="s">
        <v>1957</v>
      </c>
      <c r="C20" s="2255" t="s">
        <v>3114</v>
      </c>
      <c r="D20" s="48">
        <f t="shared" ref="D20:D26" si="6">ROUND($D$3*E20/$E$3,2)</f>
        <v>0</v>
      </c>
      <c r="E20" s="56">
        <f t="shared" si="1"/>
        <v>20849.03</v>
      </c>
      <c r="F20" s="57">
        <f>'数据-基础表'!I14</f>
        <v>20849.03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20849.03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68327.850000000006</v>
      </c>
      <c r="F27" s="1391">
        <f>IF(SUM(F19:F26)=E8,SUM(F19:F26),"地上面积有误")</f>
        <v>68327.850000000006</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68327.850000000006</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68327.850000000006</v>
      </c>
      <c r="F31" s="728">
        <f>F27+F30</f>
        <v>68327.850000000006</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O7" sqref="AO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3066</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商业16</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2958">
        <v>5.5E-2</v>
      </c>
      <c r="I6" s="2958">
        <v>0.06</v>
      </c>
      <c r="J6" s="74">
        <v>0.08</v>
      </c>
      <c r="K6" s="1249">
        <f>SUMIF('数据-汇总表'!C$19:C$33,A6,'数据-汇总表'!E$19:E$33)</f>
        <v>47478.82</v>
      </c>
      <c r="L6" s="801">
        <v>3000</v>
      </c>
      <c r="M6" s="75">
        <f t="shared" ref="M6:M14" si="0">ROUND(K6*L6/10000,0)</f>
        <v>14244</v>
      </c>
      <c r="N6" s="2959">
        <v>0.97</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2964">
        <f>租约!H50</f>
        <v>4.3</v>
      </c>
      <c r="V6" s="79">
        <v>0.02</v>
      </c>
      <c r="W6" s="79">
        <v>0.2</v>
      </c>
      <c r="X6" s="1259"/>
      <c r="Y6" s="80">
        <f>N6</f>
        <v>0.97</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2965">
        <v>0.02</v>
      </c>
      <c r="AN6" s="2304" t="s">
        <v>3073</v>
      </c>
      <c r="AO6" s="55">
        <f ca="1">SUMIF(INDIRECT("'"&amp;AN6&amp;"'"&amp;"!A:A"),"总价",INDIRECT("'"&amp;AN6&amp;"'"&amp;"!B:B"))</f>
        <v>82113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商业5.7.8.9.10.11</v>
      </c>
      <c r="B7" s="2302" t="str">
        <f t="shared" ref="B7:B13" si="1">IF(A7=0,"","经营性")</f>
        <v>经营性</v>
      </c>
      <c r="C7" s="2303" t="s">
        <v>1373</v>
      </c>
      <c r="D7" s="1049">
        <f>SUMIF(项目基本情况!D$12:I$12,C7,项目基本情况!D$14:I$14)</f>
        <v>40</v>
      </c>
      <c r="E7" s="1046">
        <f>IF(B7="","",SUMIF(项目基本情况!D$12:I$12,C7,项目基本情况!D$13:I$13))</f>
        <v>55863</v>
      </c>
      <c r="F7" s="72">
        <f>SUMIF(项目基本情况!D$12:I$12,C7,项目基本情况!D$15:I$15)</f>
        <v>34.159999999999997</v>
      </c>
      <c r="G7" s="73">
        <f t="shared" ref="G7:G11" si="2">IF(ISERROR(ROUND(POWER(1+H7,D7-F7)*(POWER(1+H7,F7)-1)/(POWER(1+H7,D7)-1),3)),0,ROUND(POWER(1+H7,D7-F7)*(POWER(1+H7,F7)-1)/(POWER(1+H7,D7)-1),3))</f>
        <v>0.95099999999999996</v>
      </c>
      <c r="H7" s="800">
        <v>5.5E-2</v>
      </c>
      <c r="I7" s="800">
        <v>0.06</v>
      </c>
      <c r="J7" s="74">
        <v>0.08</v>
      </c>
      <c r="K7" s="1249">
        <f>SUMIF('数据-汇总表'!C$19:C$33,A7,'数据-汇总表'!E$19:E$33)</f>
        <v>20849.03</v>
      </c>
      <c r="L7" s="801">
        <v>3000</v>
      </c>
      <c r="M7" s="75">
        <f t="shared" si="0"/>
        <v>6255</v>
      </c>
      <c r="N7" s="799">
        <v>0.97</v>
      </c>
      <c r="O7" s="75" t="str">
        <f t="shared" ref="O7:O14" si="3">IF($N$5="成新度","——",ROUND(M7*N7,0))</f>
        <v>——</v>
      </c>
      <c r="P7" s="76" t="str">
        <f t="shared" ref="P7:P14" si="4">IF($N$5="成新度","——",M7-O7)</f>
        <v>——</v>
      </c>
      <c r="Q7" s="802">
        <v>0.2</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f>租约!O41</f>
        <v>0.76</v>
      </c>
      <c r="V7" s="79">
        <v>0.02</v>
      </c>
      <c r="W7" s="79">
        <v>0.2</v>
      </c>
      <c r="X7" s="1259"/>
      <c r="Y7" s="80">
        <v>0.97</v>
      </c>
      <c r="Z7" s="81">
        <f>租约!H61</f>
        <v>3.8</v>
      </c>
      <c r="AA7" s="74">
        <v>0.02</v>
      </c>
      <c r="AB7" s="74">
        <v>0.1</v>
      </c>
      <c r="AC7" s="1259"/>
      <c r="AD7" s="82">
        <v>0.82</v>
      </c>
      <c r="AE7" s="1260">
        <f t="shared" ref="AE7:AE13" ca="1" si="6">IF(AN7="",0,SUMIF(INDIRECT("'"&amp;AN7&amp;"'"&amp;"!E:E"),$AE$5,INDIRECT("'"&amp;AN7&amp;"'"&amp;"!F:F")))</f>
        <v>34.159999999999997</v>
      </c>
      <c r="AF7" s="1802">
        <v>10.1</v>
      </c>
      <c r="AG7" s="146">
        <f t="shared" ref="AG7:AG13" ca="1" si="7">IF(AF7="",0,AE7-AF7)</f>
        <v>24.059999999999995</v>
      </c>
      <c r="AH7" s="83"/>
      <c r="AI7" s="85">
        <v>365</v>
      </c>
      <c r="AJ7" s="86"/>
      <c r="AK7" s="87">
        <v>1.4999999999999999E-2</v>
      </c>
      <c r="AL7" s="88">
        <v>1.5E-3</v>
      </c>
      <c r="AM7" s="89">
        <v>0.02</v>
      </c>
      <c r="AN7" s="2304" t="s">
        <v>4132</v>
      </c>
      <c r="AO7" s="55">
        <f t="shared" ref="AO7:AO13" ca="1" si="8">SUMIF(INDIRECT("'"&amp;AN7&amp;"'"&amp;"!A:A"),"总价",INDIRECT("'"&amp;AN7&amp;"'"&amp;"!B:B"))</f>
        <v>18343</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68327.850000000006</v>
      </c>
      <c r="L16" s="102">
        <f>ROUND(M16*10000/SUM(K6:K14),0)</f>
        <v>3000</v>
      </c>
      <c r="M16" s="102">
        <f>SUM(M6:M14)</f>
        <v>20499</v>
      </c>
      <c r="N16" s="103">
        <f>ROUND(SUMPRODUCT(M6:M14,N6:N14)/M16,3)</f>
        <v>0.97</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2960">
        <f ca="1">成本法!C10</f>
        <v>547</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2961">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0.05</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2962">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99" t="s">
        <v>2080</v>
      </c>
      <c r="B1" s="3100"/>
      <c r="C1" s="3100"/>
      <c r="D1" s="3100"/>
      <c r="E1" s="3100"/>
      <c r="F1" s="3100"/>
      <c r="G1" s="310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1" t="s">
        <v>3074</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2" t="s">
        <v>3075</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2" t="s">
        <v>3076</v>
      </c>
      <c r="D7" s="2372"/>
      <c r="E7" s="2373"/>
      <c r="F7" s="2374" t="s">
        <v>2096</v>
      </c>
      <c r="G7" s="2375" t="s">
        <v>2097</v>
      </c>
      <c r="H7" s="2363"/>
      <c r="I7" s="2363"/>
      <c r="J7" s="2363"/>
      <c r="K7" s="2363"/>
      <c r="L7" s="2363"/>
      <c r="M7" s="2363"/>
      <c r="N7" s="2363"/>
      <c r="O7" s="2363"/>
      <c r="P7" s="2363"/>
      <c r="Q7" s="2363"/>
      <c r="R7" s="2363"/>
    </row>
    <row r="8" spans="1:29" ht="27">
      <c r="A8" s="430"/>
      <c r="B8" s="1793" t="s">
        <v>2094</v>
      </c>
      <c r="C8" s="2952" t="s">
        <v>3077</v>
      </c>
      <c r="D8" s="2372"/>
      <c r="E8" s="2372"/>
      <c r="F8" s="1131"/>
      <c r="G8" s="1131"/>
      <c r="H8" s="2363"/>
      <c r="I8" s="2363"/>
      <c r="J8" s="2363"/>
      <c r="K8" s="2363"/>
      <c r="L8" s="2363"/>
      <c r="M8" s="2363"/>
      <c r="N8" s="2363"/>
      <c r="O8" s="2363"/>
      <c r="P8" s="2363"/>
      <c r="Q8" s="2363"/>
      <c r="R8" s="2363"/>
    </row>
    <row r="9" spans="1:29" ht="54">
      <c r="A9" s="430"/>
      <c r="B9" s="1793" t="s">
        <v>2098</v>
      </c>
      <c r="C9" s="2951" t="s">
        <v>3078</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3" t="s">
        <v>3079</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0</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84932</v>
      </c>
      <c r="C5" s="1741" t="e">
        <f ca="1">ROUND(B5*10000/$B$1,0)</f>
        <v>#DIV/0!</v>
      </c>
      <c r="D5" s="1741" t="e">
        <f ca="1">ROUND(B5*10000/$B$2,0)</f>
        <v>#DIV/0!</v>
      </c>
      <c r="E5" s="1740"/>
      <c r="F5" s="1738"/>
      <c r="G5" s="1738"/>
    </row>
    <row r="6" spans="1:10" ht="16.5">
      <c r="A6" s="1741" t="s">
        <v>1352</v>
      </c>
      <c r="B6" s="1741">
        <f ca="1">SUM(G14:G23)</f>
        <v>84932</v>
      </c>
      <c r="C6" s="1741" t="e">
        <f ca="1">ROUND(B6*10000/$B$1,0)</f>
        <v>#DIV/0!</v>
      </c>
      <c r="D6" s="1741" t="e">
        <f ca="1">ROUND(B6*10000/$B$2,0)</f>
        <v>#DIV/0!</v>
      </c>
      <c r="E6" s="1740"/>
      <c r="F6" s="1738"/>
      <c r="G6" s="1738"/>
    </row>
    <row r="7" spans="1:10" ht="16.5">
      <c r="A7" s="1741" t="s">
        <v>1360</v>
      </c>
      <c r="B7" s="1741">
        <f>SUM(H14:H23)</f>
        <v>0</v>
      </c>
      <c r="C7" s="1741" t="e">
        <f>ROUND(B7*10000/$B$1,0)</f>
        <v>#DIV/0!</v>
      </c>
      <c r="D7" s="1741" t="e">
        <f>ROUND(B7*10000/$B$2,0)</f>
        <v>#DIV/0!</v>
      </c>
      <c r="E7" s="1740"/>
      <c r="F7" s="1738"/>
      <c r="G7" s="1738"/>
    </row>
    <row r="8" spans="1:10" ht="16.5">
      <c r="A8" s="1741" t="s">
        <v>1281</v>
      </c>
      <c r="B8" s="1741">
        <f ca="1">SUM(I14:I23)</f>
        <v>73412</v>
      </c>
      <c r="C8" s="1741" t="e">
        <f ca="1">ROUND(B8*10000/$B$1,0)</f>
        <v>#DIV/0!</v>
      </c>
      <c r="D8" s="1741" t="e">
        <f ca="1">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0</v>
      </c>
      <c r="C14" s="1739">
        <f>结果表!C118</f>
        <v>0</v>
      </c>
      <c r="D14" s="1739">
        <f ca="1">结果表!H118</f>
        <v>84932</v>
      </c>
      <c r="E14" s="1739" t="e">
        <f ca="1">ROUND(D14*10000/B14,0)</f>
        <v>#DIV/0!</v>
      </c>
      <c r="F14" s="1739" t="e">
        <f ca="1">ROUND(D14*10000/C14,0)</f>
        <v>#DIV/0!</v>
      </c>
      <c r="G14" s="1739">
        <f ca="1">结果表!D122</f>
        <v>84932</v>
      </c>
      <c r="H14" s="1739" t="str">
        <f>结果表!D124</f>
        <v>——</v>
      </c>
      <c r="I14" s="1739">
        <f ca="1">结果表!D126</f>
        <v>73412</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t="s">
        <v>1373</v>
      </c>
      <c r="D1" s="2413"/>
      <c r="E1" s="2413"/>
      <c r="F1" s="2415" t="s">
        <v>2114</v>
      </c>
      <c r="G1" s="2066" t="s">
        <v>3062</v>
      </c>
      <c r="H1" s="2416" t="str">
        <f>IF(G1="现房","——","估价对象范围")</f>
        <v>——</v>
      </c>
      <c r="I1" s="2417" t="s">
        <v>3101</v>
      </c>
    </row>
    <row r="2" spans="1:12" ht="21.75" customHeight="1" thickBot="1">
      <c r="A2" s="3173" t="str">
        <f>项目基本情况!S2</f>
        <v>江苏省泰州市泰兴市泰兴市佳源新天地2号16幢101室房地产</v>
      </c>
      <c r="B2" s="3174"/>
      <c r="C2" s="3174"/>
      <c r="D2" s="3174"/>
      <c r="E2" s="3174"/>
      <c r="F2" s="3174"/>
      <c r="G2" s="3174"/>
      <c r="H2" s="3174"/>
      <c r="I2" s="3175"/>
    </row>
    <row r="3" spans="1:12" ht="12.75">
      <c r="A3" s="3176" t="s">
        <v>2115</v>
      </c>
      <c r="B3" s="3177"/>
      <c r="C3" s="3177"/>
      <c r="D3" s="3177"/>
      <c r="E3" s="3177"/>
      <c r="F3" s="3177"/>
      <c r="G3" s="3177"/>
      <c r="H3" s="3177"/>
      <c r="I3" s="3177"/>
    </row>
    <row r="4" spans="1:12" ht="14.25">
      <c r="A4" s="2420" t="s">
        <v>2116</v>
      </c>
      <c r="B4" s="2421" t="s">
        <v>2117</v>
      </c>
      <c r="C4" s="2422" t="s">
        <v>3067</v>
      </c>
      <c r="D4" s="2422" t="s">
        <v>4136</v>
      </c>
      <c r="E4" s="3157" t="s">
        <v>2118</v>
      </c>
      <c r="F4" s="3170"/>
      <c r="G4" s="3170"/>
      <c r="H4" s="3170"/>
      <c r="I4" s="315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48" t="s">
        <v>2119</v>
      </c>
      <c r="B5" s="3074">
        <v>25</v>
      </c>
      <c r="C5" s="3178"/>
      <c r="D5" s="3166"/>
      <c r="E5" s="139" t="s">
        <v>2120</v>
      </c>
      <c r="F5" s="2424"/>
      <c r="G5" s="2424"/>
      <c r="H5" s="2424"/>
      <c r="I5" s="1829"/>
    </row>
    <row r="6" spans="1:12" ht="12.75">
      <c r="A6" s="3148"/>
      <c r="B6" s="3074"/>
      <c r="C6" s="3180"/>
      <c r="D6" s="3166"/>
      <c r="E6" s="139" t="s">
        <v>2121</v>
      </c>
      <c r="F6" s="2424"/>
      <c r="G6" s="2424"/>
      <c r="H6" s="2424"/>
      <c r="I6" s="1829"/>
    </row>
    <row r="7" spans="1:12" ht="12.75">
      <c r="A7" s="3148"/>
      <c r="B7" s="3074"/>
      <c r="C7" s="3179"/>
      <c r="D7" s="3166"/>
      <c r="E7" s="139" t="s">
        <v>2122</v>
      </c>
      <c r="F7" s="2424"/>
      <c r="G7" s="2424"/>
      <c r="H7" s="2424"/>
      <c r="I7" s="1829"/>
    </row>
    <row r="8" spans="1:12" ht="12.75">
      <c r="A8" s="3148" t="s">
        <v>2123</v>
      </c>
      <c r="B8" s="3074">
        <v>15</v>
      </c>
      <c r="C8" s="3178"/>
      <c r="D8" s="3166"/>
      <c r="E8" s="139" t="s">
        <v>2124</v>
      </c>
      <c r="F8" s="2424"/>
      <c r="G8" s="2424"/>
      <c r="H8" s="2424"/>
      <c r="I8" s="1829"/>
    </row>
    <row r="9" spans="1:12" ht="12.75">
      <c r="A9" s="3148"/>
      <c r="B9" s="3074"/>
      <c r="C9" s="3179"/>
      <c r="D9" s="3166"/>
      <c r="E9" s="139" t="s">
        <v>2125</v>
      </c>
      <c r="F9" s="2424"/>
      <c r="G9" s="2424"/>
      <c r="H9" s="2424"/>
      <c r="I9" s="1829"/>
    </row>
    <row r="10" spans="1:12" ht="12.75">
      <c r="A10" s="3148" t="s">
        <v>2126</v>
      </c>
      <c r="B10" s="3074">
        <v>15</v>
      </c>
      <c r="C10" s="3178"/>
      <c r="D10" s="3166"/>
      <c r="E10" s="139" t="s">
        <v>2127</v>
      </c>
      <c r="F10" s="2424"/>
      <c r="G10" s="2424"/>
      <c r="H10" s="2424"/>
      <c r="I10" s="1829"/>
    </row>
    <row r="11" spans="1:12" ht="12.75">
      <c r="A11" s="3148"/>
      <c r="B11" s="3074"/>
      <c r="C11" s="3179"/>
      <c r="D11" s="3166"/>
      <c r="E11" s="139" t="s">
        <v>2128</v>
      </c>
      <c r="F11" s="2424"/>
      <c r="G11" s="2424"/>
      <c r="H11" s="2424"/>
      <c r="I11" s="1829"/>
    </row>
    <row r="12" spans="1:12" ht="12.75">
      <c r="A12" s="3148" t="s">
        <v>2129</v>
      </c>
      <c r="B12" s="3074">
        <v>15</v>
      </c>
      <c r="C12" s="3178"/>
      <c r="D12" s="3166"/>
      <c r="E12" s="139" t="s">
        <v>2130</v>
      </c>
      <c r="F12" s="2424"/>
      <c r="G12" s="2424"/>
      <c r="H12" s="2424"/>
      <c r="I12" s="1829"/>
    </row>
    <row r="13" spans="1:12" ht="12.75">
      <c r="A13" s="3148"/>
      <c r="B13" s="3074"/>
      <c r="C13" s="3179"/>
      <c r="D13" s="3166"/>
      <c r="E13" s="139" t="s">
        <v>2131</v>
      </c>
      <c r="F13" s="2424"/>
      <c r="G13" s="2424"/>
      <c r="H13" s="2424"/>
      <c r="I13" s="1829"/>
    </row>
    <row r="14" spans="1:12" ht="12.75">
      <c r="A14" s="3148" t="s">
        <v>2132</v>
      </c>
      <c r="B14" s="3074">
        <v>30</v>
      </c>
      <c r="C14" s="3178">
        <v>40</v>
      </c>
      <c r="D14" s="3166">
        <v>60</v>
      </c>
      <c r="E14" s="139" t="s">
        <v>2133</v>
      </c>
      <c r="F14" s="2424"/>
      <c r="G14" s="2424"/>
      <c r="H14" s="2424"/>
      <c r="I14" s="1829"/>
    </row>
    <row r="15" spans="1:12" ht="12.75">
      <c r="A15" s="3148"/>
      <c r="B15" s="3074"/>
      <c r="C15" s="3180"/>
      <c r="D15" s="3166"/>
      <c r="E15" s="139" t="s">
        <v>2134</v>
      </c>
      <c r="F15" s="2424"/>
      <c r="G15" s="2424"/>
      <c r="H15" s="2424"/>
      <c r="I15" s="1829"/>
    </row>
    <row r="16" spans="1:12" ht="12.75">
      <c r="A16" s="3148"/>
      <c r="B16" s="3074"/>
      <c r="C16" s="3179"/>
      <c r="D16" s="3166"/>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0</v>
      </c>
      <c r="M18" s="2423">
        <f>IF(C1="",'数据-汇总表'!E3,SUMIF(项目类型,C1,'数据-汇总表'!E17:E26))</f>
        <v>0</v>
      </c>
    </row>
    <row r="19" spans="1:35" ht="15">
      <c r="A19" s="2429" t="s">
        <v>2141</v>
      </c>
      <c r="B19" s="2430" t="s">
        <v>2142</v>
      </c>
      <c r="C19" s="142">
        <f ca="1">SUMIF(INDIRECT("'"&amp;C4&amp;"'"&amp;"!A:A"),结果表!B19,INDIRECT("'"&amp;C4&amp;"'"&amp;"!B:B"))</f>
        <v>61645</v>
      </c>
      <c r="D19" s="143">
        <f ca="1">SUMIF(INDIRECT("'"&amp;D4&amp;"'"&amp;"!A:A"),结果表!B19,INDIRECT("'"&amp;D4&amp;"'"&amp;"!B:B"))</f>
        <v>100456</v>
      </c>
      <c r="E19" s="2429" t="s">
        <v>2143</v>
      </c>
      <c r="F19" s="2430" t="s">
        <v>2142</v>
      </c>
      <c r="G19" s="144">
        <f ca="1">ROUND(C19*$C$18+D19*$D$18,0)</f>
        <v>84932</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9022</v>
      </c>
      <c r="D20" s="146">
        <f ca="1">SUMIF(INDIRECT("'"&amp;D4&amp;"'"&amp;"!A:A"),结果表!B20,INDIRECT("'"&amp;D4&amp;"'"&amp;"!B:B"))</f>
        <v>14702</v>
      </c>
      <c r="E20" s="2432"/>
      <c r="F20" s="1245" t="s">
        <v>2146</v>
      </c>
      <c r="G20" s="147">
        <f ca="1">ROUND(C20*$C$18+D20*$D$18,0)</f>
        <v>12430</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0.62958877443426076</v>
      </c>
      <c r="E22" s="137"/>
      <c r="F22" s="137"/>
      <c r="G22" s="137"/>
      <c r="H22" s="137"/>
      <c r="I22" s="137"/>
    </row>
    <row r="23" spans="1:35" ht="13.5" thickBot="1">
      <c r="A23" s="2413"/>
      <c r="B23" s="2413"/>
      <c r="C23" s="2413"/>
      <c r="D23" s="2413"/>
      <c r="E23" s="138"/>
      <c r="F23" s="137"/>
      <c r="G23" s="137"/>
      <c r="H23" s="137"/>
      <c r="I23" s="137"/>
    </row>
    <row r="24" spans="1:35" ht="14.25">
      <c r="A24" s="3187" t="s">
        <v>2150</v>
      </c>
      <c r="B24" s="2430" t="s">
        <v>2142</v>
      </c>
      <c r="C24" s="144">
        <f>IF(B30=0,0,D30)</f>
        <v>0</v>
      </c>
      <c r="D24" s="2437"/>
      <c r="E24" s="137"/>
      <c r="F24" s="137"/>
      <c r="G24" s="137"/>
      <c r="H24" s="137"/>
      <c r="I24" s="137"/>
    </row>
    <row r="25" spans="1:35" ht="14.25">
      <c r="A25" s="3188"/>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1" t="s">
        <v>3032</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84932</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167" t="s">
        <v>2164</v>
      </c>
      <c r="B36" s="2456" t="s">
        <v>2165</v>
      </c>
      <c r="C36" s="153"/>
      <c r="D36" s="2457"/>
      <c r="E36" s="2458"/>
      <c r="F36" s="2459"/>
      <c r="G36" s="137"/>
      <c r="H36" s="137"/>
      <c r="I36" s="137"/>
    </row>
    <row r="37" spans="1:15" ht="15.75" thickBot="1">
      <c r="A37" s="3168"/>
      <c r="B37" s="2262" t="s">
        <v>2166</v>
      </c>
      <c r="C37" s="155"/>
      <c r="D37" s="1390"/>
      <c r="E37" s="1390"/>
      <c r="F37" s="2459"/>
      <c r="G37" s="137"/>
      <c r="H37" s="137"/>
      <c r="I37" s="137"/>
    </row>
    <row r="38" spans="1:15" ht="15.75" thickBot="1">
      <c r="A38" s="3169"/>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184" t="s">
        <v>2178</v>
      </c>
      <c r="B45" s="3185"/>
      <c r="C45" s="3186"/>
      <c r="D45" s="163">
        <f ca="1">ROUND(H101*F45,0)</f>
        <v>84932</v>
      </c>
      <c r="E45" s="164" t="s">
        <v>2179</v>
      </c>
      <c r="F45" s="165">
        <v>1</v>
      </c>
      <c r="G45" s="166" t="s">
        <v>2180</v>
      </c>
      <c r="H45" s="137"/>
      <c r="I45" s="137"/>
      <c r="J45" s="3103" t="s">
        <v>2181</v>
      </c>
      <c r="K45" s="3103"/>
      <c r="L45" s="3103"/>
      <c r="M45" s="3103"/>
      <c r="N45" s="3103"/>
      <c r="O45" s="3103"/>
    </row>
    <row r="46" spans="1:15" ht="14.25" customHeight="1">
      <c r="A46" s="3181" t="s">
        <v>2182</v>
      </c>
      <c r="B46" s="3182"/>
      <c r="C46" s="3182"/>
      <c r="D46" s="3182"/>
      <c r="E46" s="3182"/>
      <c r="F46" s="3182"/>
      <c r="G46" s="3183"/>
      <c r="H46" s="2475"/>
      <c r="I46" s="167"/>
      <c r="J46" s="1807">
        <v>1</v>
      </c>
      <c r="K46" s="3103" t="s">
        <v>2183</v>
      </c>
      <c r="L46" s="3103"/>
      <c r="M46" s="3104"/>
      <c r="N46" s="3104"/>
      <c r="O46" s="3104"/>
    </row>
    <row r="47" spans="1:15" ht="12" customHeight="1">
      <c r="A47" s="168" t="s">
        <v>2184</v>
      </c>
      <c r="B47" s="169"/>
      <c r="C47" s="170"/>
      <c r="D47" s="171" t="s">
        <v>2185</v>
      </c>
      <c r="E47" s="24" t="s">
        <v>2186</v>
      </c>
      <c r="F47" s="172" t="s">
        <v>2187</v>
      </c>
      <c r="G47" s="173" t="s">
        <v>2188</v>
      </c>
      <c r="H47" s="2475"/>
      <c r="I47" s="167"/>
      <c r="J47" s="1807">
        <v>2</v>
      </c>
      <c r="K47" s="3103" t="s">
        <v>2189</v>
      </c>
      <c r="L47" s="3103"/>
      <c r="M47" s="3105">
        <f>'数据-取费表'!B2</f>
        <v>43391</v>
      </c>
      <c r="N47" s="3105"/>
      <c r="O47" s="3105"/>
    </row>
    <row r="48" spans="1:15" ht="25.5">
      <c r="A48" s="3171" t="s">
        <v>2190</v>
      </c>
      <c r="B48" s="3172"/>
      <c r="C48" s="3172"/>
      <c r="D48" s="139">
        <f>IF(H48="情况1",0,IF(H48="情况2",D52,IF(H48="情况3",D53,IF(H48="情况4",D54))))</f>
        <v>0</v>
      </c>
      <c r="E48" s="1796" t="str">
        <f>IF(H48="情况4","(销售额-原购置价)×税（费）率","销售额×税（费）率")</f>
        <v>销售额×税（费）率</v>
      </c>
      <c r="F48" s="174" t="str">
        <f>IF(H48="情况1","免征",'数据-取费表'!B41)</f>
        <v>免征</v>
      </c>
      <c r="G48" s="2476" t="s">
        <v>2191</v>
      </c>
      <c r="H48" s="2477" t="s">
        <v>2192</v>
      </c>
      <c r="I48" s="2475"/>
      <c r="J48" s="1807">
        <v>3</v>
      </c>
      <c r="K48" s="3103" t="s">
        <v>2193</v>
      </c>
      <c r="L48" s="3103"/>
      <c r="M48" s="3106">
        <f ca="1">H101</f>
        <v>84932</v>
      </c>
      <c r="N48" s="3106"/>
      <c r="O48" s="3106"/>
    </row>
    <row r="49" spans="1:35" ht="25.5" customHeight="1">
      <c r="A49" s="175" t="s">
        <v>2194</v>
      </c>
      <c r="B49" s="3151" t="s">
        <v>2195</v>
      </c>
      <c r="C49" s="3151"/>
      <c r="D49" s="176">
        <v>0</v>
      </c>
      <c r="E49" s="23" t="s">
        <v>2196</v>
      </c>
      <c r="F49" s="28" t="s">
        <v>34</v>
      </c>
      <c r="G49" s="3132"/>
      <c r="H49" s="137"/>
      <c r="I49" s="2478"/>
      <c r="J49" s="1807">
        <v>4</v>
      </c>
      <c r="K49" s="3103" t="str">
        <f>IF(项目基本情况!E8="房地产抵押价值","房地产抵押价值","抵押担保权已注销时的房地产抵押价值")</f>
        <v>房地产抵押价值</v>
      </c>
      <c r="L49" s="3103"/>
      <c r="M49" s="3106">
        <f ca="1">IF(项目基本情况!E8="房地产抵押价值",H107,H109)</f>
        <v>84932</v>
      </c>
      <c r="N49" s="3106"/>
      <c r="O49" s="3106"/>
    </row>
    <row r="50" spans="1:35" ht="25.5" customHeight="1">
      <c r="A50" s="177"/>
      <c r="B50" s="3151" t="s">
        <v>2197</v>
      </c>
      <c r="C50" s="3151"/>
      <c r="D50" s="178"/>
      <c r="E50" s="31"/>
      <c r="F50" s="179"/>
      <c r="G50" s="3133"/>
      <c r="H50" s="137"/>
      <c r="I50" s="2478"/>
      <c r="J50" s="3103" t="s">
        <v>2198</v>
      </c>
      <c r="K50" s="3103"/>
      <c r="L50" s="3103"/>
      <c r="M50" s="3103"/>
      <c r="N50" s="3103"/>
      <c r="O50" s="3103"/>
    </row>
    <row r="51" spans="1:35" ht="12" customHeight="1">
      <c r="A51" s="180"/>
      <c r="B51" s="3151" t="s">
        <v>2199</v>
      </c>
      <c r="C51" s="3151"/>
      <c r="D51" s="181"/>
      <c r="E51" s="30"/>
      <c r="F51" s="179"/>
      <c r="G51" s="3134"/>
      <c r="H51" s="137"/>
      <c r="I51" s="2478"/>
      <c r="J51" s="2479" t="s">
        <v>2200</v>
      </c>
      <c r="K51" s="3103" t="s">
        <v>2201</v>
      </c>
      <c r="L51" s="3103"/>
      <c r="M51" s="2479" t="s">
        <v>2202</v>
      </c>
      <c r="N51" s="2479" t="s">
        <v>2203</v>
      </c>
      <c r="O51" s="2479" t="s">
        <v>2204</v>
      </c>
    </row>
    <row r="52" spans="1:35" ht="24" customHeight="1">
      <c r="A52" s="182" t="s">
        <v>2205</v>
      </c>
      <c r="B52" s="3151" t="s">
        <v>2206</v>
      </c>
      <c r="C52" s="3151"/>
      <c r="D52" s="181">
        <f ca="1">ROUND(D45*'数据-取费表'!B41/(1+'数据-取费表'!C42),0)</f>
        <v>4449</v>
      </c>
      <c r="E52" s="11" t="s">
        <v>2207</v>
      </c>
      <c r="F52" s="183">
        <f>'数据-取费表'!B41</f>
        <v>5.5000000000000007E-2</v>
      </c>
      <c r="G52" s="2480"/>
      <c r="H52" s="137"/>
      <c r="I52" s="2478"/>
      <c r="J52" s="1807">
        <v>1</v>
      </c>
      <c r="K52" s="3126" t="s">
        <v>2208</v>
      </c>
      <c r="L52" s="3126"/>
      <c r="M52" s="1749">
        <f>D48</f>
        <v>0</v>
      </c>
      <c r="N52" s="1807" t="str">
        <f>E48</f>
        <v>销售额×税（费）率</v>
      </c>
      <c r="O52" s="1750" t="str">
        <f>F48</f>
        <v>免征</v>
      </c>
    </row>
    <row r="53" spans="1:35" ht="12" customHeight="1">
      <c r="A53" s="182" t="s">
        <v>2209</v>
      </c>
      <c r="B53" s="3152" t="s">
        <v>2210</v>
      </c>
      <c r="C53" s="3153"/>
      <c r="D53" s="181">
        <f ca="1">ROUND(D45*'数据-取费表'!B41/(1+'数据-取费表'!C42),0)</f>
        <v>4449</v>
      </c>
      <c r="E53" s="11" t="s">
        <v>2207</v>
      </c>
      <c r="F53" s="183">
        <f>'数据-取费表'!B41</f>
        <v>5.5000000000000007E-2</v>
      </c>
      <c r="G53" s="2480"/>
      <c r="H53" s="137"/>
      <c r="I53" s="2478"/>
      <c r="J53" s="1807">
        <v>2</v>
      </c>
      <c r="K53" s="3126" t="s">
        <v>2211</v>
      </c>
      <c r="L53" s="3126"/>
      <c r="M53" s="1749">
        <f t="shared" ref="M53:O54" ca="1" si="0">D55</f>
        <v>42</v>
      </c>
      <c r="N53" s="1807" t="str">
        <f t="shared" si="0"/>
        <v>销售额×税（费）率</v>
      </c>
      <c r="O53" s="1750">
        <f t="shared" si="0"/>
        <v>5.0000000000000001E-4</v>
      </c>
    </row>
    <row r="54" spans="1:35" ht="12" customHeight="1">
      <c r="A54" s="182" t="s">
        <v>2212</v>
      </c>
      <c r="B54" s="3152" t="s">
        <v>2213</v>
      </c>
      <c r="C54" s="3153"/>
      <c r="D54" s="181">
        <f ca="1">C68</f>
        <v>4449</v>
      </c>
      <c r="E54" s="30" t="s">
        <v>2214</v>
      </c>
      <c r="F54" s="183">
        <f>'数据-取费表'!B41</f>
        <v>5.5000000000000007E-2</v>
      </c>
      <c r="G54" s="2480"/>
      <c r="H54" s="2481"/>
      <c r="I54" s="2478"/>
      <c r="J54" s="1807">
        <v>3</v>
      </c>
      <c r="K54" s="3126" t="s">
        <v>2215</v>
      </c>
      <c r="L54" s="3126"/>
      <c r="M54" s="1749">
        <f t="shared" ca="1" si="0"/>
        <v>11478</v>
      </c>
      <c r="N54" s="1807" t="str">
        <f t="shared" si="0"/>
        <v>增值额×税（费）率</v>
      </c>
      <c r="O54" s="1751" t="str">
        <f t="shared" si="0"/>
        <v>——</v>
      </c>
    </row>
    <row r="55" spans="1:35" ht="24" customHeight="1">
      <c r="A55" s="3190" t="s">
        <v>2216</v>
      </c>
      <c r="B55" s="3172"/>
      <c r="C55" s="3172"/>
      <c r="D55" s="184">
        <f ca="1">IF(H55="个人住宅",0,ROUND(D45*I55,0))</f>
        <v>42</v>
      </c>
      <c r="E55" s="11" t="s">
        <v>2217</v>
      </c>
      <c r="F55" s="183">
        <f>IF(H55="正常",I55,"免征")</f>
        <v>5.0000000000000001E-4</v>
      </c>
      <c r="G55" s="2480"/>
      <c r="H55" s="2477" t="s">
        <v>2218</v>
      </c>
      <c r="I55" s="185">
        <f>'数据-取费表'!B49</f>
        <v>5.0000000000000001E-4</v>
      </c>
      <c r="J55" s="1807" t="str">
        <f>IF(H59="非个人房产","",4)</f>
        <v/>
      </c>
      <c r="K55" s="3126" t="str">
        <f>IF(H59="非个人房产","——","个人所得税")</f>
        <v>——</v>
      </c>
      <c r="L55" s="3126"/>
      <c r="M55" s="1752" t="str">
        <f>D59</f>
        <v>——</v>
      </c>
      <c r="N55" s="1805" t="str">
        <f>E59</f>
        <v>——</v>
      </c>
      <c r="O55" s="1753" t="str">
        <f>F59</f>
        <v>——</v>
      </c>
    </row>
    <row r="56" spans="1:35" ht="24.75">
      <c r="A56" s="3190" t="s">
        <v>2219</v>
      </c>
      <c r="B56" s="3172"/>
      <c r="C56" s="3172"/>
      <c r="D56" s="184">
        <f ca="1">IF(H56="个人住宅",D57,D58)</f>
        <v>11478</v>
      </c>
      <c r="E56" s="11" t="s">
        <v>2220</v>
      </c>
      <c r="F56" s="183" t="str">
        <f>IF(H56="正常",F58,"免征")</f>
        <v>——</v>
      </c>
      <c r="G56" s="2482" t="s">
        <v>2221</v>
      </c>
      <c r="H56" s="2483" t="s">
        <v>2218</v>
      </c>
      <c r="I56" s="2484"/>
      <c r="J56" s="1807" t="str">
        <f>IF(项目基本情况!K6="上海银行",IF(J55="",4,J55+1),"")</f>
        <v/>
      </c>
      <c r="K56" s="3109" t="str">
        <f>IF(项目基本情况!K6="上海银行","其他处置费用","")</f>
        <v/>
      </c>
      <c r="L56" s="3110"/>
      <c r="M56" s="1749" t="str">
        <f>IF(项目基本情况!K6="上海银行",M69,"")</f>
        <v/>
      </c>
      <c r="N56" s="3112" t="str">
        <f>IF(项目基本情况!K6="上海银行","包含处置中涉及的律师、诉讼、拍卖、评估等费用","")</f>
        <v/>
      </c>
      <c r="O56" s="3113"/>
    </row>
    <row r="57" spans="1:35" ht="12.75">
      <c r="A57" s="182" t="s">
        <v>2194</v>
      </c>
      <c r="B57" s="3157" t="s">
        <v>2222</v>
      </c>
      <c r="C57" s="3158"/>
      <c r="D57" s="186">
        <v>0</v>
      </c>
      <c r="E57" s="23" t="s">
        <v>2196</v>
      </c>
      <c r="F57" s="154"/>
      <c r="G57" s="2480"/>
      <c r="H57" s="2484"/>
      <c r="I57" s="2484"/>
      <c r="J57" s="3126">
        <f>IF(AND(J55="",J56=""),4,IF(项目基本情况!K6="上海银行",结果表!J56+1,结果表!J55+1))</f>
        <v>4</v>
      </c>
      <c r="K57" s="3126" t="s">
        <v>2223</v>
      </c>
      <c r="L57" s="2485" t="s">
        <v>2224</v>
      </c>
      <c r="M57" s="1754"/>
      <c r="N57" s="1755">
        <f ca="1">SUMIF(M52:M56,"&lt;9e307")</f>
        <v>11520</v>
      </c>
      <c r="O57" s="2486"/>
      <c r="P57" s="1748">
        <f ca="1">N57/M49</f>
        <v>0.13563792210238779</v>
      </c>
    </row>
    <row r="58" spans="1:35" ht="24.75">
      <c r="A58" s="182" t="s">
        <v>2205</v>
      </c>
      <c r="B58" s="3157" t="s">
        <v>2225</v>
      </c>
      <c r="C58" s="3170"/>
      <c r="D58" s="184">
        <f ca="1">IF(H58="转让取得",C81,C97)</f>
        <v>11478</v>
      </c>
      <c r="E58" s="11" t="s">
        <v>2220</v>
      </c>
      <c r="F58" s="24" t="s">
        <v>34</v>
      </c>
      <c r="G58" s="2480"/>
      <c r="H58" s="2483" t="s">
        <v>2226</v>
      </c>
      <c r="I58" s="2484"/>
      <c r="J58" s="3126"/>
      <c r="K58" s="3126"/>
      <c r="L58" s="2485" t="s">
        <v>2227</v>
      </c>
      <c r="M58" s="1756"/>
      <c r="N58" s="2487" t="str">
        <f ca="1">NUMBERSTRING(INT(N57*10000),2)&amp;"元整"</f>
        <v>壹亿壹仟伍佰贰拾万元整</v>
      </c>
      <c r="O58" s="2488"/>
    </row>
    <row r="59" spans="1:35" ht="24.75" thickBot="1">
      <c r="A59" s="3130" t="s">
        <v>2228</v>
      </c>
      <c r="B59" s="3131"/>
      <c r="C59" s="3131"/>
      <c r="D59" s="187" t="str">
        <f>IF(H59="非个人房产","——",IF(H59="个人住宅",0,ROUND(D45*I59,0)))</f>
        <v>——</v>
      </c>
      <c r="E59" s="188" t="str">
        <f>IF(H59="非个人房产","——","销售额×税（费）率")</f>
        <v>——</v>
      </c>
      <c r="F59" s="189" t="str">
        <f>IF(H59="非个人房产","——",IF(H59="个人住宅","免征",I59))</f>
        <v>——</v>
      </c>
      <c r="G59" s="2489" t="s">
        <v>2221</v>
      </c>
      <c r="H59" s="2483" t="s">
        <v>2229</v>
      </c>
      <c r="I59" s="190">
        <v>0.01</v>
      </c>
      <c r="J59" s="3128">
        <f>J57+1</f>
        <v>5</v>
      </c>
      <c r="K59" s="3126" t="s">
        <v>2230</v>
      </c>
      <c r="L59" s="1807" t="s">
        <v>2224</v>
      </c>
      <c r="M59" s="1757"/>
      <c r="N59" s="1758">
        <f ca="1">M49-N57</f>
        <v>73412</v>
      </c>
      <c r="O59" s="2490"/>
    </row>
    <row r="60" spans="1:35" ht="12" customHeight="1">
      <c r="A60" s="2491"/>
      <c r="B60" s="2413"/>
      <c r="C60" s="2413"/>
      <c r="D60" s="2413"/>
      <c r="E60" s="2161"/>
      <c r="F60" s="2484"/>
      <c r="G60" s="2484"/>
      <c r="H60" s="2492"/>
      <c r="I60" s="137"/>
      <c r="J60" s="3129"/>
      <c r="K60" s="3126"/>
      <c r="L60" s="2485" t="s">
        <v>2227</v>
      </c>
      <c r="M60" s="1756"/>
      <c r="N60" s="2487" t="str">
        <f ca="1">NUMBERSTRING(INT(N59*10000),2)&amp;"元整"</f>
        <v>柒亿叁仟肆佰壹拾贰万元整</v>
      </c>
      <c r="O60" s="2488"/>
    </row>
    <row r="61" spans="1:35" ht="13.5" thickBot="1">
      <c r="A61" s="3189" t="s">
        <v>2231</v>
      </c>
      <c r="B61" s="3189"/>
      <c r="C61" s="3189"/>
      <c r="D61" s="3189"/>
      <c r="E61" s="3189"/>
      <c r="F61" s="2484"/>
      <c r="G61" s="2484"/>
      <c r="H61" s="2492"/>
      <c r="I61" s="137"/>
      <c r="J61" s="1807">
        <f>J59+1</f>
        <v>6</v>
      </c>
      <c r="K61" s="3126" t="s">
        <v>2232</v>
      </c>
      <c r="L61" s="3126"/>
      <c r="M61" s="1759"/>
      <c r="N61" s="1760">
        <f ca="1">ROUND(N59*10000/'数据-汇总表'!E3,0)</f>
        <v>10744</v>
      </c>
      <c r="O61" s="2493"/>
    </row>
    <row r="62" spans="1:35" ht="12.75">
      <c r="A62" s="3146" t="s">
        <v>2233</v>
      </c>
      <c r="B62" s="3147"/>
      <c r="C62" s="1799"/>
      <c r="D62" s="1799" t="s">
        <v>2234</v>
      </c>
      <c r="E62" s="191" t="s">
        <v>2235</v>
      </c>
      <c r="F62" s="2484"/>
      <c r="G62" s="2484"/>
      <c r="H62" s="2492"/>
      <c r="I62" s="137"/>
    </row>
    <row r="63" spans="1:35" ht="12.75">
      <c r="A63" s="202" t="s">
        <v>775</v>
      </c>
      <c r="B63" s="192" t="s">
        <v>2236</v>
      </c>
      <c r="C63" s="193">
        <f ca="1">ROUND((C64+C65)/(1+'数据-取费表'!C42),0)</f>
        <v>80888</v>
      </c>
      <c r="D63" s="194"/>
      <c r="E63" s="195"/>
      <c r="F63" s="2484"/>
      <c r="G63" s="2484"/>
      <c r="H63" s="2492"/>
      <c r="I63" s="137"/>
      <c r="J63" s="3111" t="s">
        <v>2237</v>
      </c>
      <c r="K63" s="2494" t="s">
        <v>2238</v>
      </c>
      <c r="L63" s="1747">
        <f ca="1">IF(M49&gt;10000,M49*0.5%,IF(AND(M49&gt;1000,M49&lt;=10000),M49*1%,IF(AND(M49&gt;100,M49&lt;=1000),M49*3%,IF(AND(M49&gt;10,M49&lt;=100),M49*5%,M49*8%))))</f>
        <v>424.66</v>
      </c>
      <c r="M63" s="24">
        <f ca="1">ROUND(L63,1)</f>
        <v>424.7</v>
      </c>
      <c r="Z63" s="2418"/>
      <c r="AI63" s="2419"/>
    </row>
    <row r="64" spans="1:35" ht="14.25" customHeight="1">
      <c r="A64" s="196" t="s">
        <v>770</v>
      </c>
      <c r="B64" s="197" t="s">
        <v>2239</v>
      </c>
      <c r="C64" s="198">
        <f ca="1">D45</f>
        <v>84932</v>
      </c>
      <c r="D64" s="199" t="s">
        <v>32</v>
      </c>
      <c r="E64" s="200"/>
      <c r="F64" s="2484"/>
      <c r="G64" s="2484"/>
      <c r="H64" s="2492"/>
      <c r="I64" s="137"/>
      <c r="J64" s="3111"/>
      <c r="K64" s="2494" t="s">
        <v>2240</v>
      </c>
      <c r="L64" s="1747">
        <f ca="1">IF(M49&gt;2000,M49*0.5%,IF(AND(M49&gt;1000,M49&lt;=2000),M49*0.6%,IF(AND(M49&gt;500,M49&lt;=1000),M49*0.7%,IF(AND(M49&gt;200,M49&lt;=500),M49*0.8%,IF(AND(M49&gt;100,M49&lt;=200),M49*0.9%,IF(AND(M49&gt;50,M49&lt;=100),M49*1%,IF(AND(M49&gt;20,M49&lt;=50),M49*1.5%,IF(AND(M49&gt;10,M49&lt;=20),M49*2%,IF(AND(M49&gt;1,M49&lt;=10),M49*2.5%)))))))))</f>
        <v>424.66</v>
      </c>
      <c r="M64" s="24">
        <f t="shared" ref="M64:M65" ca="1" si="1">ROUND(L64,1)</f>
        <v>424.7</v>
      </c>
      <c r="N64" s="137" t="s">
        <v>2241</v>
      </c>
      <c r="Z64" s="2418"/>
      <c r="AI64" s="2419"/>
    </row>
    <row r="65" spans="1:35" ht="14.25" customHeight="1">
      <c r="A65" s="196" t="s">
        <v>771</v>
      </c>
      <c r="B65" s="197" t="s">
        <v>2242</v>
      </c>
      <c r="C65" s="201"/>
      <c r="D65" s="199"/>
      <c r="E65" s="200"/>
      <c r="F65" s="2484"/>
      <c r="G65" s="2484"/>
      <c r="H65" s="2492"/>
      <c r="I65" s="137"/>
      <c r="J65" s="3111"/>
      <c r="K65" s="2494" t="s">
        <v>2243</v>
      </c>
      <c r="L65" s="1747">
        <f ca="1">IF(M49&gt;1000,M49*0.1%,IF(AND(M49&gt;500,M49&lt;=1000),M49*0.5%,IF(AND(M49&gt;50,M49&lt;=500),M49*1%,IF(AND(M49&gt;1,M49&lt;=50),M49*1.5%))))</f>
        <v>84.932000000000002</v>
      </c>
      <c r="M65" s="24">
        <f t="shared" ca="1" si="1"/>
        <v>84.9</v>
      </c>
      <c r="N65" s="137" t="s">
        <v>2241</v>
      </c>
      <c r="Z65" s="2418"/>
      <c r="AI65" s="2419"/>
    </row>
    <row r="66" spans="1:35" ht="14.25" customHeight="1">
      <c r="A66" s="202" t="s">
        <v>772</v>
      </c>
      <c r="B66" s="203" t="s">
        <v>2244</v>
      </c>
      <c r="C66" s="204"/>
      <c r="D66" s="205" t="s">
        <v>32</v>
      </c>
      <c r="E66" s="1771" t="s">
        <v>1367</v>
      </c>
      <c r="F66" s="2484"/>
      <c r="G66" s="2484"/>
      <c r="H66" s="2492"/>
      <c r="I66" s="137"/>
      <c r="J66" s="3111"/>
      <c r="K66" s="2494" t="s">
        <v>2245</v>
      </c>
      <c r="L66" s="1747">
        <f ca="1">M49*0.5%</f>
        <v>424.66</v>
      </c>
      <c r="M66" s="24">
        <f ca="1">IF(L66&gt;0.5,0.5,ROUND(L66,0))</f>
        <v>0.5</v>
      </c>
      <c r="N66" s="137" t="s">
        <v>2246</v>
      </c>
      <c r="Z66" s="2418"/>
      <c r="AI66" s="2419"/>
    </row>
    <row r="67" spans="1:35" ht="14.25" customHeight="1">
      <c r="A67" s="202" t="s">
        <v>773</v>
      </c>
      <c r="B67" s="203" t="s">
        <v>2247</v>
      </c>
      <c r="C67" s="206">
        <f ca="1">C63-C66</f>
        <v>80888</v>
      </c>
      <c r="D67" s="199" t="s">
        <v>32</v>
      </c>
      <c r="E67" s="200"/>
      <c r="F67" s="2484"/>
      <c r="G67" s="2484"/>
      <c r="H67" s="2492"/>
      <c r="I67" s="137"/>
      <c r="J67" s="3111"/>
      <c r="K67" s="2494" t="s">
        <v>2248</v>
      </c>
      <c r="L67" s="1747">
        <f ca="1">IF(M49&gt;=10000,(8.25+(M49-10000)*0.01%),IF(AND(M49&gt;=8000,M49&lt;10000),(7.85+(M49-8000)*0.02%),IF(AND(M49&gt;=5000,M49&lt;8000),(6.65+(M49-5000)*0.04%),IF(AND(M49&gt;=2000,M49&lt;5000),(4.25+(PM49-2000)*0.08%),IF(AND(M49&gt;=1000,M49&lt;2000),(2.75+(M49-1000)*0.15%),IF(AND(M49&gt;=100,M49&lt;1000),(0.5+(M49-100)*0.25%),IF(AND(M49&gt;0,M49&lt;100),M49*0.5%)))))))</f>
        <v>15.743200000000002</v>
      </c>
      <c r="M67" s="24">
        <f ca="1">ROUND(L67*0.9,1)</f>
        <v>14.2</v>
      </c>
      <c r="Z67" s="2418"/>
      <c r="AI67" s="2419"/>
    </row>
    <row r="68" spans="1:35" ht="14.25" customHeight="1" thickBot="1">
      <c r="A68" s="207" t="s">
        <v>774</v>
      </c>
      <c r="B68" s="208" t="s">
        <v>2249</v>
      </c>
      <c r="C68" s="209">
        <f ca="1">IF(C67&lt;=0,0,ROUND(C67*D68,0))</f>
        <v>4449</v>
      </c>
      <c r="D68" s="210">
        <f>'数据-取费表'!B41</f>
        <v>5.5000000000000007E-2</v>
      </c>
      <c r="E68" s="211"/>
      <c r="F68" s="2484"/>
      <c r="G68" s="2484"/>
      <c r="H68" s="2492"/>
      <c r="I68" s="137"/>
      <c r="J68" s="3111"/>
      <c r="K68" s="2494" t="s">
        <v>2250</v>
      </c>
      <c r="L68" s="1747">
        <f ca="1">IF(M49&gt;10000,M49*0.5%,IF(AND(M49&gt;5000,M49&lt;=10000),M49*1%,IF(AND(M49&gt;1000,M49&lt;=5000),M49*2%,IF(AND(M49&gt;200,M49&lt;=1000),M49*3%,M49*5%))))</f>
        <v>424.66</v>
      </c>
      <c r="M68" s="24">
        <f ca="1">ROUND(L68,1)</f>
        <v>424.7</v>
      </c>
      <c r="Z68" s="2418"/>
      <c r="AI68" s="2419"/>
    </row>
    <row r="69" spans="1:35" s="2441" customFormat="1" ht="16.5" customHeight="1">
      <c r="A69" s="2495"/>
      <c r="B69" s="2496"/>
      <c r="C69" s="2497"/>
      <c r="D69" s="2498"/>
      <c r="E69" s="2499"/>
      <c r="F69" s="2161"/>
      <c r="G69" s="2161"/>
      <c r="H69" s="2160"/>
      <c r="I69" s="2413"/>
      <c r="J69" s="3111"/>
      <c r="K69" s="2494" t="s">
        <v>2251</v>
      </c>
      <c r="L69" s="2500"/>
      <c r="M69" s="24">
        <f ca="1">ROUND(SUM(M63:M68),0)</f>
        <v>1374</v>
      </c>
      <c r="N69" s="1748">
        <f ca="1">M69/M49</f>
        <v>1.6177648000753542E-2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155" t="s">
        <v>2252</v>
      </c>
      <c r="B70" s="3156"/>
      <c r="C70" s="3156"/>
      <c r="D70" s="3156"/>
      <c r="E70" s="3156"/>
      <c r="F70" s="3156"/>
      <c r="G70" s="3156"/>
      <c r="H70" s="315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46" t="s">
        <v>2233</v>
      </c>
      <c r="B71" s="3147"/>
      <c r="C71" s="1799"/>
      <c r="D71" s="1799" t="s">
        <v>2234</v>
      </c>
      <c r="E71" s="212" t="s">
        <v>2235</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2253</v>
      </c>
      <c r="C72" s="206">
        <f ca="1">ROUND(D45/(1+'数据-取费表'!C42),0)</f>
        <v>80888</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2254</v>
      </c>
      <c r="C73" s="206">
        <f ca="1">C74+C78</f>
        <v>404</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2255</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2256</v>
      </c>
      <c r="C75" s="217"/>
      <c r="D75" s="199" t="s">
        <v>32</v>
      </c>
      <c r="E75" s="218" t="s">
        <v>2257</v>
      </c>
      <c r="F75" s="2506" t="s">
        <v>2258</v>
      </c>
      <c r="G75" s="218" t="s">
        <v>2259</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2260</v>
      </c>
      <c r="C76" s="199">
        <f>IF(F75="购房发票",ROUND(C75*H75*D76,0),0)</f>
        <v>0</v>
      </c>
      <c r="D76" s="221">
        <v>0.05</v>
      </c>
      <c r="E76" s="3152" t="s">
        <v>2261</v>
      </c>
      <c r="F76" s="3151"/>
      <c r="G76" s="3151"/>
      <c r="H76" s="315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8" t="s">
        <v>2264</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2265</v>
      </c>
      <c r="C78" s="224">
        <f ca="1">ROUND(D45*D78/(1+'数据-取费表'!C42),0)</f>
        <v>404</v>
      </c>
      <c r="D78" s="225">
        <f>'数据-取费表'!B43</f>
        <v>5.000000000000001E-3</v>
      </c>
      <c r="E78" s="3143" t="s">
        <v>2266</v>
      </c>
      <c r="F78" s="3144"/>
      <c r="G78" s="3144"/>
      <c r="H78" s="314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2267</v>
      </c>
      <c r="C79" s="206">
        <f ca="1">C72-C73</f>
        <v>80484</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2268</v>
      </c>
      <c r="C80" s="226">
        <f ca="1">IF(C79&lt;=0,0,C79/C73)</f>
        <v>199.21782178217822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2269</v>
      </c>
      <c r="C81" s="227">
        <f ca="1">ROUND(IF(C79&lt;=0,0,IF(C80&gt;=200%,C79*60%-C73*35%,IF(C80&gt;=100%,C79*50%-C73*15%,IF(C80&gt;=50%,C79*40%-C73*5%,IF(C80&lt;50%,C79*30%,0))))),0)</f>
        <v>48149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5" t="s">
        <v>2270</v>
      </c>
      <c r="B83" s="3156"/>
      <c r="C83" s="3156"/>
      <c r="D83" s="3156"/>
      <c r="E83" s="3156"/>
      <c r="F83" s="3156"/>
      <c r="G83" s="3156"/>
      <c r="H83" s="315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6" t="s">
        <v>2233</v>
      </c>
      <c r="B84" s="3147"/>
      <c r="C84" s="1799"/>
      <c r="D84" s="1799" t="s">
        <v>2234</v>
      </c>
      <c r="E84" s="212" t="s">
        <v>2235</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2253</v>
      </c>
      <c r="C85" s="206">
        <f ca="1">ROUND(D45/(1+'数据-取费表'!C42),0)</f>
        <v>80888</v>
      </c>
      <c r="D85" s="199" t="s">
        <v>32</v>
      </c>
      <c r="E85" s="1798"/>
      <c r="F85" s="1792"/>
      <c r="G85" s="1792"/>
      <c r="H85" s="233"/>
      <c r="I85" s="2507"/>
      <c r="J85" s="2966" t="s">
        <v>3103</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2254</v>
      </c>
      <c r="C86" s="206">
        <f ca="1">IF(H88="仅含出让金",C87+C90+C91+C92+C93+C94,C87+C91+C92+C93+C94)</f>
        <v>46393</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2271</v>
      </c>
      <c r="C87" s="224">
        <f>C88+C89</f>
        <v>12588</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2272</v>
      </c>
      <c r="C88" s="235">
        <f>ROUND(J86*'数据-汇总表'!F19/10000,0)</f>
        <v>12215</v>
      </c>
      <c r="D88" s="225"/>
      <c r="E88" s="236" t="s">
        <v>2273</v>
      </c>
      <c r="F88" s="1795"/>
      <c r="G88" s="237" t="s">
        <v>2274</v>
      </c>
      <c r="H88" s="2512" t="s">
        <v>3104</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2262</v>
      </c>
      <c r="C89" s="224">
        <f>ROUND(C88*D89,0)</f>
        <v>373</v>
      </c>
      <c r="D89" s="225">
        <f>'数据-取费表'!B48+'数据-取费表'!B49</f>
        <v>3.0499999999999999E-2</v>
      </c>
      <c r="E89" s="236" t="s">
        <v>2275</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2276</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2277</v>
      </c>
      <c r="B91" s="197" t="s">
        <v>2278</v>
      </c>
      <c r="C91" s="224">
        <f ca="1">IF(H91="——",成本法!C33,I91)</f>
        <v>22788</v>
      </c>
      <c r="D91" s="225"/>
      <c r="E91" s="3143" t="s">
        <v>2279</v>
      </c>
      <c r="F91" s="3144"/>
      <c r="G91" s="3144"/>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2280</v>
      </c>
      <c r="B92" s="197" t="s">
        <v>2281</v>
      </c>
      <c r="C92" s="224">
        <f ca="1">ROUND((C87+C90+C91)*D92,0)</f>
        <v>3538</v>
      </c>
      <c r="D92" s="225">
        <v>0.1</v>
      </c>
      <c r="E92" s="3143" t="s">
        <v>2282</v>
      </c>
      <c r="F92" s="3144"/>
      <c r="G92" s="3144"/>
      <c r="H92" s="314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2283</v>
      </c>
      <c r="B93" s="197" t="s">
        <v>2265</v>
      </c>
      <c r="C93" s="224">
        <f ca="1">ROUND(D45*D93/(1+'数据-取费表'!C42),0)</f>
        <v>404</v>
      </c>
      <c r="D93" s="225">
        <f>'数据-取费表'!B43</f>
        <v>5.000000000000001E-3</v>
      </c>
      <c r="E93" s="3143" t="s">
        <v>2266</v>
      </c>
      <c r="F93" s="3144"/>
      <c r="G93" s="3144"/>
      <c r="H93" s="314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2284</v>
      </c>
      <c r="B94" s="197" t="s">
        <v>2285</v>
      </c>
      <c r="C94" s="235">
        <f ca="1">ROUND((C87+C90+C91)*D94,0)</f>
        <v>7075</v>
      </c>
      <c r="D94" s="225">
        <v>0.2</v>
      </c>
      <c r="E94" s="3191" t="s">
        <v>2286</v>
      </c>
      <c r="F94" s="3192"/>
      <c r="G94" s="3192"/>
      <c r="H94" s="319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2267</v>
      </c>
      <c r="C95" s="206">
        <f ca="1">ROUND(C85-C86,0)</f>
        <v>34495</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2268</v>
      </c>
      <c r="C96" s="226">
        <f ca="1">IF(C95&lt;=0,0,C95/C86)</f>
        <v>0.74353889595413103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2269</v>
      </c>
      <c r="C97" s="227">
        <f ca="1">ROUND(IF(C95&lt;=0,0,IF(C96&gt;=200%,C95*60%-C86*35%,IF(C96&gt;=100%,C95*50%-C86*15%,IF(C96&gt;=50%,C95*40%-C86*5%,IF(C96&lt;50%,C95*30%,0))))),0)</f>
        <v>11478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2287</v>
      </c>
      <c r="B99" s="2413"/>
      <c r="C99" s="2413"/>
      <c r="D99" s="2413"/>
      <c r="E99" s="2161"/>
      <c r="F99" s="2161"/>
      <c r="G99" s="2161"/>
      <c r="H99" s="2160"/>
      <c r="I99" s="137"/>
    </row>
    <row r="100" spans="1:35" ht="18.75" customHeight="1">
      <c r="A100" s="3095" t="s">
        <v>2288</v>
      </c>
      <c r="B100" s="3096"/>
      <c r="C100" s="3096"/>
      <c r="D100" s="3127"/>
      <c r="E100" s="3096" t="s">
        <v>2289</v>
      </c>
      <c r="F100" s="3096"/>
      <c r="G100" s="3096"/>
      <c r="H100" s="3127"/>
      <c r="I100" s="137"/>
    </row>
    <row r="101" spans="1:35" ht="18.75" customHeight="1">
      <c r="A101" s="3135" t="s">
        <v>2290</v>
      </c>
      <c r="B101" s="3136"/>
      <c r="C101" s="734" t="str">
        <f>C4</f>
        <v>成本法</v>
      </c>
      <c r="D101" s="735" t="str">
        <f>D4</f>
        <v>收益法（汇总）</v>
      </c>
      <c r="E101" s="3107" t="s">
        <v>2291</v>
      </c>
      <c r="F101" s="3108"/>
      <c r="G101" s="2515" t="s">
        <v>2292</v>
      </c>
      <c r="H101" s="1043">
        <f ca="1">H118</f>
        <v>84932</v>
      </c>
      <c r="I101" s="137"/>
    </row>
    <row r="102" spans="1:35" ht="18.75" customHeight="1">
      <c r="A102" s="3137" t="s">
        <v>2293</v>
      </c>
      <c r="B102" s="2515" t="s">
        <v>2292</v>
      </c>
      <c r="C102" s="734">
        <f ca="1">C19</f>
        <v>61645</v>
      </c>
      <c r="D102" s="735">
        <f ca="1">D19</f>
        <v>100456</v>
      </c>
      <c r="E102" s="3107"/>
      <c r="F102" s="3108"/>
      <c r="G102" s="2515" t="s">
        <v>2294</v>
      </c>
      <c r="H102" s="370" t="e">
        <f ca="1">I118</f>
        <v>#DIV/0!</v>
      </c>
      <c r="I102" s="137"/>
    </row>
    <row r="103" spans="1:35" ht="42.75" customHeight="1">
      <c r="A103" s="3137"/>
      <c r="B103" s="2515" t="s">
        <v>2294</v>
      </c>
      <c r="C103" s="736">
        <f ca="1">C20</f>
        <v>9022</v>
      </c>
      <c r="D103" s="737">
        <f ca="1">D20</f>
        <v>14702</v>
      </c>
      <c r="E103" s="3101" t="s">
        <v>2295</v>
      </c>
      <c r="F103" s="3102"/>
      <c r="G103" s="2516" t="s">
        <v>2296</v>
      </c>
      <c r="H103" s="1043">
        <f>IF(D36="正常操作",H104+H105+H106,H105+H106)</f>
        <v>0</v>
      </c>
      <c r="I103" s="137"/>
    </row>
    <row r="104" spans="1:35" ht="18.75" customHeight="1">
      <c r="A104" s="3137" t="s">
        <v>2297</v>
      </c>
      <c r="B104" s="2517" t="s">
        <v>2292</v>
      </c>
      <c r="C104" s="738">
        <f ca="1">H118</f>
        <v>84932</v>
      </c>
      <c r="D104" s="739"/>
      <c r="E104" s="2262" t="s">
        <v>2298</v>
      </c>
      <c r="F104" s="2253"/>
      <c r="G104" s="2516" t="s">
        <v>2296</v>
      </c>
      <c r="H104" s="1044">
        <f>IF(D36="同一抵押权人同一抵押物续贷",C36&amp;"（未扣减，详见特别提示）",C36)</f>
        <v>0</v>
      </c>
      <c r="I104" s="137"/>
    </row>
    <row r="105" spans="1:35" ht="18.75" customHeight="1" thickBot="1">
      <c r="A105" s="3149"/>
      <c r="B105" s="2518" t="s">
        <v>2294</v>
      </c>
      <c r="C105" s="740" t="e">
        <f ca="1">I118</f>
        <v>#DIV/0!</v>
      </c>
      <c r="D105" s="741"/>
      <c r="E105" s="2262" t="s">
        <v>2299</v>
      </c>
      <c r="F105" s="2253"/>
      <c r="G105" s="2516" t="s">
        <v>2296</v>
      </c>
      <c r="H105" s="1044">
        <f>C37</f>
        <v>0</v>
      </c>
      <c r="I105" s="137"/>
    </row>
    <row r="106" spans="1:35" ht="18.75" customHeight="1">
      <c r="A106" s="2413" t="s">
        <v>2300</v>
      </c>
      <c r="B106" s="2413"/>
      <c r="C106" s="2413"/>
      <c r="D106" s="2413"/>
      <c r="E106" s="2519" t="s">
        <v>2301</v>
      </c>
      <c r="F106" s="2253"/>
      <c r="G106" s="2516" t="s">
        <v>2296</v>
      </c>
      <c r="H106" s="1044">
        <f>C38</f>
        <v>0</v>
      </c>
      <c r="I106" s="137"/>
    </row>
    <row r="107" spans="1:35" ht="18.75" customHeight="1">
      <c r="A107" s="137"/>
      <c r="B107" s="137"/>
      <c r="C107" s="137"/>
      <c r="D107" s="137"/>
      <c r="E107" s="3138" t="str">
        <f>IF(项目基本情况!E8="已注销","——","3.房地产抵押价值")</f>
        <v>3.房地产抵押价值</v>
      </c>
      <c r="F107" s="3108"/>
      <c r="G107" s="2515" t="s">
        <v>2292</v>
      </c>
      <c r="H107" s="1043">
        <f ca="1">IF(E107="——","——",H101-H103)</f>
        <v>84932</v>
      </c>
      <c r="I107" s="137"/>
    </row>
    <row r="108" spans="1:35" ht="18.75" customHeight="1">
      <c r="A108" s="137"/>
      <c r="B108" s="137"/>
      <c r="C108" s="137"/>
      <c r="D108" s="137"/>
      <c r="E108" s="3138"/>
      <c r="F108" s="3108"/>
      <c r="G108" s="2515" t="s">
        <v>2294</v>
      </c>
      <c r="H108" s="370">
        <f ca="1">ROUND(H107*10000/'数据-汇总表'!E3,0)</f>
        <v>12430</v>
      </c>
      <c r="I108" s="137"/>
    </row>
    <row r="109" spans="1:35" ht="18.75" customHeight="1">
      <c r="A109" s="137"/>
      <c r="B109" s="137"/>
      <c r="C109" s="137"/>
      <c r="D109" s="137"/>
      <c r="E109" s="3138" t="str">
        <f>IF(项目基本情况!E8="已注销及未注销","4.抵押担保权已注销时的房地产抵押价值",IF(项目基本情况!E8="已注销","3.抵押担保权已注销时的房地产抵押价值","——"))</f>
        <v>——</v>
      </c>
      <c r="F109" s="3108"/>
      <c r="G109" s="2515" t="s">
        <v>2292</v>
      </c>
      <c r="H109" s="347" t="str">
        <f>IF(E109="——","——",H101-H105-H106)</f>
        <v>——</v>
      </c>
      <c r="I109" s="137"/>
    </row>
    <row r="110" spans="1:35" ht="18.75" customHeight="1">
      <c r="A110" s="137"/>
      <c r="B110" s="137"/>
      <c r="C110" s="137"/>
      <c r="D110" s="137"/>
      <c r="E110" s="3138"/>
      <c r="F110" s="3108"/>
      <c r="G110" s="2515" t="s">
        <v>2294</v>
      </c>
      <c r="H110" s="370" t="str">
        <f>IF(H109="——","——",ROUND(H109*10000/'数据-汇总表'!E3,0))</f>
        <v>——</v>
      </c>
      <c r="I110" s="137"/>
    </row>
    <row r="111" spans="1:35" ht="18.75" customHeight="1">
      <c r="A111" s="137"/>
      <c r="B111" s="137"/>
      <c r="C111" s="137"/>
      <c r="D111" s="137"/>
      <c r="E111" s="3139" t="str">
        <f>IF(项目基本情况!E9="抵押净值",IF(OR(项目基本情况!E8="已注销",项目基本情况!E8="房地产抵押价值"),"4.抵押净值","5.抵押净值"),"——")</f>
        <v>4.抵押净值</v>
      </c>
      <c r="F111" s="3140"/>
      <c r="G111" s="2515" t="s">
        <v>2292</v>
      </c>
      <c r="H111" s="1043">
        <f ca="1">IF(E111="——","——",N59)</f>
        <v>73412</v>
      </c>
      <c r="I111" s="137"/>
    </row>
    <row r="112" spans="1:35" ht="18.75" customHeight="1" thickBot="1">
      <c r="A112" s="137"/>
      <c r="B112" s="137"/>
      <c r="C112" s="137"/>
      <c r="D112" s="137"/>
      <c r="E112" s="3141"/>
      <c r="F112" s="3142"/>
      <c r="G112" s="2520" t="s">
        <v>2294</v>
      </c>
      <c r="H112" s="788">
        <f ca="1">IF(E111="——","——",N61)</f>
        <v>10744</v>
      </c>
      <c r="I112" s="137"/>
    </row>
    <row r="113" spans="1:11" ht="18.75" customHeight="1">
      <c r="A113" s="137"/>
      <c r="B113" s="137"/>
      <c r="C113" s="137"/>
      <c r="D113" s="137"/>
      <c r="E113" s="3150" t="s">
        <v>2300</v>
      </c>
      <c r="F113" s="3150"/>
      <c r="G113" s="3150"/>
      <c r="H113" s="3150"/>
      <c r="I113" s="137"/>
    </row>
    <row r="114" spans="1:11" ht="3.75" customHeight="1">
      <c r="A114" s="2413"/>
      <c r="B114" s="2413"/>
      <c r="C114" s="2413"/>
      <c r="D114" s="2413"/>
      <c r="E114" s="2491"/>
      <c r="F114" s="2491"/>
      <c r="G114" s="2491"/>
      <c r="H114" s="2491"/>
      <c r="I114" s="2413"/>
    </row>
    <row r="115" spans="1:11" ht="18.75" customHeight="1">
      <c r="A115" s="3163" t="s">
        <v>2302</v>
      </c>
      <c r="B115" s="3164"/>
      <c r="C115" s="3164"/>
      <c r="D115" s="3164"/>
      <c r="E115" s="3164"/>
      <c r="F115" s="3164"/>
      <c r="G115" s="3164"/>
      <c r="H115" s="3164"/>
      <c r="I115" s="3165"/>
    </row>
    <row r="116" spans="1:11" ht="27" customHeight="1">
      <c r="A116" s="3074" t="s">
        <v>2303</v>
      </c>
      <c r="B116" s="3117" t="s">
        <v>2304</v>
      </c>
      <c r="C116" s="3117" t="s">
        <v>2305</v>
      </c>
      <c r="D116" s="3123" t="s">
        <v>2306</v>
      </c>
      <c r="E116" s="3124"/>
      <c r="F116" s="3159" t="s">
        <v>2307</v>
      </c>
      <c r="G116" s="3159"/>
      <c r="H116" s="3074" t="s">
        <v>2308</v>
      </c>
      <c r="I116" s="3074"/>
    </row>
    <row r="117" spans="1:11" ht="18.75" customHeight="1">
      <c r="A117" s="3074"/>
      <c r="B117" s="3118"/>
      <c r="C117" s="3118"/>
      <c r="D117" s="1793" t="s">
        <v>2309</v>
      </c>
      <c r="E117" s="1793" t="s">
        <v>2310</v>
      </c>
      <c r="F117" s="1793" t="s">
        <v>2309</v>
      </c>
      <c r="G117" s="1793" t="s">
        <v>2311</v>
      </c>
      <c r="H117" s="1793" t="s">
        <v>2309</v>
      </c>
      <c r="I117" s="1793" t="s">
        <v>2311</v>
      </c>
    </row>
    <row r="118" spans="1:11" ht="24.75" customHeight="1">
      <c r="A118" s="2521" t="str">
        <f>项目基本情况!S2</f>
        <v>江苏省泰州市泰兴市泰兴市佳源新天地2号16幢101室房地产</v>
      </c>
      <c r="B118" s="1793">
        <f>M18</f>
        <v>0</v>
      </c>
      <c r="C118" s="1793">
        <f>M19</f>
        <v>0</v>
      </c>
      <c r="D118" s="1793" t="e">
        <f ca="1">ROUND(IF(D32="总价",C34,E118*B118/10000),0)</f>
        <v>#REF!</v>
      </c>
      <c r="E118" s="1793" t="e">
        <f ca="1">ROUND(IF(C33="自定义",IF(D32="楼面单价",C34,D118*10000/B118),I118-G118),0)</f>
        <v>#DIV/0!</v>
      </c>
      <c r="F118" s="1793" t="e">
        <f ca="1">ROUND(IF(D32="总价",C35,G118*B118/10000),0)</f>
        <v>#REF!</v>
      </c>
      <c r="G118" s="1793" t="e">
        <f ca="1">ROUND(IF(D32="楼面单价",C35,F118*10000/B118),0)</f>
        <v>#REF!</v>
      </c>
      <c r="H118" s="1793">
        <f ca="1">ROUND(IF(D32="总价",C32,I118*B118/10000),0)</f>
        <v>84932</v>
      </c>
      <c r="I118" s="1793" t="e">
        <f ca="1">ROUND(IF(D32="楼面单价",C32,H118*10000/B118),0)</f>
        <v>#DIV/0!</v>
      </c>
    </row>
    <row r="119" spans="1:11" ht="18.75" customHeight="1">
      <c r="A119" s="3074" t="s">
        <v>2312</v>
      </c>
      <c r="B119" s="3074"/>
      <c r="C119" s="3074"/>
      <c r="D119" s="3119" t="e">
        <f ca="1">NUMBERSTRING(INT(D118*10000),2)&amp;"元整"</f>
        <v>#REF!</v>
      </c>
      <c r="E119" s="3120"/>
      <c r="F119" s="3119" t="e">
        <f ca="1">NUMBERSTRING(INT(F118*10000),2)&amp;"元整"</f>
        <v>#REF!</v>
      </c>
      <c r="G119" s="3120"/>
      <c r="H119" s="3119" t="str">
        <f ca="1">NUMBERSTRING(INT(H118*10000),2)&amp;"元整"</f>
        <v>捌亿肆仟玖佰叁拾贰万元整</v>
      </c>
      <c r="I119" s="3120"/>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18" t="str">
        <f>IF(D120=0,"故，本次评估不存在"&amp;A120,"故，本次评估"&amp;A120&amp;"为人民币"&amp;D120&amp;"万元整。")</f>
        <v>故，本次评估不存在估价师知悉的法定优先受偿款</v>
      </c>
    </row>
    <row r="121" spans="1:11" ht="18.75" customHeight="1">
      <c r="A121" s="3160" t="s">
        <v>2312</v>
      </c>
      <c r="B121" s="3161"/>
      <c r="C121" s="3162"/>
      <c r="D121" s="3119" t="str">
        <f>IF(D120=0,"零元整",NUMBERSTRING(INT(D120*10000),2)&amp;"元整")</f>
        <v>零元整</v>
      </c>
      <c r="E121" s="3121"/>
      <c r="F121" s="3121"/>
      <c r="G121" s="3121"/>
      <c r="H121" s="3121"/>
      <c r="I121" s="3120"/>
    </row>
    <row r="122" spans="1:11" ht="18.75" customHeight="1">
      <c r="A122" s="3125" t="str">
        <f>IF(项目基本情况!B9="房地产市场价值","",MID(E107,3,LEN(E107)-2))</f>
        <v>房地产抵押价值</v>
      </c>
      <c r="B122" s="3125"/>
      <c r="C122" s="3125"/>
      <c r="D122" s="3114">
        <f ca="1">H107</f>
        <v>84932</v>
      </c>
      <c r="E122" s="3115"/>
      <c r="F122" s="3115"/>
      <c r="G122" s="3115"/>
      <c r="H122" s="3115"/>
      <c r="I122" s="3116"/>
    </row>
    <row r="123" spans="1:11" ht="18.75" customHeight="1">
      <c r="A123" s="3074" t="s">
        <v>2312</v>
      </c>
      <c r="B123" s="3074"/>
      <c r="C123" s="3074"/>
      <c r="D123" s="3119" t="str">
        <f ca="1">NUMBERSTRING(INT(D122*10000),2)&amp;"元整"</f>
        <v>捌亿肆仟玖佰叁拾贰万元整</v>
      </c>
      <c r="E123" s="3121"/>
      <c r="F123" s="3121"/>
      <c r="G123" s="3121"/>
      <c r="H123" s="3121"/>
      <c r="I123" s="3120"/>
    </row>
    <row r="124" spans="1:11" ht="18.75" customHeight="1">
      <c r="A124" s="3125" t="str">
        <f>IF(项目基本情况!B9="房地产市场价值","",MID(E109,3,LEN(E109)-2))</f>
        <v/>
      </c>
      <c r="B124" s="3125"/>
      <c r="C124" s="3125"/>
      <c r="D124" s="3114" t="str">
        <f>H109</f>
        <v>——</v>
      </c>
      <c r="E124" s="3115"/>
      <c r="F124" s="3115"/>
      <c r="G124" s="3115"/>
      <c r="H124" s="3115"/>
      <c r="I124" s="3116"/>
    </row>
    <row r="125" spans="1:11" ht="18.75" customHeight="1">
      <c r="A125" s="3074" t="s">
        <v>2312</v>
      </c>
      <c r="B125" s="3074"/>
      <c r="C125" s="3074"/>
      <c r="D125" s="3119" t="e">
        <f>NUMBERSTRING(INT(D124*10000),2)&amp;"元整"</f>
        <v>#VALUE!</v>
      </c>
      <c r="E125" s="3121"/>
      <c r="F125" s="3121"/>
      <c r="G125" s="3121"/>
      <c r="H125" s="3121"/>
      <c r="I125" s="3120"/>
    </row>
    <row r="126" spans="1:11" ht="18.75" customHeight="1">
      <c r="A126" s="3125" t="str">
        <f>IF(项目基本情况!B9="房地产市场价值","",MID(E111,3,LEN(E111)-2))</f>
        <v>抵押净值</v>
      </c>
      <c r="B126" s="3125"/>
      <c r="C126" s="3125"/>
      <c r="D126" s="3114">
        <f ca="1">H111</f>
        <v>73412</v>
      </c>
      <c r="E126" s="3115"/>
      <c r="F126" s="3115"/>
      <c r="G126" s="3115"/>
      <c r="H126" s="3115"/>
      <c r="I126" s="3116"/>
    </row>
    <row r="127" spans="1:11" ht="18.75" customHeight="1">
      <c r="A127" s="3074" t="s">
        <v>2312</v>
      </c>
      <c r="B127" s="3074"/>
      <c r="C127" s="3074"/>
      <c r="D127" s="3119" t="str">
        <f ca="1">NUMBERSTRING(INT(D126*10000),2)&amp;"元整"</f>
        <v>柒亿叁仟肆佰壹拾贰万元整</v>
      </c>
      <c r="E127" s="3121"/>
      <c r="F127" s="3121"/>
      <c r="G127" s="3121"/>
      <c r="H127" s="3121"/>
      <c r="I127" s="3120"/>
    </row>
    <row r="128" spans="1:11" ht="21.75" customHeight="1">
      <c r="A128" s="3122" t="s">
        <v>2313</v>
      </c>
      <c r="B128" s="3122"/>
      <c r="C128" s="3122"/>
      <c r="D128" s="3122"/>
      <c r="E128" s="3122"/>
      <c r="F128" s="3122"/>
      <c r="G128" s="3122"/>
      <c r="H128" s="3122"/>
      <c r="I128" s="3122"/>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2316</v>
      </c>
      <c r="G135" s="2539"/>
      <c r="H135" s="2539"/>
      <c r="I135" s="2540" t="s">
        <v>2317</v>
      </c>
    </row>
    <row r="136" spans="1:35" ht="21.75" customHeight="1">
      <c r="A136" s="793"/>
      <c r="B136" s="2541"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2319</v>
      </c>
    </row>
    <row r="139" spans="1:35" ht="21.75" customHeight="1">
      <c r="A139" s="793"/>
      <c r="B139" s="2541" t="s">
        <v>2320</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2319</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 sqref="D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5"/>
      <c r="C1" s="241"/>
      <c r="D1" s="241"/>
      <c r="E1" s="241"/>
      <c r="F1" s="241"/>
      <c r="G1" s="1377">
        <f>MATCH(B1,'数据-取费表'!A6:A16,0)+5</f>
        <v>8</v>
      </c>
    </row>
    <row r="2" spans="1:9" s="243" customFormat="1" ht="18" customHeight="1">
      <c r="A2" s="244" t="s">
        <v>2322</v>
      </c>
      <c r="B2" s="245">
        <f ca="1">IF(D2="——",C52,C52-E2)</f>
        <v>61645</v>
      </c>
      <c r="C2" s="242" t="s">
        <v>2323</v>
      </c>
      <c r="D2" s="2544" t="s">
        <v>3116</v>
      </c>
      <c r="E2" s="1438">
        <f ca="1">SUMIF(INDIRECT("'"&amp;G2&amp;"'"&amp;"!A:A"),"承租人权益价值",INDIRECT("'"&amp;G2&amp;"'"&amp;"!c:c"))</f>
        <v>0</v>
      </c>
      <c r="F2" s="2545" t="s">
        <v>2323</v>
      </c>
      <c r="G2" s="2546" t="s">
        <v>3067</v>
      </c>
    </row>
    <row r="3" spans="1:9" s="243" customFormat="1" ht="18" customHeight="1" thickBot="1">
      <c r="A3" s="246" t="s">
        <v>2324</v>
      </c>
      <c r="B3" s="247">
        <f ca="1">ROUND(B2*10000/(IF(B1="",'数据-汇总表'!E3,INDIRECT("'数据-取费表'!k"&amp;$G$1))),0)</f>
        <v>9022</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21741</v>
      </c>
      <c r="D5" s="254" t="s">
        <v>2329</v>
      </c>
      <c r="E5" s="255" t="s">
        <v>2330</v>
      </c>
      <c r="F5" s="255" t="s">
        <v>2331</v>
      </c>
      <c r="G5" s="256"/>
    </row>
    <row r="6" spans="1:9" s="257" customFormat="1" ht="13.5" customHeight="1">
      <c r="A6" s="947" t="s">
        <v>2332</v>
      </c>
      <c r="B6" s="258" t="s">
        <v>2333</v>
      </c>
      <c r="C6" s="259">
        <f>'土地比较法-住宅、综合'!B2</f>
        <v>20567</v>
      </c>
      <c r="D6" s="260"/>
      <c r="E6" s="261"/>
      <c r="F6" s="261"/>
      <c r="G6" s="262"/>
    </row>
    <row r="7" spans="1:9" s="257" customFormat="1" ht="13.5" customHeight="1">
      <c r="A7" s="947" t="s">
        <v>2334</v>
      </c>
      <c r="B7" s="258" t="s">
        <v>2335</v>
      </c>
      <c r="C7" s="263">
        <f>ROUND(C6*F7,0)</f>
        <v>627</v>
      </c>
      <c r="D7" s="263"/>
      <c r="E7" s="261"/>
      <c r="F7" s="264">
        <f>'数据-取费表'!B48+'数据-取费表'!B49</f>
        <v>3.0499999999999999E-2</v>
      </c>
      <c r="G7" s="262"/>
    </row>
    <row r="8" spans="1:9" s="266" customFormat="1">
      <c r="A8" s="947" t="s">
        <v>2336</v>
      </c>
      <c r="B8" s="258" t="s">
        <v>2337</v>
      </c>
      <c r="C8" s="263">
        <f ca="1">IF(G8="已包含在土地购买价格中","0",IF(B1="",'数据-取费表'!B29,IF(G9="全部缴纳",C9+C10,H9)))</f>
        <v>547</v>
      </c>
      <c r="D8" s="265"/>
      <c r="E8" s="263"/>
      <c r="F8" s="264"/>
      <c r="G8" s="2547" t="s">
        <v>3068</v>
      </c>
    </row>
    <row r="9" spans="1:9" s="257" customFormat="1" ht="13.5" customHeight="1">
      <c r="A9" s="948" t="s">
        <v>800</v>
      </c>
      <c r="B9" s="267" t="s">
        <v>2338</v>
      </c>
      <c r="C9" s="268">
        <f ca="1">ROUND(D9*E9/10000,0)</f>
        <v>0</v>
      </c>
      <c r="D9" s="1030">
        <f ca="1">IF(B1="",'数据-汇总表'!E5,IF(INDIRECT("'数据-取费表'!c"&amp;$G$1)="住宅",INDIRECT("'数据-取费表'!k"&amp;$G$1),0))</f>
        <v>0</v>
      </c>
      <c r="E9" s="268">
        <f>'数据-取费表'!B27</f>
        <v>40</v>
      </c>
      <c r="F9" s="264"/>
      <c r="G9" s="2967" t="s">
        <v>3105</v>
      </c>
      <c r="H9" s="1388"/>
      <c r="I9" s="2548" t="s">
        <v>2339</v>
      </c>
    </row>
    <row r="10" spans="1:9" s="257" customFormat="1" ht="13.5" customHeight="1">
      <c r="A10" s="948" t="s">
        <v>801</v>
      </c>
      <c r="B10" s="267" t="s">
        <v>2340</v>
      </c>
      <c r="C10" s="268">
        <f ca="1">ROUND(D10*E10/10000,0)</f>
        <v>547</v>
      </c>
      <c r="D10" s="1030">
        <f ca="1">IF(B1="",'数据-汇总表'!E6,IF(INDIRECT("'数据-取费表'!c"&amp;$G$1)="住宅",INDIRECT("'数据-取费表'!s"&amp;$G$1),INDIRECT("'数据-取费表'!k"&amp;$G$1)+INDIRECT("'数据-取费表'!s"&amp;$G$1)))</f>
        <v>68327.850000000006</v>
      </c>
      <c r="E10" s="268">
        <f>'数据-取费表'!B28</f>
        <v>80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68327.850000000006</v>
      </c>
      <c r="E19" s="254">
        <f>'数据-取费表'!B31</f>
        <v>200</v>
      </c>
      <c r="F19" s="274"/>
      <c r="G19" s="2547" t="s">
        <v>3069</v>
      </c>
    </row>
    <row r="20" spans="1:7" s="257" customFormat="1" ht="13.5" customHeight="1">
      <c r="A20" s="298" t="s">
        <v>2353</v>
      </c>
      <c r="B20" s="253" t="s">
        <v>2354</v>
      </c>
      <c r="C20" s="275">
        <f ca="1">ROUND((C5+C19)*F20,0)</f>
        <v>435</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2">
        <f ca="1">ROUND(SUM(C23:C25),0)</f>
        <v>2135</v>
      </c>
      <c r="D22" s="278">
        <f ca="1">C26</f>
        <v>1E-3</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2114</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21</v>
      </c>
      <c r="D25" s="281"/>
      <c r="E25" s="284"/>
      <c r="F25" s="282"/>
      <c r="G25" s="285" t="s">
        <v>2370</v>
      </c>
    </row>
    <row r="26" spans="1:7" s="257" customFormat="1">
      <c r="A26" s="949" t="s">
        <v>795</v>
      </c>
      <c r="B26" s="258" t="s">
        <v>2371</v>
      </c>
      <c r="C26" s="281">
        <f ca="1">ROUND(IF('数据-取费表'!B22&lt;=1,F21*F22*'数据-取费表'!B23/2,F21*(POWER((1+F22),'数据-取费表'!B23/2)-1)),4)</f>
        <v>1E-3</v>
      </c>
      <c r="D26" s="281"/>
      <c r="E26" s="284"/>
      <c r="F26" s="282"/>
      <c r="G26" s="286"/>
    </row>
    <row r="27" spans="1:7" s="257" customFormat="1" ht="24.75">
      <c r="A27" s="298" t="s">
        <v>2372</v>
      </c>
      <c r="B27" s="287" t="s">
        <v>2373</v>
      </c>
      <c r="C27" s="288">
        <f ca="1">C28</f>
        <v>4435</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ROUND((C5+C19+C20)*F27*'数据-取费表'!B21/'数据-取费表'!B20,0)</f>
        <v>4435</v>
      </c>
      <c r="D28" s="278"/>
      <c r="E28" s="279"/>
      <c r="F28" s="289"/>
      <c r="G28" s="290"/>
    </row>
    <row r="29" spans="1:7" s="257" customFormat="1" ht="13.5" customHeight="1">
      <c r="A29" s="949" t="s">
        <v>792</v>
      </c>
      <c r="B29" s="291" t="s">
        <v>2377</v>
      </c>
      <c r="C29" s="281">
        <f ca="1">ROUND(C21*F27*'数据-取费表'!B21/'数据-取费表'!B20,4)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31158</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22788</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20499</v>
      </c>
      <c r="D34" s="260"/>
      <c r="E34" s="263"/>
      <c r="F34" s="300">
        <f ca="1">IF('数据-取费表'!B24=0,1,IF(B1="",'数据-取费表'!N16,INDIRECT("'数据-取费表'!n"&amp;$G$1)))</f>
        <v>1</v>
      </c>
      <c r="G34" s="262" t="s">
        <v>2386</v>
      </c>
    </row>
    <row r="35" spans="1:7" ht="13.5" customHeight="1">
      <c r="A35" s="949" t="s">
        <v>796</v>
      </c>
      <c r="B35" s="258" t="s">
        <v>2387</v>
      </c>
      <c r="C35" s="263">
        <f ca="1">ROUND(C34*F35,0)</f>
        <v>615</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2390</v>
      </c>
    </row>
    <row r="37" spans="1:7" s="301" customFormat="1" ht="13.5" customHeight="1">
      <c r="A37" s="949" t="s">
        <v>798</v>
      </c>
      <c r="B37" s="258" t="s">
        <v>2391</v>
      </c>
      <c r="C37" s="292">
        <f ca="1">ROUND(E37*D37*F34/10000,0)</f>
        <v>1367</v>
      </c>
      <c r="D37" s="260">
        <f ca="1">D19</f>
        <v>68327.850000000006</v>
      </c>
      <c r="E37" s="292">
        <f>'数据-取费表'!B35</f>
        <v>200</v>
      </c>
      <c r="F37" s="302"/>
      <c r="G37" s="304" t="s">
        <v>2392</v>
      </c>
    </row>
    <row r="38" spans="1:7" ht="13.5" customHeight="1">
      <c r="A38" s="949" t="s">
        <v>799</v>
      </c>
      <c r="B38" s="258" t="s">
        <v>2393</v>
      </c>
      <c r="C38" s="263">
        <f ca="1">ROUND(C34*F38,0)</f>
        <v>307</v>
      </c>
      <c r="D38" s="263"/>
      <c r="E38" s="263"/>
      <c r="F38" s="302">
        <f>'数据-取费表'!B36</f>
        <v>1.4999999999999999E-2</v>
      </c>
      <c r="G38" s="262" t="s">
        <v>2388</v>
      </c>
    </row>
    <row r="39" spans="1:7" s="257" customFormat="1" ht="13.5" customHeight="1">
      <c r="A39" s="298" t="s">
        <v>2394</v>
      </c>
      <c r="B39" s="253" t="s">
        <v>2395</v>
      </c>
      <c r="C39" s="275">
        <f ca="1">ROUND(C33*F20,0)</f>
        <v>456</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1104</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1082</v>
      </c>
      <c r="D42" s="281"/>
      <c r="E42" s="281"/>
      <c r="F42" s="282"/>
      <c r="G42" s="3194" t="s">
        <v>2404</v>
      </c>
    </row>
    <row r="43" spans="1:7" ht="13.5" customHeight="1">
      <c r="A43" s="949" t="s">
        <v>792</v>
      </c>
      <c r="B43" s="258" t="s">
        <v>2405</v>
      </c>
      <c r="C43" s="281">
        <f ca="1">ROUND(IF('数据-取费表'!B22&lt;=1,C39*F22*'数据-取费表'!B21/2,C39*(POWER((1+F22),'数据-取费表'!B21/2)-1)),0)</f>
        <v>22</v>
      </c>
      <c r="D43" s="281"/>
      <c r="E43" s="281"/>
      <c r="F43" s="282"/>
      <c r="G43" s="3195"/>
    </row>
    <row r="44" spans="1:7" ht="13.5" customHeight="1">
      <c r="A44" s="949" t="s">
        <v>793</v>
      </c>
      <c r="B44" s="258" t="s">
        <v>2406</v>
      </c>
      <c r="C44" s="281">
        <f ca="1">ROUND(IF('数据-取费表'!B22&lt;=1,C40*F22*'数据-取费表'!B21/2,C40*(POWER((1+F22),'数据-取费表'!B21/2)-1)),4)</f>
        <v>1E-3</v>
      </c>
      <c r="D44" s="281"/>
      <c r="E44" s="281"/>
      <c r="F44" s="282"/>
      <c r="G44" s="3196"/>
    </row>
    <row r="45" spans="1:7" s="257" customFormat="1" ht="13.5" customHeight="1">
      <c r="A45" s="298" t="s">
        <v>2407</v>
      </c>
      <c r="B45" s="287" t="s">
        <v>2373</v>
      </c>
      <c r="C45" s="288">
        <f ca="1">C46</f>
        <v>4649</v>
      </c>
      <c r="D45" s="278">
        <f ca="1">C47</f>
        <v>4.0000000000000001E-3</v>
      </c>
      <c r="E45" s="279" t="s">
        <v>2399</v>
      </c>
      <c r="F45" s="289"/>
      <c r="G45" s="290" t="s">
        <v>2408</v>
      </c>
    </row>
    <row r="46" spans="1:7" s="257" customFormat="1" ht="13.5" customHeight="1">
      <c r="A46" s="949" t="s">
        <v>791</v>
      </c>
      <c r="B46" s="291" t="s">
        <v>2409</v>
      </c>
      <c r="C46" s="292">
        <f ca="1">ROUND((C33+C39)*F27,0)</f>
        <v>4649</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1726">
        <f>ROUND(F30/(1+'数据-取费表'!C42),4)</f>
        <v>5.2400000000000002E-2</v>
      </c>
      <c r="D48" s="279" t="s">
        <v>2399</v>
      </c>
      <c r="E48" s="275"/>
      <c r="F48" s="280"/>
      <c r="G48" s="277" t="s">
        <v>2412</v>
      </c>
    </row>
    <row r="49" spans="1:7" ht="16.5" customHeight="1">
      <c r="A49" s="298" t="s">
        <v>2378</v>
      </c>
      <c r="B49" s="253" t="s">
        <v>2413</v>
      </c>
      <c r="C49" s="275">
        <f ca="1">ROUND((C33+C39+C41+C45)/(1-C40-D41-D45-C48),0)</f>
        <v>31430</v>
      </c>
      <c r="D49" s="275"/>
      <c r="E49" s="275"/>
      <c r="F49" s="307"/>
      <c r="G49" s="277" t="s">
        <v>2414</v>
      </c>
    </row>
    <row r="50" spans="1:7" s="301" customFormat="1" ht="24">
      <c r="A50" s="298" t="s">
        <v>2415</v>
      </c>
      <c r="B50" s="253" t="s">
        <v>2416</v>
      </c>
      <c r="C50" s="275"/>
      <c r="D50" s="275"/>
      <c r="E50" s="275"/>
      <c r="F50" s="307">
        <f>IF('数据-取费表'!B24=0,'数据-取费表'!N16,1)</f>
        <v>0.97</v>
      </c>
      <c r="G50" s="290" t="s">
        <v>2417</v>
      </c>
    </row>
    <row r="51" spans="1:7" ht="16.5" customHeight="1">
      <c r="A51" s="298" t="s">
        <v>2418</v>
      </c>
      <c r="B51" s="253" t="s">
        <v>2419</v>
      </c>
      <c r="C51" s="275">
        <f ca="1">ROUND(C49*F50,0)</f>
        <v>30487</v>
      </c>
      <c r="D51" s="275"/>
      <c r="E51" s="275"/>
      <c r="F51" s="307"/>
      <c r="G51" s="277" t="s">
        <v>2420</v>
      </c>
    </row>
    <row r="52" spans="1:7" s="251" customFormat="1" ht="16.5" thickBot="1">
      <c r="A52" s="308" t="s">
        <v>2421</v>
      </c>
      <c r="B52" s="309"/>
      <c r="C52" s="310">
        <f ca="1">C31+C51</f>
        <v>61645</v>
      </c>
      <c r="D52" s="309"/>
      <c r="E52" s="309"/>
      <c r="F52" s="309"/>
      <c r="G52" s="311"/>
    </row>
    <row r="55" spans="1:7" ht="15">
      <c r="B55" s="313" t="s">
        <v>2422</v>
      </c>
      <c r="C55" s="314"/>
    </row>
    <row r="56" spans="1:7">
      <c r="B56" s="316" t="s">
        <v>1509</v>
      </c>
      <c r="C56" s="318">
        <f ca="1">1-C57</f>
        <v>0.505</v>
      </c>
    </row>
    <row r="57" spans="1:7">
      <c r="B57" s="316" t="s">
        <v>1510</v>
      </c>
      <c r="C57" s="317">
        <f ca="1">ROUND(C51/C52,3)</f>
        <v>0.495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8" t="str">
        <f>项目基本情况!B1</f>
        <v>江苏省泰州市泰兴市泰兴市佳源新天地2号16幢101室房地产抵押价值预评估</v>
      </c>
      <c r="C37" s="3008"/>
      <c r="D37" s="3008"/>
      <c r="E37" s="3008"/>
      <c r="F37" s="3008"/>
      <c r="G37" s="3008"/>
      <c r="H37" s="3008"/>
      <c r="I37" s="3008"/>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5"/>
      <c r="C1" s="2549" t="s">
        <v>2423</v>
      </c>
      <c r="D1" s="241"/>
      <c r="E1" s="241"/>
      <c r="F1" s="241"/>
      <c r="G1" s="1377">
        <f>MATCH(B1,'数据-取费表'!A6:A16,0)+5</f>
        <v>8</v>
      </c>
      <c r="H1" s="1280" t="str">
        <f>IF(ISERROR(FIND("住宅",B1)),"非住宅","住宅")</f>
        <v>非住宅</v>
      </c>
    </row>
    <row r="2" spans="1:8" s="243" customFormat="1" ht="18" customHeight="1">
      <c r="A2" s="244" t="s">
        <v>2322</v>
      </c>
      <c r="B2" s="245">
        <f ca="1">ROUND(IF(D2="——",C52/10000,C52/10000-E2),0)</f>
        <v>33227</v>
      </c>
      <c r="C2" s="242" t="s">
        <v>2323</v>
      </c>
      <c r="D2" s="2544" t="s">
        <v>70</v>
      </c>
      <c r="E2" s="1438" t="e">
        <f ca="1">SUMIF(INDIRECT("'"&amp;G2&amp;"'"&amp;"!A:A"),"承租人权益价值",INDIRECT("'"&amp;G2&amp;"'"&amp;"!c:c"))</f>
        <v>#REF!</v>
      </c>
      <c r="F2" s="2545" t="s">
        <v>2323</v>
      </c>
      <c r="G2" s="2546"/>
    </row>
    <row r="3" spans="1:8" s="243" customFormat="1" ht="18" customHeight="1" thickBot="1">
      <c r="A3" s="246" t="s">
        <v>2324</v>
      </c>
      <c r="B3" s="247">
        <f ca="1">ROUND(B2*10000/(IF(B1="",'数据-汇总表'!E3,INDIRECT("'数据-取费表'!k"&amp;$G$1))),0)</f>
        <v>4863</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5466228</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5466228</v>
      </c>
      <c r="D8" s="265"/>
      <c r="E8" s="263"/>
      <c r="F8" s="264"/>
      <c r="G8" s="2547"/>
    </row>
    <row r="9" spans="1:8" s="257" customFormat="1" ht="13.5" customHeight="1">
      <c r="A9" s="948" t="s">
        <v>800</v>
      </c>
      <c r="B9" s="267" t="s">
        <v>2338</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2340</v>
      </c>
      <c r="C10" s="268">
        <f ca="1">ROUND(D10*E10,0)</f>
        <v>5466228</v>
      </c>
      <c r="D10" s="1030">
        <f ca="1">IF(B1="",'数据-汇总表'!E6,IF(INDIRECT("'数据-取费表'!c"&amp;$G$1)="住宅",INDIRECT("'数据-取费表'!s"&amp;$G$1),INDIRECT("'数据-取费表'!k"&amp;$G$1)+INDIRECT("'数据-取费表'!s"&amp;$G$1)))</f>
        <v>68327.850000000006</v>
      </c>
      <c r="E10" s="268">
        <f>'数据-取费表'!B28</f>
        <v>80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13665570</v>
      </c>
      <c r="D19" s="1034">
        <f ca="1">D9+D10</f>
        <v>68327.850000000006</v>
      </c>
      <c r="E19" s="254">
        <f>'数据-取费表'!B31</f>
        <v>200</v>
      </c>
      <c r="F19" s="274"/>
      <c r="G19" s="2547"/>
    </row>
    <row r="20" spans="1:7" s="257" customFormat="1" ht="13.5" customHeight="1">
      <c r="A20" s="298" t="s">
        <v>2434</v>
      </c>
      <c r="B20" s="253" t="s">
        <v>2435</v>
      </c>
      <c r="C20" s="275">
        <f ca="1">ROUND((C5+C19)*F20,0)</f>
        <v>382636</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8">
        <f ca="1">ROUND(SUM(C23:C25),0)</f>
        <v>1878862</v>
      </c>
      <c r="D22" s="278">
        <f ca="1">C26</f>
        <v>1E-3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531625</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1329062</v>
      </c>
      <c r="D24" s="281"/>
      <c r="E24" s="281"/>
      <c r="F24" s="282"/>
      <c r="G24" s="283" t="s">
        <v>2446</v>
      </c>
    </row>
    <row r="25" spans="1:7" s="257" customFormat="1" ht="24">
      <c r="A25" s="949" t="s">
        <v>2336</v>
      </c>
      <c r="B25" s="258" t="s">
        <v>2447</v>
      </c>
      <c r="C25" s="1379">
        <f ca="1">ROUND(IF('数据-取费表'!B22&lt;=1,C20*F22*'数据-取费表'!B22/2,C20*(POWER((1+F22),'数据-取费表'!B22/2)-1)),0)</f>
        <v>18175</v>
      </c>
      <c r="D25" s="281"/>
      <c r="E25" s="284"/>
      <c r="F25" s="282"/>
      <c r="G25" s="285" t="s">
        <v>2448</v>
      </c>
    </row>
    <row r="26" spans="1:7" s="257" customFormat="1">
      <c r="A26" s="949" t="s">
        <v>795</v>
      </c>
      <c r="B26" s="258" t="s">
        <v>2371</v>
      </c>
      <c r="C26" s="281">
        <f ca="1">ROUND(IF('数据-取费表'!B22&lt;=1,F21*F22*'数据-取费表'!B22/2,F21*(POWER((1+F22),'数据-取费表'!B22/2)-1)),4)</f>
        <v>1E-3</v>
      </c>
      <c r="D26" s="281"/>
      <c r="E26" s="284"/>
      <c r="F26" s="282"/>
      <c r="G26" s="286"/>
    </row>
    <row r="27" spans="1:7" s="257" customFormat="1" ht="24.75">
      <c r="A27" s="298" t="s">
        <v>2372</v>
      </c>
      <c r="B27" s="287" t="s">
        <v>2373</v>
      </c>
      <c r="C27" s="288">
        <f ca="1">C28</f>
        <v>3902887</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ROUND((C5+C19+C20)*F27,0)</f>
        <v>3902887</v>
      </c>
      <c r="D28" s="278"/>
      <c r="E28" s="279"/>
      <c r="F28" s="289"/>
      <c r="G28" s="290"/>
    </row>
    <row r="29" spans="1:7" s="257" customFormat="1" ht="13.5" customHeight="1">
      <c r="A29" s="949" t="s">
        <v>792</v>
      </c>
      <c r="B29" s="291" t="s">
        <v>2377</v>
      </c>
      <c r="C29" s="281">
        <f ca="1">ROUND(C21*F27,4)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27418364</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227873380</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204983550</v>
      </c>
      <c r="D34" s="260"/>
      <c r="E34" s="263"/>
      <c r="F34" s="300"/>
      <c r="G34" s="262"/>
    </row>
    <row r="35" spans="1:7" ht="13.5" customHeight="1">
      <c r="A35" s="949" t="s">
        <v>796</v>
      </c>
      <c r="B35" s="258" t="s">
        <v>2387</v>
      </c>
      <c r="C35" s="263">
        <f ca="1">ROUND(C34*F35,0)</f>
        <v>6149507</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0</v>
      </c>
      <c r="D36" s="263"/>
      <c r="E36" s="263"/>
      <c r="F36" s="302">
        <f>'数据-取费表'!B34</f>
        <v>0.05</v>
      </c>
      <c r="G36" s="303" t="s">
        <v>2390</v>
      </c>
    </row>
    <row r="37" spans="1:7" s="301" customFormat="1" ht="13.5" customHeight="1">
      <c r="A37" s="949" t="s">
        <v>798</v>
      </c>
      <c r="B37" s="258" t="s">
        <v>2391</v>
      </c>
      <c r="C37" s="292">
        <f ca="1">ROUND(E37*D37,0)</f>
        <v>13665570</v>
      </c>
      <c r="D37" s="260">
        <f ca="1">D19</f>
        <v>68327.850000000006</v>
      </c>
      <c r="E37" s="292">
        <f>'数据-取费表'!B35</f>
        <v>200</v>
      </c>
      <c r="F37" s="302"/>
      <c r="G37" s="304"/>
    </row>
    <row r="38" spans="1:7" ht="13.5" customHeight="1">
      <c r="A38" s="949" t="s">
        <v>799</v>
      </c>
      <c r="B38" s="258" t="s">
        <v>2393</v>
      </c>
      <c r="C38" s="263">
        <f ca="1">ROUND(C34*F38,0)</f>
        <v>3074753</v>
      </c>
      <c r="D38" s="263"/>
      <c r="E38" s="263"/>
      <c r="F38" s="302">
        <f>'数据-取费表'!B36</f>
        <v>1.4999999999999999E-2</v>
      </c>
      <c r="G38" s="262" t="s">
        <v>2388</v>
      </c>
    </row>
    <row r="39" spans="1:7" s="257" customFormat="1" ht="13.5" customHeight="1">
      <c r="A39" s="298" t="s">
        <v>2394</v>
      </c>
      <c r="B39" s="253" t="s">
        <v>2395</v>
      </c>
      <c r="C39" s="275">
        <f ca="1">ROUND(C33*F20,0)</f>
        <v>4557468</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11040466</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10823986</v>
      </c>
      <c r="D42" s="281"/>
      <c r="E42" s="281"/>
      <c r="F42" s="282"/>
      <c r="G42" s="3194" t="s">
        <v>2451</v>
      </c>
    </row>
    <row r="43" spans="1:7" ht="13.5" customHeight="1">
      <c r="A43" s="949" t="s">
        <v>792</v>
      </c>
      <c r="B43" s="258" t="s">
        <v>2405</v>
      </c>
      <c r="C43" s="281">
        <f ca="1">ROUND(IF('数据-取费表'!B22&lt;=1,C39*F22*'数据-取费表'!B20/2,C39*(POWER((1+F22),'数据-取费表'!B20/2)-1)),0)</f>
        <v>216480</v>
      </c>
      <c r="D43" s="281"/>
      <c r="E43" s="281"/>
      <c r="F43" s="282"/>
      <c r="G43" s="3195"/>
    </row>
    <row r="44" spans="1:7" ht="13.5" customHeight="1">
      <c r="A44" s="949" t="s">
        <v>793</v>
      </c>
      <c r="B44" s="258" t="s">
        <v>2406</v>
      </c>
      <c r="C44" s="281">
        <f ca="1">ROUND(IF('数据-取费表'!B22&lt;=1,C40*F22*'数据-取费表'!B20/2,C40*(POWER((1+F22),'数据-取费表'!B20/2)-1)),4)</f>
        <v>1E-3</v>
      </c>
      <c r="D44" s="281"/>
      <c r="E44" s="281"/>
      <c r="F44" s="282"/>
      <c r="G44" s="3196"/>
    </row>
    <row r="45" spans="1:7" s="257" customFormat="1" ht="13.5" customHeight="1">
      <c r="A45" s="298" t="s">
        <v>2407</v>
      </c>
      <c r="B45" s="287" t="s">
        <v>2373</v>
      </c>
      <c r="C45" s="288">
        <f ca="1">C46</f>
        <v>46486170</v>
      </c>
      <c r="D45" s="278">
        <f ca="1">C47</f>
        <v>4.0000000000000001E-3</v>
      </c>
      <c r="E45" s="279" t="s">
        <v>2399</v>
      </c>
      <c r="F45" s="289"/>
      <c r="G45" s="290" t="s">
        <v>2408</v>
      </c>
    </row>
    <row r="46" spans="1:7" s="257" customFormat="1" ht="13.5" customHeight="1">
      <c r="A46" s="949" t="s">
        <v>791</v>
      </c>
      <c r="B46" s="291" t="s">
        <v>2409</v>
      </c>
      <c r="C46" s="292">
        <f ca="1">ROUND((C33+C39)*F27,0)</f>
        <v>46486170</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314282987</v>
      </c>
      <c r="D49" s="275"/>
      <c r="E49" s="275"/>
      <c r="F49" s="307"/>
      <c r="G49" s="277" t="s">
        <v>2414</v>
      </c>
    </row>
    <row r="50" spans="1:7" s="301" customFormat="1">
      <c r="A50" s="298" t="s">
        <v>2415</v>
      </c>
      <c r="B50" s="253" t="s">
        <v>2416</v>
      </c>
      <c r="C50" s="275"/>
      <c r="D50" s="275"/>
      <c r="E50" s="275"/>
      <c r="F50" s="307">
        <f>IF('数据-取费表'!B24=0,'数据-取费表'!N16,1)</f>
        <v>0.97</v>
      </c>
      <c r="G50" s="290"/>
    </row>
    <row r="51" spans="1:7" ht="16.5" customHeight="1">
      <c r="A51" s="298" t="s">
        <v>2418</v>
      </c>
      <c r="B51" s="253" t="s">
        <v>2453</v>
      </c>
      <c r="C51" s="275">
        <f ca="1">ROUND(C49*F50,0)</f>
        <v>304854497</v>
      </c>
      <c r="D51" s="275"/>
      <c r="E51" s="275"/>
      <c r="F51" s="307"/>
      <c r="G51" s="277" t="s">
        <v>2420</v>
      </c>
    </row>
    <row r="52" spans="1:7" s="251" customFormat="1" ht="16.5" thickBot="1">
      <c r="A52" s="308" t="s">
        <v>2421</v>
      </c>
      <c r="B52" s="309"/>
      <c r="C52" s="310">
        <f ca="1">C31+C51</f>
        <v>332272861</v>
      </c>
      <c r="D52" s="309"/>
      <c r="E52" s="309"/>
      <c r="F52" s="309"/>
      <c r="G52" s="311"/>
    </row>
    <row r="55" spans="1:7" ht="15">
      <c r="B55" s="313" t="s">
        <v>2422</v>
      </c>
      <c r="C55" s="314"/>
    </row>
    <row r="56" spans="1:7">
      <c r="B56" s="316" t="s">
        <v>1509</v>
      </c>
      <c r="C56" s="318">
        <f ca="1">1-C57</f>
        <v>8.2999999999999963E-2</v>
      </c>
    </row>
    <row r="57" spans="1:7">
      <c r="B57" s="316" t="s">
        <v>1510</v>
      </c>
      <c r="C57" s="31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9"/>
      <c r="C1" s="1580"/>
      <c r="D1" s="1578"/>
      <c r="E1" s="319"/>
      <c r="F1" s="319"/>
      <c r="G1" s="1579"/>
      <c r="H1" s="319"/>
      <c r="I1" s="319"/>
      <c r="J1" s="319"/>
      <c r="K1" s="319">
        <f>MATCH(C1,'数据-取费表'!A6:A16,0)+5</f>
        <v>8</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4" customFormat="1" ht="16.5" customHeight="1">
      <c r="A4" s="951" t="s">
        <v>2457</v>
      </c>
      <c r="B4" s="952"/>
      <c r="C4" s="994">
        <f>SUM(C8:K8)</f>
        <v>0</v>
      </c>
      <c r="D4" s="952"/>
      <c r="E4" s="952"/>
      <c r="F4" s="952"/>
      <c r="G4" s="952"/>
      <c r="H4" s="952"/>
      <c r="I4" s="952"/>
      <c r="J4" s="952"/>
      <c r="K4" s="953"/>
    </row>
    <row r="5" spans="1:33" s="958" customFormat="1" ht="24.75">
      <c r="A5" s="955" t="s">
        <v>2458</v>
      </c>
      <c r="B5" s="956" t="s">
        <v>2459</v>
      </c>
      <c r="C5" s="2550" t="s">
        <v>2460</v>
      </c>
      <c r="D5" s="2550" t="s">
        <v>2461</v>
      </c>
      <c r="E5" s="2550" t="s">
        <v>2462</v>
      </c>
      <c r="F5" s="2550"/>
      <c r="G5" s="2550"/>
      <c r="H5" s="2550"/>
      <c r="I5" s="2550"/>
      <c r="J5" s="2550"/>
      <c r="K5" s="2550"/>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1" t="s">
        <v>2466</v>
      </c>
      <c r="B8" s="176" t="s">
        <v>2467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2468</v>
      </c>
      <c r="B9" s="952"/>
      <c r="C9" s="952"/>
      <c r="D9" s="952"/>
      <c r="E9" s="952"/>
      <c r="F9" s="952"/>
      <c r="G9" s="952"/>
      <c r="H9" s="952"/>
      <c r="I9" s="952"/>
      <c r="J9" s="952"/>
      <c r="K9" s="953"/>
    </row>
    <row r="10" spans="1:33" s="968" customFormat="1" ht="13.5" customHeight="1">
      <c r="A10" s="955" t="s">
        <v>2469</v>
      </c>
      <c r="B10" s="8" t="s">
        <v>2470</v>
      </c>
      <c r="C10" s="964" t="s">
        <v>2471</v>
      </c>
      <c r="D10" s="965" t="s">
        <v>2472</v>
      </c>
      <c r="E10" s="965" t="s">
        <v>2473</v>
      </c>
      <c r="F10" s="965" t="s">
        <v>2474</v>
      </c>
      <c r="G10" s="8"/>
      <c r="H10" s="966"/>
      <c r="I10" s="966"/>
      <c r="J10" s="966"/>
      <c r="K10" s="967"/>
    </row>
    <row r="11" spans="1:33" s="973" customFormat="1" ht="13.5" customHeight="1">
      <c r="A11" s="969" t="s">
        <v>1330</v>
      </c>
      <c r="B11" s="970" t="s">
        <v>2475</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2476</v>
      </c>
      <c r="C12" s="24">
        <f ca="1">ROUND(C11*F12,0)</f>
        <v>0</v>
      </c>
      <c r="D12" s="971"/>
      <c r="E12" s="374"/>
      <c r="F12" s="974">
        <f>'数据-取费表'!B33</f>
        <v>0.03</v>
      </c>
      <c r="G12" s="8" t="s">
        <v>2477</v>
      </c>
      <c r="H12" s="966"/>
      <c r="I12" s="966"/>
      <c r="J12" s="966"/>
      <c r="K12" s="967"/>
    </row>
    <row r="13" spans="1:33" s="973" customFormat="1" ht="13.5" customHeight="1">
      <c r="A13" s="969" t="s">
        <v>1332</v>
      </c>
      <c r="B13" s="970" t="s">
        <v>2478</v>
      </c>
      <c r="C13" s="24">
        <f ca="1">ROUND(IF(C1="",SUMIF('数据-取费表'!C:C,"住宅",'数据-取费表'!P:P)*F13,IF(INDIRECT("'数据-取费表'!c"&amp;$K$1)="住宅",INDIRECT("'数据-取费表'!P"&amp;$K$1)*F13,0)),0)</f>
        <v>0</v>
      </c>
      <c r="D13" s="1031"/>
      <c r="E13" s="374"/>
      <c r="F13" s="974">
        <f>'数据-取费表'!B34</f>
        <v>0.05</v>
      </c>
      <c r="G13" s="8" t="s">
        <v>2479</v>
      </c>
      <c r="H13" s="966"/>
      <c r="I13" s="966"/>
      <c r="J13" s="966"/>
      <c r="K13" s="967"/>
    </row>
    <row r="14" spans="1:33" s="975" customFormat="1" ht="13.5" customHeight="1">
      <c r="A14" s="969" t="s">
        <v>1333</v>
      </c>
      <c r="B14" s="970" t="s">
        <v>2480</v>
      </c>
      <c r="C14" s="24">
        <f ca="1">ROUND(D14*E14*F11/10000,0)</f>
        <v>0</v>
      </c>
      <c r="D14" s="1031">
        <f ca="1">IF(C1="",'数据-汇总表'!E3,INDIRECT("'数据-取费表'!K"&amp;$K$1)+INDIRECT("'数据-取费表'!S"&amp;$K$1))</f>
        <v>68327.850000000006</v>
      </c>
      <c r="E14" s="24">
        <f>'数据-取费表'!B35</f>
        <v>200</v>
      </c>
      <c r="F14" s="974"/>
      <c r="G14" s="8" t="s">
        <v>2481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2482</v>
      </c>
      <c r="C15" s="981">
        <f ca="1">ROUND(C11*F15,0)</f>
        <v>0</v>
      </c>
      <c r="D15" s="976"/>
      <c r="E15" s="981"/>
      <c r="F15" s="982">
        <f>'数据-取费表'!B36</f>
        <v>1.4999999999999999E-2</v>
      </c>
      <c r="G15" s="139" t="s">
        <v>2483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2484</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2485</v>
      </c>
      <c r="C17" s="24">
        <f ca="1">ROUND(D17*E17/10000,0)</f>
        <v>0</v>
      </c>
      <c r="D17" s="1031">
        <f ca="1">D14</f>
        <v>68327.850000000006</v>
      </c>
      <c r="E17" s="24">
        <f>'数据-取费表'!B32</f>
        <v>0</v>
      </c>
      <c r="F17" s="976"/>
      <c r="G17" s="139" t="s">
        <v>2486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2487</v>
      </c>
      <c r="C18" s="24">
        <f ca="1">C19+C20-IF(C1="",'数据-取费表'!B29,IF(G18="已全部缴纳",C19+C20,H18))</f>
        <v>0</v>
      </c>
      <c r="D18" s="1031"/>
      <c r="E18" s="24"/>
      <c r="F18" s="974"/>
      <c r="G18" s="2552"/>
      <c r="H18" s="1575"/>
      <c r="I18" s="2553" t="s">
        <v>2488</v>
      </c>
      <c r="J18" s="977"/>
      <c r="K18" s="978"/>
    </row>
    <row r="19" spans="1:33" s="973" customFormat="1" ht="13.5" customHeight="1">
      <c r="A19" s="969" t="s">
        <v>805</v>
      </c>
      <c r="B19" s="970" t="s">
        <v>2489</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2490</v>
      </c>
      <c r="C20" s="24">
        <f ca="1">ROUND(D20*E20/10000,0)</f>
        <v>547</v>
      </c>
      <c r="D20" s="1031">
        <f ca="1">IF(C1="",'数据-汇总表'!E6,IF(INDIRECT("'数据-取费表'!c"&amp;$K$1)="住宅",INDIRECT("'数据-取费表'!s"&amp;$K$1),INDIRECT("'数据-取费表'!k"&amp;$K$1)+INDIRECT("'数据-取费表'!s"&amp;$K$1)))</f>
        <v>68327.850000000006</v>
      </c>
      <c r="E20" s="24">
        <f>'数据-取费表'!B28</f>
        <v>80</v>
      </c>
      <c r="F20" s="974"/>
      <c r="G20" s="15"/>
      <c r="H20" s="979"/>
      <c r="I20" s="979"/>
      <c r="J20" s="979"/>
      <c r="K20" s="980"/>
    </row>
    <row r="21" spans="1:33" s="973" customFormat="1" ht="13.5" customHeight="1">
      <c r="A21" s="959" t="s">
        <v>802</v>
      </c>
      <c r="B21" s="983" t="s">
        <v>2491</v>
      </c>
      <c r="C21" s="984">
        <f ca="1">C16+C17+C18</f>
        <v>0</v>
      </c>
      <c r="D21" s="985"/>
      <c r="E21" s="324"/>
      <c r="F21" s="324"/>
      <c r="G21" s="139" t="s">
        <v>2492</v>
      </c>
      <c r="H21" s="977"/>
      <c r="I21" s="977"/>
      <c r="J21" s="977"/>
      <c r="K21" s="978"/>
    </row>
    <row r="22" spans="1:33" s="973" customFormat="1" ht="13.5" customHeight="1">
      <c r="A22" s="959" t="s">
        <v>2464</v>
      </c>
      <c r="B22" s="983" t="s">
        <v>2493</v>
      </c>
      <c r="C22" s="984">
        <f ca="1">ROUND(C21*F22,0)</f>
        <v>0</v>
      </c>
      <c r="D22" s="324"/>
      <c r="E22" s="324"/>
      <c r="F22" s="986">
        <f>'数据-取费表'!B37</f>
        <v>0.02</v>
      </c>
      <c r="G22" s="8" t="s">
        <v>2494</v>
      </c>
      <c r="H22" s="966"/>
      <c r="I22" s="966"/>
      <c r="J22" s="966"/>
      <c r="K22" s="967"/>
    </row>
    <row r="23" spans="1:33" s="973" customFormat="1" ht="13.5" customHeight="1">
      <c r="A23" s="959" t="s">
        <v>2466</v>
      </c>
      <c r="B23" s="983" t="s">
        <v>2495</v>
      </c>
      <c r="C23" s="984">
        <f ca="1">ROUND(C4*F23*F11,0)</f>
        <v>0</v>
      </c>
      <c r="D23" s="324"/>
      <c r="E23" s="324"/>
      <c r="F23" s="986">
        <f>'数据-取费表'!B38</f>
        <v>0.02</v>
      </c>
      <c r="G23" s="8" t="s">
        <v>2496</v>
      </c>
      <c r="H23" s="966"/>
      <c r="I23" s="966"/>
      <c r="J23" s="966"/>
      <c r="K23" s="967"/>
    </row>
    <row r="24" spans="1:33" s="973" customFormat="1" ht="13.5" customHeight="1">
      <c r="A24" s="959" t="s">
        <v>2497</v>
      </c>
      <c r="B24" s="983" t="s">
        <v>2498</v>
      </c>
      <c r="C24" s="323">
        <f>ROUND(F24/(1+'数据-取费表'!C42),4)</f>
        <v>2.9000000000000001E-2</v>
      </c>
      <c r="D24" s="324" t="s">
        <v>15</v>
      </c>
      <c r="E24" s="324"/>
      <c r="F24" s="986">
        <f>'数据-取费表'!B48+'数据-取费表'!B49</f>
        <v>3.0499999999999999E-2</v>
      </c>
      <c r="G24" s="8" t="s">
        <v>2499</v>
      </c>
      <c r="H24" s="988"/>
      <c r="I24" s="988"/>
      <c r="J24" s="988"/>
      <c r="K24" s="989"/>
    </row>
    <row r="25" spans="1:33" s="973" customFormat="1" ht="13.5" customHeight="1">
      <c r="A25" s="959" t="s">
        <v>2500</v>
      </c>
      <c r="B25" s="985" t="s">
        <v>2501</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2502</v>
      </c>
      <c r="C26" s="1355">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2503</v>
      </c>
      <c r="C27" s="1356">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7"/>
      <c r="I27" s="977"/>
      <c r="J27" s="977"/>
      <c r="K27" s="978"/>
    </row>
    <row r="28" spans="1:33" s="332" customFormat="1" ht="13.5" customHeight="1">
      <c r="A28" s="959" t="s">
        <v>2504</v>
      </c>
      <c r="B28" s="2555" t="s">
        <v>2505</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2506</v>
      </c>
      <c r="C29" s="327">
        <f ca="1">ROUND((1+C24)*F28*'数据-取费表'!B24/'数据-取费表'!B20,4)</f>
        <v>0</v>
      </c>
      <c r="D29" s="327"/>
      <c r="E29" s="328"/>
      <c r="F29" s="333"/>
      <c r="G29" s="139" t="s">
        <v>2507</v>
      </c>
      <c r="H29" s="977"/>
      <c r="I29" s="977"/>
      <c r="J29" s="977"/>
      <c r="K29" s="978"/>
    </row>
    <row r="30" spans="1:33" s="334" customFormat="1" ht="13.5" customHeight="1">
      <c r="A30" s="969" t="s">
        <v>804</v>
      </c>
      <c r="B30" s="992" t="s">
        <v>2508</v>
      </c>
      <c r="C30" s="335">
        <f ca="1">ROUND((C21+C22+C23)*F28,0)</f>
        <v>0</v>
      </c>
      <c r="D30" s="327"/>
      <c r="E30" s="328"/>
      <c r="F30" s="333"/>
      <c r="G30" s="139"/>
      <c r="H30" s="977"/>
      <c r="I30" s="977"/>
      <c r="J30" s="977"/>
      <c r="K30" s="978"/>
    </row>
    <row r="31" spans="1:33" s="973" customFormat="1" ht="13.5" customHeight="1" thickBot="1">
      <c r="A31" s="2556" t="s">
        <v>2509</v>
      </c>
      <c r="B31" s="1003" t="s">
        <v>2510</v>
      </c>
      <c r="C31" s="1004">
        <f>ROUND(C4*F31/(1+'数据-取费表'!C42),0)</f>
        <v>0</v>
      </c>
      <c r="D31" s="1005"/>
      <c r="E31" s="1006"/>
      <c r="F31" s="1007">
        <f>'数据-取费表'!B41</f>
        <v>5.5000000000000007E-2</v>
      </c>
      <c r="G31" s="1008" t="s">
        <v>2511</v>
      </c>
      <c r="H31" s="1009"/>
      <c r="I31" s="1009"/>
      <c r="J31" s="1009"/>
      <c r="K31" s="1010"/>
    </row>
    <row r="32" spans="1:33" s="968" customFormat="1" ht="13.5" customHeight="1" thickBot="1">
      <c r="A32" s="998" t="s">
        <v>2512</v>
      </c>
      <c r="B32" s="999"/>
      <c r="C32" s="1000">
        <f ca="1">ROUND((C4-C21-C22-C23-C25-C28-C31)/(1+C24+D25+D28),0)</f>
        <v>0</v>
      </c>
      <c r="D32" s="999"/>
      <c r="E32" s="999"/>
      <c r="F32" s="999"/>
      <c r="G32" s="1001" t="s">
        <v>2513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197" t="s">
        <v>1399</v>
      </c>
      <c r="C6" s="1294">
        <f ca="1">ROUND(F6*F8*F7*(1-F9),0)</f>
        <v>0</v>
      </c>
      <c r="D6" s="163" t="s">
        <v>3025</v>
      </c>
      <c r="E6" s="346" t="s">
        <v>1401</v>
      </c>
      <c r="F6" s="347">
        <f ca="1">INDIRECT("'数据-取费表'!u"&amp;$G$1)</f>
        <v>0</v>
      </c>
      <c r="G6" s="1849"/>
      <c r="H6" s="1289" t="s">
        <v>1032</v>
      </c>
      <c r="I6" s="3197" t="s">
        <v>1399</v>
      </c>
      <c r="J6" s="345">
        <f ca="1">ROUND(M6*M8*M7*(1-M9),0)</f>
        <v>0</v>
      </c>
      <c r="K6" s="1832" t="s">
        <v>3026</v>
      </c>
      <c r="L6" s="346" t="s">
        <v>1401</v>
      </c>
      <c r="M6" s="347">
        <f ca="1">INDIRECT("'数据-取费表'!z"&amp;$G$1)</f>
        <v>0</v>
      </c>
    </row>
    <row r="7" spans="1:37" ht="18" customHeight="1">
      <c r="A7" s="1293"/>
      <c r="B7" s="3198"/>
      <c r="C7" s="1295"/>
      <c r="D7" s="351"/>
      <c r="E7" s="1296" t="s">
        <v>1402</v>
      </c>
      <c r="F7" s="347">
        <f ca="1">IF(INDIRECT("'数据-取费表'!ah"&amp;$G$1)="",INDIRECT("'数据-取费表'!k"&amp;$G$1),INDIRECT("'数据-取费表'!ah"&amp;$G$1))</f>
        <v>0</v>
      </c>
      <c r="G7" s="1849"/>
      <c r="H7" s="348"/>
      <c r="I7" s="3198"/>
      <c r="J7" s="350"/>
      <c r="K7" s="351"/>
      <c r="L7" s="346" t="s">
        <v>1402</v>
      </c>
      <c r="M7" s="347">
        <f ca="1">F7</f>
        <v>0</v>
      </c>
    </row>
    <row r="8" spans="1:37" ht="18" customHeight="1">
      <c r="A8" s="348"/>
      <c r="B8" s="3198"/>
      <c r="C8" s="350"/>
      <c r="D8" s="351"/>
      <c r="E8" s="346" t="s">
        <v>1403</v>
      </c>
      <c r="F8" s="347">
        <f ca="1">INDIRECT("'数据-取费表'!ai"&amp;$G$1)</f>
        <v>0</v>
      </c>
      <c r="G8" s="1849"/>
      <c r="H8" s="348"/>
      <c r="I8" s="3198"/>
      <c r="J8" s="350"/>
      <c r="K8" s="351"/>
      <c r="L8" s="346" t="s">
        <v>1403</v>
      </c>
      <c r="M8" s="347">
        <f ca="1">INDIRECT("'数据-取费表'!ai"&amp;$G$1)</f>
        <v>0</v>
      </c>
    </row>
    <row r="9" spans="1:37" ht="18" customHeight="1">
      <c r="A9" s="348"/>
      <c r="B9" s="3199"/>
      <c r="C9" s="350"/>
      <c r="D9" s="351"/>
      <c r="E9" s="346" t="s">
        <v>1404</v>
      </c>
      <c r="F9" s="356">
        <f ca="1">INDIRECT("'数据-取费表'!w"&amp;$G$1)</f>
        <v>0</v>
      </c>
      <c r="G9" s="1849"/>
      <c r="H9" s="348"/>
      <c r="I9" s="3199"/>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3036</v>
      </c>
      <c r="E10" s="357" t="s">
        <v>1406</v>
      </c>
      <c r="F10" s="1364"/>
      <c r="G10" s="1849"/>
      <c r="H10" s="1289" t="s">
        <v>1036</v>
      </c>
      <c r="I10" s="1821" t="s">
        <v>1405</v>
      </c>
      <c r="J10" s="345">
        <f ca="1">ROUND(IF(M10="押一",J6/12*M11,IF(M10="押二",J6/12*2*M11,IF(M10="押三",J6/12*3*M11,J11*M11))),0)</f>
        <v>0</v>
      </c>
      <c r="K10" s="1833" t="s">
        <v>3038</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3039</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200" t="s">
        <v>1544</v>
      </c>
      <c r="L53" s="3201"/>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 sqref="B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2521</v>
      </c>
      <c r="B1" s="2558"/>
      <c r="C1" s="2558"/>
      <c r="D1" s="2558"/>
      <c r="E1" s="2559"/>
    </row>
    <row r="2" spans="1:6" ht="15.75">
      <c r="A2" s="2560" t="s">
        <v>2322</v>
      </c>
      <c r="B2" s="2561">
        <f ca="1">SUMIF(B6:B13,"&lt;&gt;#ref!",B6:B13)</f>
        <v>100456</v>
      </c>
      <c r="C2" s="2562" t="s">
        <v>2514</v>
      </c>
      <c r="D2" s="2563" t="s">
        <v>2515</v>
      </c>
      <c r="E2" s="2564">
        <f>SUM(E6:E13)</f>
        <v>68327.850000000006</v>
      </c>
    </row>
    <row r="3" spans="1:6" ht="15.75">
      <c r="A3" s="2560" t="s">
        <v>1391</v>
      </c>
      <c r="B3" s="2561">
        <f ca="1">ROUND(B2*10000/E2,0)</f>
        <v>14702</v>
      </c>
      <c r="C3" s="2562" t="s">
        <v>2522</v>
      </c>
      <c r="D3" s="2565"/>
      <c r="E3" s="2566"/>
    </row>
    <row r="4" spans="1:6" ht="15.75">
      <c r="A4" s="2567"/>
      <c r="B4" s="2565"/>
      <c r="C4" s="2565"/>
      <c r="D4" s="2565"/>
      <c r="E4" s="2566"/>
    </row>
    <row r="5" spans="1:6" ht="15">
      <c r="A5" s="2568" t="s">
        <v>2516</v>
      </c>
      <c r="B5" s="3202" t="s">
        <v>2517</v>
      </c>
      <c r="C5" s="3202"/>
      <c r="D5" s="2569"/>
      <c r="E5" s="2570" t="s">
        <v>2518</v>
      </c>
      <c r="F5" s="2571" t="s">
        <v>2519</v>
      </c>
    </row>
    <row r="6" spans="1:6">
      <c r="A6" s="2572" t="str">
        <f>'数据-取费表'!AN6</f>
        <v>收益法</v>
      </c>
      <c r="B6" s="2571">
        <f ca="1">IF(F6="是",'数据-取费表'!AO6,0)</f>
        <v>82113</v>
      </c>
      <c r="C6" s="2562" t="s">
        <v>2514</v>
      </c>
      <c r="D6" s="2565"/>
      <c r="E6" s="2573">
        <f>IF(OR(A6=0,F6="否"),0,'数据-取费表'!K6+'数据-取费表'!S6)</f>
        <v>47478.82</v>
      </c>
      <c r="F6" s="2574" t="s">
        <v>2520</v>
      </c>
    </row>
    <row r="7" spans="1:6">
      <c r="A7" s="2572" t="str">
        <f>'数据-取费表'!AN7</f>
        <v>收益法 (2)</v>
      </c>
      <c r="B7" s="2571">
        <f ca="1">IF(F7="是",'数据-取费表'!AO7,0)</f>
        <v>18343</v>
      </c>
      <c r="C7" s="2562" t="s">
        <v>2514</v>
      </c>
      <c r="D7" s="2565"/>
      <c r="E7" s="2573">
        <f>IF(OR(A7=0,F7="否"),0,'数据-取费表'!K7+'数据-取费表'!S7)</f>
        <v>20849.03</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0</v>
      </c>
      <c r="E1" s="3206"/>
      <c r="F1" s="3206"/>
      <c r="G1" s="3206"/>
      <c r="H1" s="3206"/>
      <c r="I1" s="3207"/>
    </row>
    <row r="2" spans="1:9">
      <c r="A2" s="3208" t="s">
        <v>1074</v>
      </c>
      <c r="B2" s="3209" t="s">
        <v>1075</v>
      </c>
      <c r="C2" s="3209"/>
      <c r="D2" s="1299" t="s">
        <v>1076</v>
      </c>
      <c r="E2" s="1299" t="s">
        <v>1077</v>
      </c>
      <c r="F2" s="1299" t="s">
        <v>1078</v>
      </c>
      <c r="G2" s="1299" t="s">
        <v>1079</v>
      </c>
      <c r="H2" s="1299" t="s">
        <v>1080</v>
      </c>
      <c r="I2" s="1300" t="s">
        <v>1081</v>
      </c>
    </row>
    <row r="3" spans="1:9">
      <c r="A3" s="3208"/>
      <c r="B3" s="3209" t="s">
        <v>1082</v>
      </c>
      <c r="C3" s="3209"/>
      <c r="D3" s="1301"/>
      <c r="E3" s="1299"/>
      <c r="F3" s="1302"/>
      <c r="G3" s="1302"/>
      <c r="H3" s="1303"/>
      <c r="I3" s="1304">
        <f>ROUND(D3*E3*F3*G3*H3/10000,0)</f>
        <v>0</v>
      </c>
    </row>
    <row r="4" spans="1:9">
      <c r="A4" s="3208"/>
      <c r="B4" s="3209" t="s">
        <v>1083</v>
      </c>
      <c r="C4" s="3209"/>
      <c r="D4" s="1301"/>
      <c r="E4" s="1299"/>
      <c r="F4" s="1302"/>
      <c r="G4" s="1302"/>
      <c r="H4" s="1303"/>
      <c r="I4" s="1304">
        <f t="shared" ref="I4:I9" si="0">ROUND(D4*E4*F4*G4*H4/10000,0)</f>
        <v>0</v>
      </c>
    </row>
    <row r="5" spans="1:9">
      <c r="A5" s="3208"/>
      <c r="B5" s="3209" t="s">
        <v>1084</v>
      </c>
      <c r="C5" s="3209"/>
      <c r="D5" s="1301"/>
      <c r="E5" s="1299"/>
      <c r="F5" s="1302"/>
      <c r="G5" s="1302"/>
      <c r="H5" s="1303"/>
      <c r="I5" s="1304">
        <f t="shared" si="0"/>
        <v>0</v>
      </c>
    </row>
    <row r="6" spans="1:9">
      <c r="A6" s="3208"/>
      <c r="B6" s="3209" t="s">
        <v>1085</v>
      </c>
      <c r="C6" s="3209"/>
      <c r="D6" s="1301"/>
      <c r="E6" s="1299"/>
      <c r="F6" s="1302"/>
      <c r="G6" s="1302"/>
      <c r="H6" s="1303"/>
      <c r="I6" s="1304">
        <f t="shared" si="0"/>
        <v>0</v>
      </c>
    </row>
    <row r="7" spans="1:9">
      <c r="A7" s="3208"/>
      <c r="B7" s="3209" t="s">
        <v>1086</v>
      </c>
      <c r="C7" s="3209"/>
      <c r="D7" s="1301"/>
      <c r="E7" s="1299"/>
      <c r="F7" s="1302"/>
      <c r="G7" s="1302"/>
      <c r="H7" s="1303"/>
      <c r="I7" s="1304">
        <f t="shared" si="0"/>
        <v>0</v>
      </c>
    </row>
    <row r="8" spans="1:9">
      <c r="A8" s="3208"/>
      <c r="B8" s="3209" t="s">
        <v>1087</v>
      </c>
      <c r="C8" s="3209"/>
      <c r="D8" s="1301"/>
      <c r="E8" s="1299"/>
      <c r="F8" s="1302"/>
      <c r="G8" s="1302"/>
      <c r="H8" s="1303"/>
      <c r="I8" s="1304">
        <f t="shared" si="0"/>
        <v>0</v>
      </c>
    </row>
    <row r="9" spans="1:9">
      <c r="A9" s="3208"/>
      <c r="B9" s="3209" t="s">
        <v>1088</v>
      </c>
      <c r="C9" s="3209"/>
      <c r="D9" s="1301"/>
      <c r="E9" s="1299"/>
      <c r="F9" s="1302"/>
      <c r="G9" s="1302"/>
      <c r="H9" s="1303"/>
      <c r="I9" s="1304">
        <f t="shared" si="0"/>
        <v>0</v>
      </c>
    </row>
    <row r="10" spans="1:9">
      <c r="A10" s="3208"/>
      <c r="B10" s="3210" t="s">
        <v>1089</v>
      </c>
      <c r="C10" s="3210"/>
      <c r="D10" s="1305"/>
      <c r="E10" s="1305" t="e">
        <f>ROUND(D1*10000/D10/H9,0)</f>
        <v>#DIV/0!</v>
      </c>
      <c r="F10" s="1306"/>
      <c r="G10" s="1306"/>
      <c r="H10" s="1307"/>
      <c r="I10" s="1308">
        <f>SUM(I3:I9)</f>
        <v>0</v>
      </c>
    </row>
    <row r="11" spans="1:9" ht="14.25">
      <c r="A11" s="3208" t="s">
        <v>1090</v>
      </c>
      <c r="B11" s="3209" t="s">
        <v>1091</v>
      </c>
      <c r="C11" s="3209"/>
      <c r="D11" s="1301" t="s">
        <v>1092</v>
      </c>
      <c r="E11" s="1301" t="s">
        <v>1093</v>
      </c>
      <c r="F11" s="1302" t="s">
        <v>1094</v>
      </c>
      <c r="G11" s="1302" t="s">
        <v>1080</v>
      </c>
      <c r="H11" s="1309" t="s">
        <v>1095</v>
      </c>
      <c r="I11" s="1300" t="s">
        <v>1081</v>
      </c>
    </row>
    <row r="12" spans="1:9">
      <c r="A12" s="3208"/>
      <c r="B12" s="3209" t="s">
        <v>1096</v>
      </c>
      <c r="C12" s="3209"/>
      <c r="D12" s="1301"/>
      <c r="E12" s="1301"/>
      <c r="F12" s="1302"/>
      <c r="G12" s="1303"/>
      <c r="H12" s="1310"/>
      <c r="I12" s="1300">
        <f>ROUND(D12*E12*F12*G12/10000,0)</f>
        <v>0</v>
      </c>
    </row>
    <row r="13" spans="1:9">
      <c r="A13" s="3208"/>
      <c r="B13" s="3209" t="s">
        <v>1097</v>
      </c>
      <c r="C13" s="3209"/>
      <c r="D13" s="1301"/>
      <c r="E13" s="1301"/>
      <c r="F13" s="1302"/>
      <c r="G13" s="1303"/>
      <c r="H13" s="1310"/>
      <c r="I13" s="1300">
        <f>ROUND(D13*E13*F13*G13/10000,0)</f>
        <v>0</v>
      </c>
    </row>
    <row r="14" spans="1:9">
      <c r="A14" s="3208"/>
      <c r="B14" s="3209" t="s">
        <v>1098</v>
      </c>
      <c r="C14" s="3209"/>
      <c r="D14" s="1301"/>
      <c r="E14" s="1301"/>
      <c r="F14" s="1302"/>
      <c r="G14" s="1303"/>
      <c r="H14" s="1310"/>
      <c r="I14" s="1300">
        <f>ROUND(D14*E14*F14*G14/10000,0)</f>
        <v>0</v>
      </c>
    </row>
    <row r="15" spans="1:9">
      <c r="A15" s="3208"/>
      <c r="B15" s="3210" t="s">
        <v>1089</v>
      </c>
      <c r="C15" s="3210"/>
      <c r="D15" s="1305"/>
      <c r="E15" s="1305">
        <f>SUM(E12:E14)</f>
        <v>0</v>
      </c>
      <c r="F15" s="1306"/>
      <c r="G15" s="1303"/>
      <c r="H15" s="1310"/>
      <c r="I15" s="1311">
        <f>SUM(I12:I14)</f>
        <v>0</v>
      </c>
    </row>
    <row r="16" spans="1:9" ht="24">
      <c r="A16" s="3208" t="s">
        <v>1099</v>
      </c>
      <c r="B16" s="3209" t="s">
        <v>1100</v>
      </c>
      <c r="C16" s="3209"/>
      <c r="D16" s="1301" t="s">
        <v>1076</v>
      </c>
      <c r="E16" s="1312" t="s">
        <v>1101</v>
      </c>
      <c r="F16" s="1302" t="s">
        <v>1102</v>
      </c>
      <c r="G16" s="1303" t="s">
        <v>1080</v>
      </c>
      <c r="H16" s="1309" t="s">
        <v>1095</v>
      </c>
      <c r="I16" s="1300" t="s">
        <v>1081</v>
      </c>
    </row>
    <row r="17" spans="1:9" ht="14.25">
      <c r="A17" s="3208"/>
      <c r="B17" s="3209" t="s">
        <v>1103</v>
      </c>
      <c r="C17" s="3209"/>
      <c r="D17" s="1301"/>
      <c r="E17" s="1301"/>
      <c r="F17" s="1302"/>
      <c r="G17" s="1303"/>
      <c r="H17" s="1313"/>
      <c r="I17" s="1314">
        <f>ROUND(D17*E17*F17*G17/10000,0)</f>
        <v>0</v>
      </c>
    </row>
    <row r="18" spans="1:9" ht="14.25">
      <c r="A18" s="3208"/>
      <c r="B18" s="3209" t="s">
        <v>1104</v>
      </c>
      <c r="C18" s="3209"/>
      <c r="D18" s="1301"/>
      <c r="E18" s="1301"/>
      <c r="F18" s="1302"/>
      <c r="G18" s="1303"/>
      <c r="H18" s="1313"/>
      <c r="I18" s="1314">
        <f>ROUND(D18*E18*F18*G18/10000,0)</f>
        <v>0</v>
      </c>
    </row>
    <row r="19" spans="1:9" ht="14.25">
      <c r="A19" s="3208"/>
      <c r="B19" s="3209" t="s">
        <v>1105</v>
      </c>
      <c r="C19" s="3209"/>
      <c r="D19" s="1301"/>
      <c r="E19" s="1301"/>
      <c r="F19" s="1302"/>
      <c r="G19" s="1303"/>
      <c r="H19" s="1313"/>
      <c r="I19" s="1314">
        <f>ROUND(D19*E19*F19*G19/10000,0)</f>
        <v>0</v>
      </c>
    </row>
    <row r="20" spans="1:9">
      <c r="A20" s="3208"/>
      <c r="B20" s="3210" t="s">
        <v>1089</v>
      </c>
      <c r="C20" s="3210"/>
      <c r="D20" s="1305">
        <f>SUM(D17:D19)</f>
        <v>0</v>
      </c>
      <c r="E20" s="1305"/>
      <c r="F20" s="1306"/>
      <c r="G20" s="1303"/>
      <c r="H20" s="1310"/>
      <c r="I20" s="1311">
        <f>SUM(I17:I19)</f>
        <v>0</v>
      </c>
    </row>
    <row r="21" spans="1:9">
      <c r="A21" s="3208" t="s">
        <v>1106</v>
      </c>
      <c r="B21" s="3212"/>
      <c r="C21" s="3212"/>
      <c r="D21" s="3212"/>
      <c r="E21" s="3212"/>
      <c r="F21" s="3212"/>
      <c r="G21" s="3212"/>
      <c r="H21" s="1763">
        <v>0.1</v>
      </c>
      <c r="I21" s="1308">
        <f>ROUND(I10*H21,0)</f>
        <v>0</v>
      </c>
    </row>
    <row r="22" spans="1:9" ht="14.25">
      <c r="A22" s="3213" t="s">
        <v>1107</v>
      </c>
      <c r="B22" s="3214"/>
      <c r="C22" s="3215"/>
      <c r="D22" s="1315" t="s">
        <v>1108</v>
      </c>
      <c r="E22" s="1315" t="s">
        <v>1109</v>
      </c>
      <c r="F22" s="1316" t="s">
        <v>1110</v>
      </c>
      <c r="G22" s="1316" t="s">
        <v>1111</v>
      </c>
      <c r="H22" s="1309" t="s">
        <v>1112</v>
      </c>
      <c r="I22" s="1300" t="s">
        <v>1113</v>
      </c>
    </row>
    <row r="23" spans="1:9" ht="14.25" thickBot="1">
      <c r="A23" s="3216"/>
      <c r="B23" s="3217"/>
      <c r="C23" s="3218"/>
      <c r="D23" s="1317"/>
      <c r="E23" s="1317"/>
      <c r="F23" s="1317"/>
      <c r="G23" s="1318"/>
      <c r="H23" s="1319"/>
      <c r="I23" s="1320">
        <f>ROUND(E23*D23*F23*(1-G23)/10000,0)</f>
        <v>0</v>
      </c>
    </row>
    <row r="26" spans="1:9">
      <c r="A26" s="1321" t="s">
        <v>1114</v>
      </c>
      <c r="B26" s="1321"/>
      <c r="C26" s="1321"/>
      <c r="D26" s="1321"/>
      <c r="E26" s="3219">
        <f>C27-C30-C31-C32</f>
        <v>0</v>
      </c>
      <c r="F26" s="3219"/>
      <c r="G26" s="3219"/>
      <c r="H26" s="1735" t="s">
        <v>1336</v>
      </c>
    </row>
    <row r="27" spans="1:9">
      <c r="A27" s="1322">
        <v>1</v>
      </c>
      <c r="B27" s="1323" t="s">
        <v>1115</v>
      </c>
      <c r="C27" s="1323">
        <f>C28+C29</f>
        <v>0</v>
      </c>
      <c r="D27" s="1323"/>
      <c r="E27" s="3220"/>
      <c r="F27" s="3220"/>
      <c r="G27" s="3220"/>
    </row>
    <row r="28" spans="1:9">
      <c r="A28" s="1324" t="s">
        <v>1116</v>
      </c>
      <c r="B28" s="1323" t="s">
        <v>1117</v>
      </c>
      <c r="C28" s="1323"/>
      <c r="D28" s="1323"/>
      <c r="E28" s="3220"/>
      <c r="F28" s="3220"/>
      <c r="G28" s="3220"/>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11"/>
      <c r="F32" s="3211"/>
      <c r="G32" s="3211"/>
    </row>
    <row r="33" spans="1:7" hidden="1">
      <c r="A33" s="3221" t="s">
        <v>1126</v>
      </c>
      <c r="B33" s="3222"/>
      <c r="C33" s="3222"/>
      <c r="D33" s="3223"/>
      <c r="E33" s="3219"/>
      <c r="F33" s="3219"/>
      <c r="G33" s="3219"/>
    </row>
    <row r="34" spans="1:7" hidden="1">
      <c r="A34" s="1326">
        <v>1</v>
      </c>
      <c r="B34" s="1323" t="s">
        <v>1127</v>
      </c>
      <c r="C34" s="1323"/>
      <c r="D34" s="1323"/>
      <c r="E34" s="3220"/>
      <c r="F34" s="3220"/>
      <c r="G34" s="3220"/>
    </row>
    <row r="35" spans="1:7" hidden="1">
      <c r="A35" s="1326">
        <v>2</v>
      </c>
      <c r="B35" s="1323" t="s">
        <v>1128</v>
      </c>
      <c r="C35" s="1323"/>
      <c r="D35" s="1323"/>
      <c r="E35" s="3220"/>
      <c r="F35" s="3220"/>
      <c r="G35" s="3220"/>
    </row>
    <row r="36" spans="1:7" hidden="1">
      <c r="A36" s="1326">
        <v>3</v>
      </c>
      <c r="B36" s="1323" t="s">
        <v>1129</v>
      </c>
      <c r="C36" s="1323"/>
      <c r="D36" s="1323"/>
      <c r="E36" s="3220"/>
      <c r="F36" s="3220"/>
      <c r="G36" s="3220"/>
    </row>
    <row r="37" spans="1:7" hidden="1">
      <c r="A37" s="1326">
        <v>4</v>
      </c>
      <c r="B37" s="1323" t="s">
        <v>1130</v>
      </c>
      <c r="C37" s="1323"/>
      <c r="D37" s="1323"/>
      <c r="E37" s="3220"/>
      <c r="F37" s="3220"/>
      <c r="G37" s="3220"/>
    </row>
    <row r="38" spans="1:7" hidden="1">
      <c r="A38" s="3221" t="s">
        <v>1131</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8" t="s">
        <v>2524</v>
      </c>
      <c r="C1" s="1632" t="s">
        <v>2525</v>
      </c>
      <c r="D1" s="1619"/>
      <c r="E1" s="2579"/>
      <c r="F1" s="2580" t="s">
        <v>2526</v>
      </c>
      <c r="G1" s="1629" t="s">
        <v>2527</v>
      </c>
      <c r="H1" s="1628"/>
      <c r="I1" s="1628"/>
      <c r="J1" s="1628"/>
      <c r="K1" s="1630"/>
      <c r="L1" s="1631"/>
      <c r="M1" s="1632"/>
      <c r="N1" s="1632"/>
      <c r="O1" s="1632"/>
      <c r="P1" s="2581"/>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2"/>
      <c r="D2" s="1363" t="e">
        <f ca="1">SUMIF(INDIRECT("'"&amp;F2&amp;"'"&amp;"!A:A"),"承租人权益价值",INDIRECT("'"&amp;F2&amp;"'"&amp;"!c:c"))</f>
        <v>#REF!</v>
      </c>
      <c r="E2" s="2583" t="s">
        <v>2528</v>
      </c>
      <c r="F2" s="2584"/>
      <c r="G2" s="1122"/>
      <c r="H2" s="1122"/>
      <c r="I2" s="1122"/>
      <c r="J2" s="1122"/>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1391</v>
      </c>
      <c r="B3" s="398" t="e">
        <f ca="1">IF(C2="——",C49,ROUND(B2*10000/D3,0))</f>
        <v>#DIV/0!</v>
      </c>
      <c r="C3" s="399" t="s">
        <v>2529</v>
      </c>
      <c r="D3" s="398">
        <f>IF(D1="",'数据-汇总表'!E3,SUMIF('数据-汇总表'!$C19:$C33,D1,'数据-汇总表'!$E19:$E33))</f>
        <v>68327.850000000006</v>
      </c>
      <c r="E3" s="1122"/>
      <c r="F3" s="2591"/>
      <c r="G3" s="1122"/>
      <c r="H3" s="1122"/>
      <c r="I3" s="1122"/>
      <c r="J3" s="1122"/>
      <c r="K3" s="2585"/>
      <c r="L3" s="2586"/>
      <c r="M3" s="2587"/>
      <c r="N3" s="2587"/>
      <c r="O3" s="2587"/>
      <c r="P3" s="2588"/>
      <c r="Q3" s="2589"/>
      <c r="R3" s="2589"/>
      <c r="S3" s="2589"/>
      <c r="T3" s="2589"/>
      <c r="U3" s="2589"/>
      <c r="V3" s="2589"/>
      <c r="W3" s="2589"/>
      <c r="X3" s="2589"/>
      <c r="Y3" s="2589"/>
      <c r="Z3" s="2589"/>
      <c r="AA3" s="2589"/>
      <c r="AB3" s="2589"/>
      <c r="AC3" s="1280"/>
    </row>
    <row r="4" spans="1:29" ht="15">
      <c r="A4" s="400" t="s">
        <v>2530</v>
      </c>
      <c r="B4" s="401"/>
      <c r="C4" s="3242" t="s">
        <v>2531</v>
      </c>
      <c r="D4" s="3243"/>
      <c r="E4" s="3244" t="s">
        <v>2532</v>
      </c>
      <c r="F4" s="3245"/>
      <c r="G4" s="3242" t="s">
        <v>2533</v>
      </c>
      <c r="H4" s="3243"/>
      <c r="I4" s="3242" t="s">
        <v>2534</v>
      </c>
      <c r="J4" s="3243"/>
      <c r="K4" s="2592" t="s">
        <v>2535</v>
      </c>
      <c r="L4" s="1128"/>
      <c r="M4" s="1129"/>
      <c r="N4" s="1129"/>
      <c r="O4" s="1129"/>
      <c r="P4" s="3246" t="s">
        <v>2536</v>
      </c>
      <c r="Q4" s="3247"/>
      <c r="R4" s="3229" t="s">
        <v>2532</v>
      </c>
      <c r="S4" s="3230"/>
      <c r="T4" s="3229" t="s">
        <v>2533</v>
      </c>
      <c r="U4" s="3230"/>
      <c r="V4" s="3254" t="s">
        <v>2534</v>
      </c>
      <c r="W4" s="3254"/>
      <c r="X4" s="1811"/>
      <c r="Y4" s="3229" t="s">
        <v>2536</v>
      </c>
      <c r="Z4" s="3230"/>
      <c r="AA4" s="3224" t="s">
        <v>2532</v>
      </c>
      <c r="AB4" s="3224" t="s">
        <v>2533</v>
      </c>
      <c r="AC4" s="3224" t="s">
        <v>2534</v>
      </c>
    </row>
    <row r="5" spans="1:29" ht="15">
      <c r="A5" s="403"/>
      <c r="B5" s="404"/>
      <c r="C5" s="3235" t="s">
        <v>2537</v>
      </c>
      <c r="D5" s="3236"/>
      <c r="E5" s="3233" t="s">
        <v>2538</v>
      </c>
      <c r="F5" s="3234"/>
      <c r="G5" s="3235" t="s">
        <v>2539</v>
      </c>
      <c r="H5" s="3236"/>
      <c r="I5" s="3235" t="s">
        <v>2540</v>
      </c>
      <c r="J5" s="3236"/>
      <c r="K5" s="2593"/>
      <c r="L5" s="1128"/>
      <c r="M5" s="1129"/>
      <c r="N5" s="1129"/>
      <c r="O5" s="1129"/>
      <c r="P5" s="3248"/>
      <c r="Q5" s="3249"/>
      <c r="R5" s="3231"/>
      <c r="S5" s="3232"/>
      <c r="T5" s="3231"/>
      <c r="U5" s="3232"/>
      <c r="V5" s="3254"/>
      <c r="W5" s="3254"/>
      <c r="X5" s="1811"/>
      <c r="Y5" s="3231"/>
      <c r="Z5" s="3232"/>
      <c r="AA5" s="3225"/>
      <c r="AB5" s="3225"/>
      <c r="AC5" s="3225"/>
    </row>
    <row r="6" spans="1:29" ht="15.75" thickBot="1">
      <c r="A6" s="405"/>
      <c r="B6" s="406"/>
      <c r="C6" s="3237" t="s">
        <v>2541</v>
      </c>
      <c r="D6" s="3238"/>
      <c r="E6" s="3239" t="s">
        <v>2541</v>
      </c>
      <c r="F6" s="3240"/>
      <c r="G6" s="3237" t="s">
        <v>2541</v>
      </c>
      <c r="H6" s="3238"/>
      <c r="I6" s="3237" t="s">
        <v>2541</v>
      </c>
      <c r="J6" s="3238"/>
      <c r="K6" s="2593" t="s">
        <v>2542</v>
      </c>
      <c r="L6" s="1128"/>
      <c r="M6" s="1129"/>
      <c r="N6" s="1129"/>
      <c r="O6" s="1129"/>
      <c r="P6" s="3250"/>
      <c r="Q6" s="3251"/>
      <c r="R6" s="3231"/>
      <c r="S6" s="3232"/>
      <c r="T6" s="3252"/>
      <c r="U6" s="3253"/>
      <c r="V6" s="3254"/>
      <c r="W6" s="3254"/>
      <c r="X6" s="1811"/>
      <c r="Y6" s="3252"/>
      <c r="Z6" s="3253"/>
      <c r="AA6" s="3226"/>
      <c r="AB6" s="3226"/>
      <c r="AC6" s="3226"/>
    </row>
    <row r="7" spans="1:29" s="117" customFormat="1" ht="15.7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2594"/>
      <c r="L7" s="1130"/>
      <c r="M7" s="1131"/>
      <c r="N7" s="1131"/>
      <c r="O7" s="1131"/>
      <c r="P7" s="3227" t="s">
        <v>2544</v>
      </c>
      <c r="Q7" s="3255"/>
      <c r="R7" s="768" t="s">
        <v>23</v>
      </c>
      <c r="S7" s="769">
        <f t="shared" ref="S7:S15" si="0">F7</f>
        <v>0</v>
      </c>
      <c r="T7" s="768" t="s">
        <v>23</v>
      </c>
      <c r="U7" s="769">
        <f t="shared" ref="U7:U15" si="1">H7</f>
        <v>0</v>
      </c>
      <c r="V7" s="768" t="s">
        <v>23</v>
      </c>
      <c r="W7" s="769">
        <f t="shared" ref="W7:W15" si="2">J7</f>
        <v>0</v>
      </c>
      <c r="X7" s="770"/>
      <c r="Y7" s="3227" t="s">
        <v>2544</v>
      </c>
      <c r="Z7" s="3228"/>
      <c r="AA7" s="771" t="e">
        <f>D7/F7</f>
        <v>#DIV/0!</v>
      </c>
      <c r="AB7" s="771" t="e">
        <f>D7/H7</f>
        <v>#DIV/0!</v>
      </c>
      <c r="AC7" s="771" t="e">
        <f>D7/J7</f>
        <v>#DIV/0!</v>
      </c>
    </row>
    <row r="8" spans="1:29" s="117" customFormat="1" ht="15.75" thickBot="1">
      <c r="A8" s="407" t="s">
        <v>2545</v>
      </c>
      <c r="B8" s="408"/>
      <c r="C8" s="413" t="s">
        <v>2546</v>
      </c>
      <c r="D8" s="410">
        <v>100</v>
      </c>
      <c r="E8" s="2595"/>
      <c r="F8" s="412">
        <f>SUMIF(61:61,E8,62:62)-SUMIF(61:61,C8,62:62)+100</f>
        <v>0</v>
      </c>
      <c r="G8" s="413"/>
      <c r="H8" s="410">
        <f>SUMIF(61:61,G8,62:62)-SUMIF(61:61,C8,62:62)+100</f>
        <v>0</v>
      </c>
      <c r="I8" s="2595"/>
      <c r="J8" s="410">
        <f>SUMIF(61:61,I8,62:62)-SUMIF(61:61,C8,62:62)+100</f>
        <v>0</v>
      </c>
      <c r="K8" s="2594"/>
      <c r="L8" s="1130"/>
      <c r="M8" s="1131"/>
      <c r="N8" s="1131"/>
      <c r="O8" s="1131"/>
      <c r="P8" s="3227" t="s">
        <v>2547</v>
      </c>
      <c r="Q8" s="3228"/>
      <c r="R8" s="768" t="s">
        <v>23</v>
      </c>
      <c r="S8" s="769">
        <f t="shared" si="0"/>
        <v>0</v>
      </c>
      <c r="T8" s="768" t="s">
        <v>23</v>
      </c>
      <c r="U8" s="769">
        <f t="shared" si="1"/>
        <v>0</v>
      </c>
      <c r="V8" s="768" t="s">
        <v>23</v>
      </c>
      <c r="W8" s="769">
        <f t="shared" si="2"/>
        <v>0</v>
      </c>
      <c r="X8" s="770"/>
      <c r="Y8" s="3227" t="s">
        <v>2547</v>
      </c>
      <c r="Z8" s="3228"/>
      <c r="AA8" s="771" t="e">
        <f t="shared" ref="AA8:AA19" si="3">D8/F8</f>
        <v>#DIV/0!</v>
      </c>
      <c r="AB8" s="771" t="e">
        <f t="shared" ref="AB8:AB19" si="4">D8/H8</f>
        <v>#DIV/0!</v>
      </c>
      <c r="AC8" s="771" t="e">
        <f t="shared" ref="AC8:AC19" si="5">D8/J8</f>
        <v>#DIV/0!</v>
      </c>
    </row>
    <row r="9" spans="1:29" s="117"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4"/>
      <c r="L9" s="1130"/>
      <c r="M9" s="1131"/>
      <c r="N9" s="1131"/>
      <c r="O9" s="1131"/>
      <c r="P9" s="3241" t="s">
        <v>2550</v>
      </c>
      <c r="Q9" s="1793" t="str">
        <f t="shared" ref="Q9:Q15" si="6">B9</f>
        <v>用途</v>
      </c>
      <c r="R9" s="768" t="s">
        <v>17</v>
      </c>
      <c r="S9" s="769">
        <f t="shared" si="0"/>
        <v>100</v>
      </c>
      <c r="T9" s="768" t="s">
        <v>17</v>
      </c>
      <c r="U9" s="769">
        <f t="shared" si="1"/>
        <v>100</v>
      </c>
      <c r="V9" s="768" t="s">
        <v>17</v>
      </c>
      <c r="W9" s="769">
        <f t="shared" si="2"/>
        <v>100</v>
      </c>
      <c r="X9" s="770"/>
      <c r="Y9" s="3074"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41"/>
      <c r="Q10" s="1793"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41"/>
      <c r="Q11" s="1793" t="str">
        <f t="shared" si="6"/>
        <v>容积率</v>
      </c>
      <c r="R11" s="768" t="s">
        <v>21</v>
      </c>
      <c r="S11" s="769" t="e">
        <f t="shared" si="0"/>
        <v>#N/A</v>
      </c>
      <c r="T11" s="768" t="s">
        <v>21</v>
      </c>
      <c r="U11" s="769" t="e">
        <f t="shared" si="1"/>
        <v>#N/A</v>
      </c>
      <c r="V11" s="768" t="s">
        <v>21</v>
      </c>
      <c r="W11" s="769" t="e">
        <f t="shared" si="2"/>
        <v>#N/A</v>
      </c>
      <c r="X11" s="770"/>
      <c r="Y11" s="3074"/>
      <c r="Z11" s="55"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41"/>
      <c r="Q12" s="1793">
        <f t="shared" si="6"/>
        <v>111</v>
      </c>
      <c r="R12" s="768" t="s">
        <v>21</v>
      </c>
      <c r="S12" s="769">
        <f t="shared" si="0"/>
        <v>100</v>
      </c>
      <c r="T12" s="768" t="s">
        <v>21</v>
      </c>
      <c r="U12" s="769">
        <f t="shared" si="1"/>
        <v>100</v>
      </c>
      <c r="V12" s="768" t="s">
        <v>21</v>
      </c>
      <c r="W12" s="769">
        <f t="shared" si="2"/>
        <v>100</v>
      </c>
      <c r="X12" s="770"/>
      <c r="Y12" s="3074"/>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41"/>
      <c r="Q13" s="1793">
        <f t="shared" si="6"/>
        <v>111</v>
      </c>
      <c r="R13" s="768" t="s">
        <v>21</v>
      </c>
      <c r="S13" s="769">
        <f t="shared" si="0"/>
        <v>100</v>
      </c>
      <c r="T13" s="768" t="s">
        <v>21</v>
      </c>
      <c r="U13" s="769">
        <f t="shared" si="1"/>
        <v>100</v>
      </c>
      <c r="V13" s="768" t="s">
        <v>21</v>
      </c>
      <c r="W13" s="769">
        <f t="shared" si="2"/>
        <v>100</v>
      </c>
      <c r="X13" s="770"/>
      <c r="Y13" s="3074"/>
      <c r="Z13" s="55">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41"/>
      <c r="Q14" s="1793">
        <f t="shared" si="6"/>
        <v>111</v>
      </c>
      <c r="R14" s="768" t="s">
        <v>21</v>
      </c>
      <c r="S14" s="769">
        <f t="shared" si="0"/>
        <v>100</v>
      </c>
      <c r="T14" s="768" t="s">
        <v>21</v>
      </c>
      <c r="U14" s="769">
        <f t="shared" si="1"/>
        <v>100</v>
      </c>
      <c r="V14" s="768" t="s">
        <v>21</v>
      </c>
      <c r="W14" s="769">
        <f t="shared" si="2"/>
        <v>100</v>
      </c>
      <c r="X14" s="770"/>
      <c r="Y14" s="3074"/>
      <c r="Z14" s="55">
        <f t="shared" si="7"/>
        <v>111</v>
      </c>
      <c r="AA14" s="771">
        <f t="shared" si="3"/>
        <v>1</v>
      </c>
      <c r="AB14" s="771">
        <f t="shared" si="4"/>
        <v>1</v>
      </c>
      <c r="AC14" s="771">
        <f t="shared" si="5"/>
        <v>1</v>
      </c>
    </row>
    <row r="15" spans="1:29" ht="15">
      <c r="A15" s="439" t="s">
        <v>2554</v>
      </c>
      <c r="B15" s="69" t="s">
        <v>2084</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68" t="s">
        <v>2555</v>
      </c>
      <c r="Q15" s="1808" t="str">
        <f t="shared" si="6"/>
        <v>居住社区成熟度</v>
      </c>
      <c r="R15" s="772" t="s">
        <v>21</v>
      </c>
      <c r="S15" s="773">
        <f t="shared" si="0"/>
        <v>100</v>
      </c>
      <c r="T15" s="772" t="s">
        <v>21</v>
      </c>
      <c r="U15" s="773">
        <f t="shared" si="1"/>
        <v>100</v>
      </c>
      <c r="V15" s="772" t="s">
        <v>21</v>
      </c>
      <c r="W15" s="773">
        <f t="shared" si="2"/>
        <v>100</v>
      </c>
      <c r="X15" s="1811"/>
      <c r="Y15" s="3261" t="s">
        <v>2555</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69"/>
      <c r="Q16" s="1808"/>
      <c r="R16" s="772"/>
      <c r="S16" s="773"/>
      <c r="T16" s="772"/>
      <c r="U16" s="773"/>
      <c r="V16" s="772"/>
      <c r="W16" s="773"/>
      <c r="X16" s="1811"/>
      <c r="Y16" s="3262"/>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69"/>
      <c r="Q17" s="1808" t="str">
        <f>B17</f>
        <v>交通便捷度</v>
      </c>
      <c r="R17" s="772" t="s">
        <v>21</v>
      </c>
      <c r="S17" s="773">
        <f>F17</f>
        <v>100</v>
      </c>
      <c r="T17" s="772" t="s">
        <v>21</v>
      </c>
      <c r="U17" s="773">
        <f>H17</f>
        <v>100</v>
      </c>
      <c r="V17" s="772" t="s">
        <v>21</v>
      </c>
      <c r="W17" s="773">
        <f>J17</f>
        <v>100</v>
      </c>
      <c r="X17" s="1811"/>
      <c r="Y17" s="3262"/>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69"/>
      <c r="Q18" s="1808"/>
      <c r="R18" s="772"/>
      <c r="S18" s="773"/>
      <c r="T18" s="772"/>
      <c r="U18" s="773"/>
      <c r="V18" s="772"/>
      <c r="W18" s="773"/>
      <c r="X18" s="1811"/>
      <c r="Y18" s="3262"/>
      <c r="Z18" s="1812"/>
      <c r="AA18" s="1809">
        <v>1</v>
      </c>
      <c r="AB18" s="1809">
        <v>1</v>
      </c>
      <c r="AC18" s="1809">
        <v>1</v>
      </c>
    </row>
    <row r="19" spans="1:29" ht="199.5">
      <c r="A19" s="427"/>
      <c r="B19" s="450" t="s">
        <v>2091</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69"/>
      <c r="Q19" s="1808" t="str">
        <f>B19</f>
        <v>公共配套设施</v>
      </c>
      <c r="R19" s="772" t="s">
        <v>21</v>
      </c>
      <c r="S19" s="773">
        <f>F19</f>
        <v>100</v>
      </c>
      <c r="T19" s="772" t="s">
        <v>21</v>
      </c>
      <c r="U19" s="773">
        <f>H19</f>
        <v>100</v>
      </c>
      <c r="V19" s="772" t="s">
        <v>21</v>
      </c>
      <c r="W19" s="773">
        <f>J19</f>
        <v>100</v>
      </c>
      <c r="X19" s="1811"/>
      <c r="Y19" s="3262"/>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69"/>
      <c r="Q20" s="1808"/>
      <c r="R20" s="772"/>
      <c r="S20" s="773"/>
      <c r="T20" s="772"/>
      <c r="U20" s="773"/>
      <c r="V20" s="772"/>
      <c r="W20" s="773"/>
      <c r="X20" s="1811"/>
      <c r="Y20" s="3262"/>
      <c r="Z20" s="1812"/>
      <c r="AA20" s="1809">
        <v>1</v>
      </c>
      <c r="AB20" s="1809">
        <v>1</v>
      </c>
      <c r="AC20" s="1809">
        <v>1</v>
      </c>
    </row>
    <row r="21" spans="1:29" ht="42.75">
      <c r="A21" s="427"/>
      <c r="B21" s="1382" t="s">
        <v>2094</v>
      </c>
      <c r="C21" s="2603"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69"/>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69"/>
      <c r="Q22" s="1808"/>
      <c r="R22" s="772"/>
      <c r="S22" s="773"/>
      <c r="T22" s="772"/>
      <c r="U22" s="773"/>
      <c r="V22" s="772"/>
      <c r="W22" s="773"/>
      <c r="X22" s="1811"/>
      <c r="Y22" s="3262"/>
      <c r="Z22" s="1812"/>
      <c r="AA22" s="1809">
        <v>1</v>
      </c>
      <c r="AB22" s="1809">
        <v>1</v>
      </c>
      <c r="AC22" s="1809">
        <v>1</v>
      </c>
    </row>
    <row r="23" spans="1:29" ht="85.5">
      <c r="A23" s="427"/>
      <c r="B23" s="450" t="s">
        <v>2098</v>
      </c>
      <c r="C23" s="2603"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69"/>
      <c r="Q23" s="1808" t="str">
        <f>B23</f>
        <v>自然及人文环境</v>
      </c>
      <c r="R23" s="772" t="s">
        <v>21</v>
      </c>
      <c r="S23" s="773">
        <f>F23</f>
        <v>100</v>
      </c>
      <c r="T23" s="772" t="s">
        <v>21</v>
      </c>
      <c r="U23" s="773">
        <f>H23</f>
        <v>100</v>
      </c>
      <c r="V23" s="772" t="s">
        <v>21</v>
      </c>
      <c r="W23" s="773">
        <f>J23</f>
        <v>100</v>
      </c>
      <c r="X23" s="1811"/>
      <c r="Y23" s="3262"/>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69"/>
      <c r="Q24" s="1808"/>
      <c r="R24" s="772"/>
      <c r="S24" s="773"/>
      <c r="T24" s="772"/>
      <c r="U24" s="773"/>
      <c r="V24" s="772"/>
      <c r="W24" s="773"/>
      <c r="X24" s="1811"/>
      <c r="Y24" s="3262"/>
      <c r="Z24" s="1812"/>
      <c r="AA24" s="1809">
        <v>1</v>
      </c>
      <c r="AB24" s="1809">
        <v>1</v>
      </c>
      <c r="AC24" s="1809">
        <v>1</v>
      </c>
    </row>
    <row r="25" spans="1:29" ht="15">
      <c r="A25" s="427"/>
      <c r="B25" s="421" t="s">
        <v>2556</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69"/>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62"/>
      <c r="Z25" s="1812" t="str">
        <f>Q25</f>
        <v>楼层-1</v>
      </c>
      <c r="AA25" s="1809">
        <f t="shared" ref="AA25:AA46" si="15">D25/F25</f>
        <v>1</v>
      </c>
      <c r="AB25" s="1809">
        <f t="shared" ref="AB25:AB46" si="16">D25/H25</f>
        <v>1</v>
      </c>
      <c r="AC25" s="1809">
        <f t="shared" ref="AC25:AC46" si="17">D25/J25</f>
        <v>1</v>
      </c>
    </row>
    <row r="26" spans="1:29" ht="15">
      <c r="A26" s="427"/>
      <c r="B26" s="421" t="s">
        <v>2557</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69"/>
      <c r="Q26" s="1808" t="str">
        <f t="shared" si="11"/>
        <v>朝向</v>
      </c>
      <c r="R26" s="772" t="s">
        <v>21</v>
      </c>
      <c r="S26" s="773">
        <f t="shared" si="12"/>
        <v>100</v>
      </c>
      <c r="T26" s="772" t="s">
        <v>21</v>
      </c>
      <c r="U26" s="773">
        <f t="shared" si="13"/>
        <v>100</v>
      </c>
      <c r="V26" s="772" t="s">
        <v>21</v>
      </c>
      <c r="W26" s="773">
        <f t="shared" si="14"/>
        <v>100</v>
      </c>
      <c r="X26" s="1811"/>
      <c r="Y26" s="326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69"/>
      <c r="Q27" s="1793">
        <f t="shared" si="11"/>
        <v>111</v>
      </c>
      <c r="R27" s="768" t="s">
        <v>21</v>
      </c>
      <c r="S27" s="769">
        <f t="shared" si="12"/>
        <v>100</v>
      </c>
      <c r="T27" s="768" t="s">
        <v>21</v>
      </c>
      <c r="U27" s="769">
        <f t="shared" si="13"/>
        <v>100</v>
      </c>
      <c r="V27" s="768" t="s">
        <v>21</v>
      </c>
      <c r="W27" s="769">
        <f t="shared" si="14"/>
        <v>100</v>
      </c>
      <c r="X27" s="770"/>
      <c r="Y27" s="326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69"/>
      <c r="Q28" s="1808">
        <f t="shared" si="11"/>
        <v>111</v>
      </c>
      <c r="R28" s="772" t="s">
        <v>21</v>
      </c>
      <c r="S28" s="773">
        <f t="shared" si="12"/>
        <v>100</v>
      </c>
      <c r="T28" s="772" t="s">
        <v>21</v>
      </c>
      <c r="U28" s="773">
        <f t="shared" si="13"/>
        <v>100</v>
      </c>
      <c r="V28" s="772" t="s">
        <v>21</v>
      </c>
      <c r="W28" s="773">
        <f t="shared" si="14"/>
        <v>100</v>
      </c>
      <c r="X28" s="1811"/>
      <c r="Y28" s="326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69"/>
      <c r="Q29" s="1808">
        <f t="shared" si="11"/>
        <v>111</v>
      </c>
      <c r="R29" s="772" t="s">
        <v>21</v>
      </c>
      <c r="S29" s="773">
        <f t="shared" si="12"/>
        <v>100</v>
      </c>
      <c r="T29" s="772" t="s">
        <v>21</v>
      </c>
      <c r="U29" s="773">
        <f t="shared" si="13"/>
        <v>100</v>
      </c>
      <c r="V29" s="772" t="s">
        <v>21</v>
      </c>
      <c r="W29" s="773">
        <f t="shared" si="14"/>
        <v>100</v>
      </c>
      <c r="X29" s="1811"/>
      <c r="Y29" s="326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69"/>
      <c r="Q30" s="1808">
        <f t="shared" si="11"/>
        <v>111</v>
      </c>
      <c r="R30" s="772" t="s">
        <v>21</v>
      </c>
      <c r="S30" s="773">
        <f t="shared" si="12"/>
        <v>100</v>
      </c>
      <c r="T30" s="772" t="s">
        <v>21</v>
      </c>
      <c r="U30" s="773">
        <f t="shared" si="13"/>
        <v>100</v>
      </c>
      <c r="V30" s="772" t="s">
        <v>21</v>
      </c>
      <c r="W30" s="773">
        <f t="shared" si="14"/>
        <v>100</v>
      </c>
      <c r="X30" s="1811"/>
      <c r="Y30" s="326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69"/>
      <c r="Q31" s="1808">
        <f t="shared" si="11"/>
        <v>111</v>
      </c>
      <c r="R31" s="772" t="s">
        <v>21</v>
      </c>
      <c r="S31" s="773">
        <f t="shared" si="12"/>
        <v>100</v>
      </c>
      <c r="T31" s="772" t="s">
        <v>21</v>
      </c>
      <c r="U31" s="773">
        <f t="shared" si="13"/>
        <v>100</v>
      </c>
      <c r="V31" s="772" t="s">
        <v>21</v>
      </c>
      <c r="W31" s="773">
        <f t="shared" si="14"/>
        <v>100</v>
      </c>
      <c r="X31" s="1811"/>
      <c r="Y31" s="3262"/>
      <c r="Z31" s="1812">
        <f t="shared" si="18"/>
        <v>111</v>
      </c>
      <c r="AA31" s="1809">
        <f t="shared" si="15"/>
        <v>1</v>
      </c>
      <c r="AB31" s="1809">
        <f t="shared" si="16"/>
        <v>1</v>
      </c>
      <c r="AC31" s="1809">
        <f t="shared" si="17"/>
        <v>1</v>
      </c>
    </row>
    <row r="32" spans="1:29" ht="15">
      <c r="A32" s="439" t="s">
        <v>2558</v>
      </c>
      <c r="B32" s="71" t="s">
        <v>2559</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63" t="s">
        <v>2560</v>
      </c>
      <c r="Q32" s="1808" t="str">
        <f t="shared" si="11"/>
        <v>建筑类型</v>
      </c>
      <c r="R32" s="772" t="s">
        <v>21</v>
      </c>
      <c r="S32" s="773">
        <f t="shared" si="12"/>
        <v>100</v>
      </c>
      <c r="T32" s="772" t="s">
        <v>21</v>
      </c>
      <c r="U32" s="773">
        <f t="shared" si="13"/>
        <v>100</v>
      </c>
      <c r="V32" s="772" t="s">
        <v>21</v>
      </c>
      <c r="W32" s="773">
        <f t="shared" si="14"/>
        <v>100</v>
      </c>
      <c r="X32" s="1811"/>
      <c r="Y32" s="3266" t="s">
        <v>2560</v>
      </c>
      <c r="Z32" s="1812" t="str">
        <f t="shared" si="18"/>
        <v>建筑类型</v>
      </c>
      <c r="AA32" s="1809">
        <f t="shared" si="15"/>
        <v>1</v>
      </c>
      <c r="AB32" s="1809">
        <f t="shared" si="16"/>
        <v>1</v>
      </c>
      <c r="AC32" s="1809">
        <f t="shared" si="17"/>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6"/>
      <c r="M33" s="1139"/>
      <c r="N33" s="1139"/>
      <c r="O33" s="1139"/>
      <c r="P33" s="3264"/>
      <c r="Q33" s="774" t="str">
        <f t="shared" si="11"/>
        <v>项目建筑规模</v>
      </c>
      <c r="R33" s="775" t="s">
        <v>21</v>
      </c>
      <c r="S33" s="776" t="e">
        <f t="shared" si="12"/>
        <v>#N/A</v>
      </c>
      <c r="T33" s="775" t="s">
        <v>21</v>
      </c>
      <c r="U33" s="776" t="e">
        <f t="shared" si="13"/>
        <v>#N/A</v>
      </c>
      <c r="V33" s="775" t="s">
        <v>21</v>
      </c>
      <c r="W33" s="776" t="e">
        <f t="shared" si="14"/>
        <v>#N/A</v>
      </c>
      <c r="X33" s="777"/>
      <c r="Y33" s="3266"/>
      <c r="Z33" s="778" t="str">
        <f t="shared" si="18"/>
        <v>项目建筑规模</v>
      </c>
      <c r="AA33" s="1809" t="e">
        <f t="shared" si="15"/>
        <v>#N/A</v>
      </c>
      <c r="AB33" s="1809" t="e">
        <f t="shared" si="16"/>
        <v>#N/A</v>
      </c>
      <c r="AC33" s="1809" t="e">
        <f t="shared" si="17"/>
        <v>#N/A</v>
      </c>
    </row>
    <row r="34" spans="1:29" ht="15">
      <c r="A34" s="471"/>
      <c r="B34" s="421" t="s">
        <v>2562</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64"/>
      <c r="Q34" s="1808" t="str">
        <f t="shared" si="11"/>
        <v>建筑结构</v>
      </c>
      <c r="R34" s="772" t="s">
        <v>21</v>
      </c>
      <c r="S34" s="773">
        <f t="shared" si="12"/>
        <v>100</v>
      </c>
      <c r="T34" s="772" t="s">
        <v>21</v>
      </c>
      <c r="U34" s="773">
        <f t="shared" si="13"/>
        <v>100</v>
      </c>
      <c r="V34" s="772" t="s">
        <v>21</v>
      </c>
      <c r="W34" s="773">
        <f t="shared" si="14"/>
        <v>100</v>
      </c>
      <c r="X34" s="1811"/>
      <c r="Y34" s="3266"/>
      <c r="Z34" s="1812" t="str">
        <f t="shared" si="18"/>
        <v>建筑结构</v>
      </c>
      <c r="AA34" s="1809">
        <f t="shared" si="15"/>
        <v>1</v>
      </c>
      <c r="AB34" s="1809">
        <f t="shared" si="16"/>
        <v>1</v>
      </c>
      <c r="AC34" s="1809">
        <f t="shared" si="17"/>
        <v>1</v>
      </c>
    </row>
    <row r="35" spans="1:29" ht="15">
      <c r="A35" s="471"/>
      <c r="B35" s="421" t="s">
        <v>2563</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64"/>
      <c r="Q35" s="1808" t="str">
        <f t="shared" si="11"/>
        <v>建筑品质</v>
      </c>
      <c r="R35" s="772" t="s">
        <v>21</v>
      </c>
      <c r="S35" s="773">
        <f t="shared" si="12"/>
        <v>100</v>
      </c>
      <c r="T35" s="772" t="s">
        <v>21</v>
      </c>
      <c r="U35" s="773">
        <f t="shared" si="13"/>
        <v>100</v>
      </c>
      <c r="V35" s="772" t="s">
        <v>21</v>
      </c>
      <c r="W35" s="773">
        <f t="shared" si="14"/>
        <v>100</v>
      </c>
      <c r="X35" s="1811"/>
      <c r="Y35" s="3266"/>
      <c r="Z35" s="1812" t="str">
        <f t="shared" si="18"/>
        <v>建筑品质</v>
      </c>
      <c r="AA35" s="1809">
        <f t="shared" si="15"/>
        <v>1</v>
      </c>
      <c r="AB35" s="1809">
        <f t="shared" si="16"/>
        <v>1</v>
      </c>
      <c r="AC35" s="1809">
        <f t="shared" si="17"/>
        <v>1</v>
      </c>
    </row>
    <row r="36" spans="1:29" ht="15">
      <c r="A36" s="471"/>
      <c r="B36" s="421" t="s">
        <v>2564</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64"/>
      <c r="Q36" s="1808" t="str">
        <f t="shared" si="11"/>
        <v>公共部分装修</v>
      </c>
      <c r="R36" s="772" t="s">
        <v>21</v>
      </c>
      <c r="S36" s="773">
        <f t="shared" si="12"/>
        <v>100</v>
      </c>
      <c r="T36" s="772" t="s">
        <v>21</v>
      </c>
      <c r="U36" s="773">
        <f t="shared" si="13"/>
        <v>100</v>
      </c>
      <c r="V36" s="772" t="s">
        <v>21</v>
      </c>
      <c r="W36" s="773">
        <f t="shared" si="14"/>
        <v>100</v>
      </c>
      <c r="X36" s="1811"/>
      <c r="Y36" s="3266"/>
      <c r="Z36" s="1812" t="str">
        <f t="shared" si="18"/>
        <v>公共部分装修</v>
      </c>
      <c r="AA36" s="1809">
        <f t="shared" si="15"/>
        <v>1</v>
      </c>
      <c r="AB36" s="1809">
        <f t="shared" si="16"/>
        <v>1</v>
      </c>
      <c r="AC36" s="1809">
        <f t="shared" si="17"/>
        <v>1</v>
      </c>
    </row>
    <row r="37" spans="1:29" s="117" customFormat="1" ht="15">
      <c r="A37" s="472"/>
      <c r="B37" s="421"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64"/>
      <c r="Q37" s="1793" t="str">
        <f t="shared" si="11"/>
        <v>成新度</v>
      </c>
      <c r="R37" s="768" t="s">
        <v>21</v>
      </c>
      <c r="S37" s="769" t="e">
        <f t="shared" si="12"/>
        <v>#N/A</v>
      </c>
      <c r="T37" s="768" t="s">
        <v>21</v>
      </c>
      <c r="U37" s="769" t="e">
        <f t="shared" si="13"/>
        <v>#N/A</v>
      </c>
      <c r="V37" s="768" t="s">
        <v>21</v>
      </c>
      <c r="W37" s="769" t="e">
        <f t="shared" si="14"/>
        <v>#N/A</v>
      </c>
      <c r="X37" s="770"/>
      <c r="Y37" s="3266"/>
      <c r="Z37" s="55" t="str">
        <f t="shared" si="18"/>
        <v>成新度</v>
      </c>
      <c r="AA37" s="771" t="e">
        <f t="shared" si="15"/>
        <v>#N/A</v>
      </c>
      <c r="AB37" s="771" t="e">
        <f t="shared" si="16"/>
        <v>#N/A</v>
      </c>
      <c r="AC37" s="771" t="e">
        <f t="shared" si="17"/>
        <v>#N/A</v>
      </c>
    </row>
    <row r="38" spans="1:29" ht="15">
      <c r="A38" s="471"/>
      <c r="B38" s="421" t="s">
        <v>2566</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64" t="s">
        <v>2560</v>
      </c>
      <c r="Q38" s="1808" t="str">
        <f t="shared" si="11"/>
        <v>物业管理</v>
      </c>
      <c r="R38" s="772" t="s">
        <v>21</v>
      </c>
      <c r="S38" s="773">
        <f t="shared" si="12"/>
        <v>100</v>
      </c>
      <c r="T38" s="772" t="s">
        <v>21</v>
      </c>
      <c r="U38" s="773">
        <f t="shared" si="13"/>
        <v>100</v>
      </c>
      <c r="V38" s="772" t="s">
        <v>21</v>
      </c>
      <c r="W38" s="773">
        <f t="shared" si="14"/>
        <v>100</v>
      </c>
      <c r="X38" s="1811"/>
      <c r="Y38" s="3266" t="s">
        <v>2560</v>
      </c>
      <c r="Z38" s="1812" t="str">
        <f t="shared" si="18"/>
        <v>物业管理</v>
      </c>
      <c r="AA38" s="1809">
        <f t="shared" si="15"/>
        <v>1</v>
      </c>
      <c r="AB38" s="1809">
        <f t="shared" si="16"/>
        <v>1</v>
      </c>
      <c r="AC38" s="1809">
        <f t="shared" si="17"/>
        <v>1</v>
      </c>
    </row>
    <row r="39" spans="1:29" ht="15">
      <c r="A39" s="471"/>
      <c r="B39" s="421" t="s">
        <v>2567</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64"/>
      <c r="Q39" s="1808" t="str">
        <f t="shared" si="11"/>
        <v>市政基础设施</v>
      </c>
      <c r="R39" s="772" t="s">
        <v>21</v>
      </c>
      <c r="S39" s="773">
        <f t="shared" si="12"/>
        <v>100</v>
      </c>
      <c r="T39" s="772" t="s">
        <v>21</v>
      </c>
      <c r="U39" s="773">
        <f t="shared" si="13"/>
        <v>100</v>
      </c>
      <c r="V39" s="772" t="s">
        <v>21</v>
      </c>
      <c r="W39" s="773">
        <f t="shared" si="14"/>
        <v>100</v>
      </c>
      <c r="X39" s="1811"/>
      <c r="Y39" s="3266"/>
      <c r="Z39" s="1812" t="str">
        <f t="shared" si="18"/>
        <v>市政基础设施</v>
      </c>
      <c r="AA39" s="1809">
        <f t="shared" si="15"/>
        <v>1</v>
      </c>
      <c r="AB39" s="1809">
        <f t="shared" si="16"/>
        <v>1</v>
      </c>
      <c r="AC39" s="1809">
        <f t="shared" si="17"/>
        <v>1</v>
      </c>
    </row>
    <row r="40" spans="1:29" ht="15">
      <c r="A40" s="471"/>
      <c r="B40" s="421" t="s">
        <v>2568</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64"/>
      <c r="Q40" s="1808" t="str">
        <f t="shared" si="11"/>
        <v>房型</v>
      </c>
      <c r="R40" s="772" t="s">
        <v>21</v>
      </c>
      <c r="S40" s="773">
        <f t="shared" si="12"/>
        <v>100</v>
      </c>
      <c r="T40" s="772" t="s">
        <v>21</v>
      </c>
      <c r="U40" s="773">
        <f t="shared" si="13"/>
        <v>100</v>
      </c>
      <c r="V40" s="772" t="s">
        <v>21</v>
      </c>
      <c r="W40" s="773">
        <f t="shared" si="14"/>
        <v>100</v>
      </c>
      <c r="X40" s="1811"/>
      <c r="Y40" s="3266"/>
      <c r="Z40" s="1812" t="str">
        <f t="shared" si="18"/>
        <v>房型</v>
      </c>
      <c r="AA40" s="1809">
        <f t="shared" si="15"/>
        <v>1</v>
      </c>
      <c r="AB40" s="1809">
        <f t="shared" si="16"/>
        <v>1</v>
      </c>
      <c r="AC40" s="1809">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64"/>
      <c r="Q41" s="774" t="str">
        <f t="shared" si="11"/>
        <v>单套/主力户型建筑面积</v>
      </c>
      <c r="R41" s="775" t="s">
        <v>21</v>
      </c>
      <c r="S41" s="776">
        <f t="shared" si="12"/>
        <v>100</v>
      </c>
      <c r="T41" s="775" t="s">
        <v>21</v>
      </c>
      <c r="U41" s="776">
        <f t="shared" si="13"/>
        <v>100</v>
      </c>
      <c r="V41" s="775" t="s">
        <v>21</v>
      </c>
      <c r="W41" s="776">
        <f t="shared" si="14"/>
        <v>100</v>
      </c>
      <c r="X41" s="777"/>
      <c r="Y41" s="3266"/>
      <c r="Z41" s="778" t="str">
        <f t="shared" si="18"/>
        <v>单套/主力户型建筑面积</v>
      </c>
      <c r="AA41" s="1809">
        <f t="shared" si="15"/>
        <v>1</v>
      </c>
      <c r="AB41" s="1809">
        <f t="shared" si="16"/>
        <v>1</v>
      </c>
      <c r="AC41" s="1809">
        <f t="shared" si="17"/>
        <v>1</v>
      </c>
    </row>
    <row r="42" spans="1:29" ht="15">
      <c r="A42" s="471"/>
      <c r="B42" s="421" t="s">
        <v>2570</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64"/>
      <c r="Q42" s="1808" t="str">
        <f t="shared" si="11"/>
        <v>内部装修</v>
      </c>
      <c r="R42" s="772" t="s">
        <v>21</v>
      </c>
      <c r="S42" s="773">
        <f t="shared" si="12"/>
        <v>100</v>
      </c>
      <c r="T42" s="772" t="s">
        <v>21</v>
      </c>
      <c r="U42" s="773">
        <f t="shared" si="13"/>
        <v>100</v>
      </c>
      <c r="V42" s="772" t="s">
        <v>21</v>
      </c>
      <c r="W42" s="773">
        <f t="shared" si="14"/>
        <v>100</v>
      </c>
      <c r="X42" s="1811"/>
      <c r="Y42" s="3266"/>
      <c r="Z42" s="1812" t="str">
        <f t="shared" si="18"/>
        <v>内部装修</v>
      </c>
      <c r="AA42" s="1809">
        <f t="shared" si="15"/>
        <v>1</v>
      </c>
      <c r="AB42" s="1809">
        <f t="shared" si="16"/>
        <v>1</v>
      </c>
      <c r="AC42" s="1809">
        <f t="shared" si="17"/>
        <v>1</v>
      </c>
    </row>
    <row r="43" spans="1:29" ht="15">
      <c r="A43" s="471"/>
      <c r="B43" s="421" t="s">
        <v>2571</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64"/>
      <c r="Q43" s="1808" t="str">
        <f t="shared" si="11"/>
        <v>内部装修维护情况</v>
      </c>
      <c r="R43" s="772" t="s">
        <v>21</v>
      </c>
      <c r="S43" s="773">
        <f t="shared" si="12"/>
        <v>100</v>
      </c>
      <c r="T43" s="772" t="s">
        <v>21</v>
      </c>
      <c r="U43" s="773">
        <f t="shared" si="13"/>
        <v>100</v>
      </c>
      <c r="V43" s="772" t="s">
        <v>21</v>
      </c>
      <c r="W43" s="773">
        <f t="shared" si="14"/>
        <v>100</v>
      </c>
      <c r="X43" s="1811"/>
      <c r="Y43" s="3266"/>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64"/>
      <c r="Q44" s="1793">
        <f t="shared" si="11"/>
        <v>111</v>
      </c>
      <c r="R44" s="768" t="s">
        <v>21</v>
      </c>
      <c r="S44" s="769">
        <f t="shared" si="12"/>
        <v>100</v>
      </c>
      <c r="T44" s="768" t="s">
        <v>21</v>
      </c>
      <c r="U44" s="769">
        <f t="shared" si="13"/>
        <v>100</v>
      </c>
      <c r="V44" s="768" t="s">
        <v>21</v>
      </c>
      <c r="W44" s="769">
        <f t="shared" si="14"/>
        <v>100</v>
      </c>
      <c r="X44" s="770"/>
      <c r="Y44" s="3266"/>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64"/>
      <c r="Q45" s="1808">
        <f t="shared" si="11"/>
        <v>111</v>
      </c>
      <c r="R45" s="772" t="s">
        <v>21</v>
      </c>
      <c r="S45" s="773">
        <f t="shared" si="12"/>
        <v>100</v>
      </c>
      <c r="T45" s="772" t="s">
        <v>21</v>
      </c>
      <c r="U45" s="773">
        <f t="shared" si="13"/>
        <v>100</v>
      </c>
      <c r="V45" s="772" t="s">
        <v>21</v>
      </c>
      <c r="W45" s="773">
        <f t="shared" si="14"/>
        <v>100</v>
      </c>
      <c r="X45" s="1811"/>
      <c r="Y45" s="3266"/>
      <c r="Z45" s="1812">
        <f t="shared" si="18"/>
        <v>111</v>
      </c>
      <c r="AA45" s="1809">
        <f t="shared" si="15"/>
        <v>1</v>
      </c>
      <c r="AB45" s="1809">
        <f t="shared" si="16"/>
        <v>1</v>
      </c>
      <c r="AC45" s="1809">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65"/>
      <c r="Q46" s="1808">
        <f t="shared" si="11"/>
        <v>111</v>
      </c>
      <c r="R46" s="772" t="s">
        <v>20</v>
      </c>
      <c r="S46" s="773">
        <f t="shared" si="12"/>
        <v>100</v>
      </c>
      <c r="T46" s="772" t="s">
        <v>20</v>
      </c>
      <c r="U46" s="773">
        <f t="shared" si="13"/>
        <v>100</v>
      </c>
      <c r="V46" s="772" t="s">
        <v>20</v>
      </c>
      <c r="W46" s="773">
        <f t="shared" si="14"/>
        <v>100</v>
      </c>
      <c r="X46" s="1811"/>
      <c r="Y46" s="3267"/>
      <c r="Z46" s="1812">
        <f t="shared" si="18"/>
        <v>111</v>
      </c>
      <c r="AA46" s="1809">
        <f t="shared" si="15"/>
        <v>1</v>
      </c>
      <c r="AB46" s="1809">
        <f t="shared" si="16"/>
        <v>1</v>
      </c>
      <c r="AC46" s="1809">
        <f t="shared" si="17"/>
        <v>1</v>
      </c>
    </row>
    <row r="47" spans="1:29" ht="15">
      <c r="A47" s="478" t="s">
        <v>2572</v>
      </c>
      <c r="B47" s="479"/>
      <c r="C47" s="1405" t="s">
        <v>19</v>
      </c>
      <c r="D47" s="1406"/>
      <c r="E47" s="1407"/>
      <c r="F47" s="1408"/>
      <c r="G47" s="1409"/>
      <c r="H47" s="1410"/>
      <c r="I47" s="1407"/>
      <c r="J47" s="1410"/>
      <c r="K47" s="2617"/>
      <c r="L47" s="1141"/>
      <c r="M47" s="1142"/>
      <c r="N47" s="1129"/>
      <c r="O47" s="1142"/>
      <c r="P47" s="3259" t="str">
        <f>A47</f>
        <v>成交单价（元/平方米）</v>
      </c>
      <c r="Q47" s="3259"/>
      <c r="R47" s="3260">
        <f>E47</f>
        <v>0</v>
      </c>
      <c r="S47" s="3260"/>
      <c r="T47" s="3260">
        <f>G47</f>
        <v>0</v>
      </c>
      <c r="U47" s="3260"/>
      <c r="V47" s="3260">
        <f>I47</f>
        <v>0</v>
      </c>
      <c r="W47" s="3260"/>
      <c r="X47" s="757"/>
      <c r="Y47" s="779"/>
      <c r="Z47" s="757"/>
      <c r="AA47" s="757"/>
      <c r="AB47" s="757"/>
      <c r="AC47" s="757"/>
    </row>
    <row r="48" spans="1:29" ht="15.75" thickBot="1">
      <c r="A48" s="485" t="s">
        <v>2573</v>
      </c>
      <c r="B48" s="486"/>
      <c r="C48" s="1411" t="e">
        <f>R49</f>
        <v>#DIV/0!</v>
      </c>
      <c r="D48" s="1412"/>
      <c r="E48" s="1413" t="e">
        <f>R48</f>
        <v>#DIV/0!</v>
      </c>
      <c r="F48" s="1413"/>
      <c r="G48" s="1411" t="e">
        <f>T48</f>
        <v>#DIV/0!</v>
      </c>
      <c r="H48" s="1412"/>
      <c r="I48" s="1413" t="e">
        <f>V48</f>
        <v>#DIV/0!</v>
      </c>
      <c r="J48" s="1412"/>
      <c r="K48" s="2618"/>
      <c r="L48" s="1141"/>
      <c r="M48" s="1142"/>
      <c r="N48" s="1142"/>
      <c r="O48" s="1142"/>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7"/>
      <c r="Y48" s="757"/>
      <c r="Z48" s="757"/>
      <c r="AA48" s="757"/>
      <c r="AB48" s="757"/>
      <c r="AC48" s="757"/>
    </row>
    <row r="49" spans="1:29" ht="15.75" thickBot="1">
      <c r="A49" s="491" t="s">
        <v>2574</v>
      </c>
      <c r="B49" s="492"/>
      <c r="C49" s="1414" t="e">
        <f>R49</f>
        <v>#DIV/0!</v>
      </c>
      <c r="D49" s="1415"/>
      <c r="E49" s="1415"/>
      <c r="F49" s="1415"/>
      <c r="G49" s="1415"/>
      <c r="H49" s="1415"/>
      <c r="I49" s="1415"/>
      <c r="J49" s="1415"/>
      <c r="K49" s="2619"/>
      <c r="L49" s="1141"/>
      <c r="M49" s="1142"/>
      <c r="N49" s="1142"/>
      <c r="O49" s="1142"/>
      <c r="P49" s="3256" t="str">
        <f>A49</f>
        <v>估价对象XX用房的比较价值（楼面单价，元/平方米）</v>
      </c>
      <c r="Q49" s="3257"/>
      <c r="R49" s="3258" t="e">
        <f>IF(F1="售价",ROUND(AVERAGE(R48:V48),0),ROUND(AVERAGE(R48:V48),1))</f>
        <v>#DIV/0!</v>
      </c>
      <c r="S49" s="3258"/>
      <c r="T49" s="3258"/>
      <c r="U49" s="3258"/>
      <c r="V49" s="3258"/>
      <c r="W49" s="325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2578</v>
      </c>
      <c r="B57" s="757"/>
      <c r="C57" s="762"/>
      <c r="D57" s="762"/>
      <c r="E57" s="762"/>
      <c r="F57" s="763"/>
      <c r="G57" s="763"/>
      <c r="H57" s="762"/>
      <c r="I57" s="762"/>
      <c r="J57" s="762"/>
      <c r="K57" s="1158"/>
      <c r="L57" s="1159"/>
      <c r="M57" s="1157"/>
      <c r="N57" s="1157"/>
      <c r="O57" s="1157"/>
      <c r="P57" s="2622"/>
      <c r="Q57" s="503"/>
    </row>
    <row r="58" spans="1:29" s="507" customFormat="1" ht="15">
      <c r="A58" s="504" t="s">
        <v>2579</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3"/>
      <c r="C59" s="1571">
        <v>100</v>
      </c>
      <c r="D59" s="510"/>
      <c r="E59" s="511"/>
      <c r="F59" s="511"/>
      <c r="G59" s="511"/>
      <c r="H59" s="511"/>
      <c r="I59" s="511"/>
      <c r="J59" s="511"/>
      <c r="K59" s="511"/>
      <c r="L59" s="511"/>
      <c r="M59" s="512"/>
      <c r="N59" s="511"/>
      <c r="O59" s="512"/>
      <c r="P59" s="2624"/>
    </row>
    <row r="60" spans="1:29" s="117" customFormat="1" ht="15.75" thickBot="1">
      <c r="A60" s="514" t="s">
        <v>2580</v>
      </c>
      <c r="B60" s="515"/>
      <c r="C60" s="516"/>
      <c r="D60" s="517"/>
      <c r="E60" s="517"/>
      <c r="F60" s="517"/>
      <c r="G60" s="517"/>
      <c r="H60" s="517"/>
      <c r="I60" s="517"/>
      <c r="J60" s="517"/>
      <c r="K60" s="517"/>
      <c r="L60" s="517"/>
      <c r="M60" s="518"/>
      <c r="N60" s="517"/>
      <c r="O60" s="518"/>
      <c r="P60" s="2624"/>
      <c r="Q60" s="503"/>
    </row>
    <row r="61" spans="1:29" s="117" customFormat="1" ht="15">
      <c r="A61" s="520" t="s">
        <v>2581</v>
      </c>
      <c r="B61" s="509"/>
      <c r="C61" s="521" t="s">
        <v>2582</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2583</v>
      </c>
      <c r="B63" s="527" t="s">
        <v>2549</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2094</v>
      </c>
      <c r="C82" s="538" t="s">
        <v>2599</v>
      </c>
      <c r="D82" s="538" t="s">
        <v>2600</v>
      </c>
      <c r="E82" s="538" t="s">
        <v>2601</v>
      </c>
      <c r="F82" s="538" t="s">
        <v>2602</v>
      </c>
      <c r="G82" s="538" t="s">
        <v>2603</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2605</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7" customFormat="1" ht="15.75" thickTop="1">
      <c r="A88" s="578"/>
      <c r="B88" s="537" t="s">
        <v>2606</v>
      </c>
      <c r="C88" s="553"/>
      <c r="D88" s="553"/>
      <c r="E88" s="553"/>
      <c r="F88" s="2631"/>
      <c r="G88" s="553"/>
      <c r="H88" s="553"/>
      <c r="I88" s="553"/>
      <c r="J88" s="553"/>
      <c r="K88" s="553"/>
      <c r="L88" s="553"/>
      <c r="M88" s="580"/>
      <c r="N88" s="1149"/>
      <c r="O88" s="1149"/>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2558</v>
      </c>
      <c r="B100" s="527" t="s">
        <v>2607</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7"/>
      <c r="Q104" s="558"/>
    </row>
    <row r="105" spans="1:17" ht="15" thickTop="1">
      <c r="A105" s="598"/>
      <c r="B105" s="537" t="s">
        <v>2609</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2610</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2611</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2612</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2613</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2614</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2569</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2615</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5" t="s">
        <v>2620</v>
      </c>
      <c r="D138" s="145" t="s">
        <v>2621</v>
      </c>
      <c r="E138" s="2641" t="s">
        <v>2622</v>
      </c>
      <c r="F138" s="2642" t="s">
        <v>2623</v>
      </c>
      <c r="G138" s="145" t="s">
        <v>2621</v>
      </c>
      <c r="H138" s="146" t="s">
        <v>2622</v>
      </c>
      <c r="I138" s="2643"/>
      <c r="J138" s="145" t="s">
        <v>2624</v>
      </c>
      <c r="K138" s="146" t="s">
        <v>2625</v>
      </c>
    </row>
    <row r="139" spans="1:17" ht="15">
      <c r="B139" s="1082">
        <v>6</v>
      </c>
      <c r="C139" s="1083">
        <v>96</v>
      </c>
      <c r="D139" s="2644" t="s">
        <v>2626</v>
      </c>
      <c r="E139" s="1084">
        <v>100</v>
      </c>
      <c r="F139" s="1085">
        <v>102.5</v>
      </c>
      <c r="G139" s="2644" t="s">
        <v>2626</v>
      </c>
      <c r="H139" s="1086">
        <v>105</v>
      </c>
      <c r="I139" s="2645" t="s">
        <v>2627</v>
      </c>
      <c r="J139" s="1083">
        <v>20</v>
      </c>
      <c r="K139" s="1087">
        <f>C145/(J139-2)</f>
        <v>4.0555555555555553E-3</v>
      </c>
    </row>
    <row r="140" spans="1:17" ht="15">
      <c r="B140" s="1088">
        <v>5</v>
      </c>
      <c r="C140" s="1089">
        <v>100</v>
      </c>
      <c r="D140" s="1089"/>
      <c r="E140" s="1090"/>
      <c r="F140" s="1091">
        <v>102</v>
      </c>
      <c r="G140" s="1089"/>
      <c r="H140" s="1092"/>
      <c r="I140" s="2646" t="s">
        <v>2628</v>
      </c>
      <c r="J140" s="314">
        <f>ROUNDUP((J139-1)/2,0)</f>
        <v>10</v>
      </c>
      <c r="K140" s="1093">
        <v>100</v>
      </c>
    </row>
    <row r="141" spans="1:17" ht="15">
      <c r="B141" s="1088">
        <v>4</v>
      </c>
      <c r="C141" s="1089">
        <v>102</v>
      </c>
      <c r="D141" s="1089"/>
      <c r="E141" s="1090"/>
      <c r="F141" s="1091">
        <v>101.5</v>
      </c>
      <c r="G141" s="1089"/>
      <c r="H141" s="1092"/>
      <c r="I141" s="2646" t="s">
        <v>2629</v>
      </c>
      <c r="J141" s="314">
        <v>1</v>
      </c>
      <c r="K141" s="1094">
        <f>ROUND(100+(J141-J140)*K139*100,1)</f>
        <v>96.4</v>
      </c>
    </row>
    <row r="142" spans="1:17" ht="15">
      <c r="B142" s="1088">
        <v>3</v>
      </c>
      <c r="C142" s="1089">
        <v>103</v>
      </c>
      <c r="D142" s="1089"/>
      <c r="E142" s="1090"/>
      <c r="F142" s="1091">
        <v>101</v>
      </c>
      <c r="G142" s="1089"/>
      <c r="H142" s="1092"/>
      <c r="I142" s="2646" t="s">
        <v>2630</v>
      </c>
      <c r="J142" s="314">
        <f>J139</f>
        <v>20</v>
      </c>
      <c r="K142" s="1095">
        <v>95</v>
      </c>
    </row>
    <row r="143" spans="1:17" ht="15">
      <c r="B143" s="1088">
        <v>2</v>
      </c>
      <c r="C143" s="1089">
        <v>100</v>
      </c>
      <c r="D143" s="1089"/>
      <c r="E143" s="1090"/>
      <c r="F143" s="1091">
        <v>100.5</v>
      </c>
      <c r="G143" s="1089"/>
      <c r="H143" s="1092"/>
      <c r="I143" s="2646" t="s">
        <v>2631</v>
      </c>
      <c r="J143" s="1089">
        <v>15</v>
      </c>
      <c r="K143" s="1094">
        <f>ROUND(100+(J143-J140)*K139*100,1)</f>
        <v>102</v>
      </c>
    </row>
    <row r="144" spans="1:17" ht="15">
      <c r="B144" s="1088">
        <v>1</v>
      </c>
      <c r="C144" s="1089">
        <v>98</v>
      </c>
      <c r="D144" s="2647" t="s">
        <v>2632</v>
      </c>
      <c r="E144" s="1090">
        <v>102</v>
      </c>
      <c r="F144" s="1096">
        <v>100</v>
      </c>
      <c r="G144" s="2647" t="s">
        <v>2632</v>
      </c>
      <c r="H144" s="1092">
        <v>105</v>
      </c>
      <c r="I144" s="2646" t="s">
        <v>2631</v>
      </c>
      <c r="J144" s="1089">
        <v>18</v>
      </c>
      <c r="K144" s="1094">
        <f>ROUND(100+(J144-J140)*K139*100,1)</f>
        <v>103.2</v>
      </c>
    </row>
    <row r="145" spans="2:11" ht="15.75" thickBot="1">
      <c r="B145" s="2648" t="s">
        <v>2633</v>
      </c>
      <c r="C145" s="1097">
        <f>ROUND(MAX(C139:C144)/MIN(C139:C144)-1,3)</f>
        <v>7.2999999999999995E-2</v>
      </c>
      <c r="D145" s="1098"/>
      <c r="E145" s="1098"/>
      <c r="F145" s="2649" t="s">
        <v>2634</v>
      </c>
      <c r="G145" s="2650"/>
      <c r="H145" s="2651"/>
      <c r="I145" s="2652" t="s">
        <v>2631</v>
      </c>
      <c r="J145" s="1099">
        <v>8</v>
      </c>
      <c r="K145" s="1100">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8" t="s">
        <v>2637</v>
      </c>
      <c r="C1" s="1632" t="s">
        <v>2525</v>
      </c>
      <c r="D1" s="1619"/>
      <c r="E1" s="2653"/>
      <c r="F1" s="2580"/>
      <c r="G1" s="1629" t="s">
        <v>2638</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2322</v>
      </c>
      <c r="B2" s="1416" t="e">
        <f ca="1">IF(C2="——",ROUND(C49*D3/10000,0),ROUND(C49*D3/10000,0)-D2)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2324</v>
      </c>
      <c r="B3" s="608" t="e">
        <f ca="1">IF(C2="——",C49,ROUND(B2*10000/D3,0))</f>
        <v>#DIV/0!</v>
      </c>
      <c r="C3" s="399" t="s">
        <v>2639</v>
      </c>
      <c r="D3" s="398">
        <f>IF(D1="",'数据-汇总表'!E3,SUMIF('数据-汇总表'!$C19:$C33,D1,'数据-汇总表'!$E19:$E33))</f>
        <v>68327.850000000006</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2640</v>
      </c>
      <c r="B4" s="401"/>
      <c r="C4" s="3242" t="s">
        <v>2641</v>
      </c>
      <c r="D4" s="3243"/>
      <c r="E4" s="3244" t="s">
        <v>2642</v>
      </c>
      <c r="F4" s="3245"/>
      <c r="G4" s="3242" t="s">
        <v>2643</v>
      </c>
      <c r="H4" s="3243"/>
      <c r="I4" s="3242" t="s">
        <v>2644</v>
      </c>
      <c r="J4" s="3243"/>
      <c r="K4" s="609" t="s">
        <v>2645</v>
      </c>
      <c r="L4" s="1128"/>
      <c r="M4" s="1129"/>
      <c r="N4" s="1129"/>
      <c r="O4" s="1129"/>
      <c r="P4" s="3246" t="s">
        <v>2646</v>
      </c>
      <c r="Q4" s="3247"/>
      <c r="R4" s="3229" t="s">
        <v>2642</v>
      </c>
      <c r="S4" s="3230"/>
      <c r="T4" s="3229" t="s">
        <v>2643</v>
      </c>
      <c r="U4" s="3230"/>
      <c r="V4" s="3254" t="s">
        <v>2644</v>
      </c>
      <c r="W4" s="3254"/>
      <c r="X4" s="1811"/>
      <c r="Y4" s="3229" t="s">
        <v>2646</v>
      </c>
      <c r="Z4" s="3230"/>
      <c r="AA4" s="3224" t="s">
        <v>2642</v>
      </c>
      <c r="AB4" s="3254" t="s">
        <v>2643</v>
      </c>
      <c r="AC4" s="3224" t="s">
        <v>2644</v>
      </c>
    </row>
    <row r="5" spans="1:29" ht="15">
      <c r="A5" s="403"/>
      <c r="B5" s="404"/>
      <c r="C5" s="3235" t="s">
        <v>2537</v>
      </c>
      <c r="D5" s="3236"/>
      <c r="E5" s="3233" t="s">
        <v>2538</v>
      </c>
      <c r="F5" s="3234"/>
      <c r="G5" s="3235" t="s">
        <v>2539</v>
      </c>
      <c r="H5" s="3236"/>
      <c r="I5" s="3235" t="s">
        <v>2540</v>
      </c>
      <c r="J5" s="3236"/>
      <c r="K5" s="609"/>
      <c r="L5" s="1128"/>
      <c r="M5" s="1129"/>
      <c r="N5" s="1129"/>
      <c r="O5" s="1129"/>
      <c r="P5" s="3248"/>
      <c r="Q5" s="3249"/>
      <c r="R5" s="3231"/>
      <c r="S5" s="3232"/>
      <c r="T5" s="3231"/>
      <c r="U5" s="3232"/>
      <c r="V5" s="3254"/>
      <c r="W5" s="3254"/>
      <c r="X5" s="1811"/>
      <c r="Y5" s="3231"/>
      <c r="Z5" s="3232"/>
      <c r="AA5" s="3225"/>
      <c r="AB5" s="3254"/>
      <c r="AC5" s="3225"/>
    </row>
    <row r="6" spans="1:29" ht="15.75" thickBot="1">
      <c r="A6" s="405"/>
      <c r="B6" s="406"/>
      <c r="C6" s="3237" t="s">
        <v>2541</v>
      </c>
      <c r="D6" s="3238"/>
      <c r="E6" s="3239" t="s">
        <v>2541</v>
      </c>
      <c r="F6" s="3240"/>
      <c r="G6" s="3237" t="s">
        <v>2541</v>
      </c>
      <c r="H6" s="3238"/>
      <c r="I6" s="3237" t="s">
        <v>2541</v>
      </c>
      <c r="J6" s="3238"/>
      <c r="K6" s="609" t="s">
        <v>2542</v>
      </c>
      <c r="L6" s="1128"/>
      <c r="M6" s="1129"/>
      <c r="N6" s="1129"/>
      <c r="O6" s="1129"/>
      <c r="P6" s="3250"/>
      <c r="Q6" s="3251"/>
      <c r="R6" s="3231"/>
      <c r="S6" s="3232"/>
      <c r="T6" s="3252"/>
      <c r="U6" s="3253"/>
      <c r="V6" s="3254"/>
      <c r="W6" s="3254"/>
      <c r="X6" s="1811"/>
      <c r="Y6" s="3252"/>
      <c r="Z6" s="3253"/>
      <c r="AA6" s="3226"/>
      <c r="AB6" s="3254"/>
      <c r="AC6" s="3226"/>
    </row>
    <row r="7" spans="1:29" s="117" customFormat="1" ht="15.7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7" t="s">
        <v>2544</v>
      </c>
      <c r="Q7" s="3255"/>
      <c r="R7" s="768" t="s">
        <v>17</v>
      </c>
      <c r="S7" s="769">
        <f t="shared" ref="S7:S15" si="0">F7</f>
        <v>0</v>
      </c>
      <c r="T7" s="768" t="s">
        <v>17</v>
      </c>
      <c r="U7" s="769">
        <f t="shared" ref="U7:U15" si="1">H7</f>
        <v>0</v>
      </c>
      <c r="V7" s="768" t="s">
        <v>17</v>
      </c>
      <c r="W7" s="769">
        <f t="shared" ref="W7:W15" si="2">J7</f>
        <v>0</v>
      </c>
      <c r="X7" s="770"/>
      <c r="Y7" s="3227" t="s">
        <v>2544</v>
      </c>
      <c r="Z7" s="3228"/>
      <c r="AA7" s="771" t="e">
        <f>D7/F7</f>
        <v>#DIV/0!</v>
      </c>
      <c r="AB7" s="771" t="e">
        <f>D7/H7</f>
        <v>#DIV/0!</v>
      </c>
      <c r="AC7" s="771"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7" t="s">
        <v>2547</v>
      </c>
      <c r="Q8" s="3228"/>
      <c r="R8" s="768" t="s">
        <v>17</v>
      </c>
      <c r="S8" s="769">
        <f t="shared" si="0"/>
        <v>0</v>
      </c>
      <c r="T8" s="768" t="s">
        <v>17</v>
      </c>
      <c r="U8" s="769">
        <f t="shared" si="1"/>
        <v>0</v>
      </c>
      <c r="V8" s="768" t="s">
        <v>17</v>
      </c>
      <c r="W8" s="769">
        <f t="shared" si="2"/>
        <v>0</v>
      </c>
      <c r="X8" s="770"/>
      <c r="Y8" s="3227" t="s">
        <v>2547</v>
      </c>
      <c r="Z8" s="3228"/>
      <c r="AA8" s="771" t="e">
        <f t="shared" ref="AA8:AA46" si="3">D8/F8</f>
        <v>#DIV/0!</v>
      </c>
      <c r="AB8" s="771" t="e">
        <f t="shared" ref="AB8:AB46" si="4">D8/H8</f>
        <v>#DIV/0!</v>
      </c>
      <c r="AC8" s="771" t="e">
        <f t="shared" ref="AC8:AC46" si="5">D8/J8</f>
        <v>#DIV/0!</v>
      </c>
    </row>
    <row r="9" spans="1:29" s="117"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41" t="s">
        <v>2550</v>
      </c>
      <c r="Q9" s="1793" t="str">
        <f t="shared" ref="Q9:Q15" si="6">B9</f>
        <v>用途</v>
      </c>
      <c r="R9" s="768" t="s">
        <v>17</v>
      </c>
      <c r="S9" s="769">
        <f t="shared" si="0"/>
        <v>100</v>
      </c>
      <c r="T9" s="768" t="s">
        <v>17</v>
      </c>
      <c r="U9" s="769">
        <f t="shared" si="1"/>
        <v>100</v>
      </c>
      <c r="V9" s="768" t="s">
        <v>17</v>
      </c>
      <c r="W9" s="769">
        <f t="shared" si="2"/>
        <v>100</v>
      </c>
      <c r="X9" s="770"/>
      <c r="Y9" s="3074"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41"/>
      <c r="Q10" s="1793"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41"/>
      <c r="Q11" s="1793"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41"/>
      <c r="Q12" s="1793">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41"/>
      <c r="Q13" s="1793">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41"/>
      <c r="Q14" s="1793">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771">
        <f t="shared" si="5"/>
        <v>1</v>
      </c>
    </row>
    <row r="15" spans="1:29" ht="128.25">
      <c r="A15" s="439" t="s">
        <v>2554</v>
      </c>
      <c r="B15" s="69" t="s">
        <v>2648</v>
      </c>
      <c r="C15" s="2599"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68" t="s">
        <v>2555</v>
      </c>
      <c r="Q15" s="1808" t="str">
        <f t="shared" si="6"/>
        <v>商业繁华度</v>
      </c>
      <c r="R15" s="772" t="s">
        <v>17</v>
      </c>
      <c r="S15" s="773">
        <f t="shared" si="0"/>
        <v>100</v>
      </c>
      <c r="T15" s="772" t="s">
        <v>17</v>
      </c>
      <c r="U15" s="773">
        <f t="shared" si="1"/>
        <v>100</v>
      </c>
      <c r="V15" s="772" t="s">
        <v>17</v>
      </c>
      <c r="W15" s="773">
        <f t="shared" si="2"/>
        <v>100</v>
      </c>
      <c r="X15" s="1811"/>
      <c r="Y15" s="3261" t="s">
        <v>2555</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69"/>
      <c r="Q16" s="1808"/>
      <c r="R16" s="772"/>
      <c r="S16" s="773"/>
      <c r="T16" s="772"/>
      <c r="U16" s="773"/>
      <c r="V16" s="772"/>
      <c r="W16" s="773"/>
      <c r="X16" s="1811"/>
      <c r="Y16" s="3262"/>
      <c r="Z16" s="1812"/>
      <c r="AA16" s="1809">
        <v>1</v>
      </c>
      <c r="AB16" s="1809">
        <v>1</v>
      </c>
      <c r="AC16" s="1809">
        <v>1</v>
      </c>
    </row>
    <row r="17" spans="1:29" ht="128.25">
      <c r="A17" s="427"/>
      <c r="B17" s="450" t="s">
        <v>2093</v>
      </c>
      <c r="C17" s="2603"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69"/>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29"/>
      <c r="P18" s="3269"/>
      <c r="Q18" s="1808"/>
      <c r="R18" s="772"/>
      <c r="S18" s="773"/>
      <c r="T18" s="772"/>
      <c r="U18" s="773"/>
      <c r="V18" s="772"/>
      <c r="W18" s="773"/>
      <c r="X18" s="1811"/>
      <c r="Y18" s="3262"/>
      <c r="Z18" s="1812"/>
      <c r="AA18" s="1809">
        <v>1</v>
      </c>
      <c r="AB18" s="1809">
        <v>1</v>
      </c>
      <c r="AC18" s="1809">
        <v>1</v>
      </c>
    </row>
    <row r="19" spans="1:29" ht="199.5">
      <c r="A19" s="427"/>
      <c r="B19" s="450" t="s">
        <v>2649</v>
      </c>
      <c r="C19" s="2603"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69"/>
      <c r="Q19" s="1808" t="str">
        <f>B19</f>
        <v>公共配套设施</v>
      </c>
      <c r="R19" s="772" t="s">
        <v>17</v>
      </c>
      <c r="S19" s="773">
        <f>F19</f>
        <v>100</v>
      </c>
      <c r="T19" s="772" t="s">
        <v>17</v>
      </c>
      <c r="U19" s="773">
        <f>H19</f>
        <v>100</v>
      </c>
      <c r="V19" s="772" t="s">
        <v>17</v>
      </c>
      <c r="W19" s="773">
        <f>J19</f>
        <v>100</v>
      </c>
      <c r="X19" s="1811"/>
      <c r="Y19" s="3262"/>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29"/>
      <c r="P20" s="3269"/>
      <c r="Q20" s="1808"/>
      <c r="R20" s="772"/>
      <c r="S20" s="773"/>
      <c r="T20" s="772"/>
      <c r="U20" s="773"/>
      <c r="V20" s="772"/>
      <c r="W20" s="773"/>
      <c r="X20" s="1811"/>
      <c r="Y20" s="3262"/>
      <c r="Z20" s="1812"/>
      <c r="AA20" s="1809">
        <v>1</v>
      </c>
      <c r="AB20" s="1809">
        <v>1</v>
      </c>
      <c r="AC20" s="1809">
        <v>1</v>
      </c>
    </row>
    <row r="21" spans="1:29" ht="42.75">
      <c r="A21" s="427"/>
      <c r="B21" s="1382" t="s">
        <v>2650</v>
      </c>
      <c r="C21" s="2603"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69"/>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29"/>
      <c r="P22" s="3269"/>
      <c r="Q22" s="1808"/>
      <c r="R22" s="772"/>
      <c r="S22" s="773"/>
      <c r="T22" s="772"/>
      <c r="U22" s="773"/>
      <c r="V22" s="772"/>
      <c r="W22" s="773"/>
      <c r="X22" s="1811"/>
      <c r="Y22" s="3262"/>
      <c r="Z22" s="1812"/>
      <c r="AA22" s="1809">
        <v>1</v>
      </c>
      <c r="AB22" s="1809">
        <v>1</v>
      </c>
      <c r="AC22" s="1809">
        <v>1</v>
      </c>
    </row>
    <row r="23" spans="1:29" ht="85.5">
      <c r="A23" s="427"/>
      <c r="B23" s="450" t="s">
        <v>2098</v>
      </c>
      <c r="C23" s="2660"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69"/>
      <c r="Q23" s="1808" t="str">
        <f>B23</f>
        <v>自然及人文环境</v>
      </c>
      <c r="R23" s="772" t="s">
        <v>17</v>
      </c>
      <c r="S23" s="773">
        <f>F23</f>
        <v>100</v>
      </c>
      <c r="T23" s="772" t="s">
        <v>17</v>
      </c>
      <c r="U23" s="773">
        <f>H23</f>
        <v>100</v>
      </c>
      <c r="V23" s="772" t="s">
        <v>17</v>
      </c>
      <c r="W23" s="773">
        <f>J23</f>
        <v>100</v>
      </c>
      <c r="X23" s="1811"/>
      <c r="Y23" s="3262"/>
      <c r="Z23" s="1812" t="str">
        <f>Q23</f>
        <v>自然及人文环境</v>
      </c>
      <c r="AA23" s="1809">
        <f t="shared" si="3"/>
        <v>1</v>
      </c>
      <c r="AB23" s="1809">
        <f t="shared" si="4"/>
        <v>1</v>
      </c>
      <c r="AC23" s="1809">
        <f t="shared" si="5"/>
        <v>1</v>
      </c>
    </row>
    <row r="24" spans="1:29" ht="15">
      <c r="A24" s="427"/>
      <c r="B24" s="455"/>
      <c r="C24" s="446"/>
      <c r="D24" s="447"/>
      <c r="E24" s="2601"/>
      <c r="F24" s="448"/>
      <c r="G24" s="2600"/>
      <c r="H24" s="447"/>
      <c r="I24" s="2601"/>
      <c r="J24" s="447"/>
      <c r="K24" s="614"/>
      <c r="L24" s="1138"/>
      <c r="M24" s="1129"/>
      <c r="N24" s="1129"/>
      <c r="O24" s="1129"/>
      <c r="P24" s="3269"/>
      <c r="Q24" s="1808"/>
      <c r="R24" s="772"/>
      <c r="S24" s="773"/>
      <c r="T24" s="772"/>
      <c r="U24" s="773"/>
      <c r="V24" s="772"/>
      <c r="W24" s="773"/>
      <c r="X24" s="1811"/>
      <c r="Y24" s="3262"/>
      <c r="Z24" s="1812"/>
      <c r="AA24" s="1809">
        <v>1</v>
      </c>
      <c r="AB24" s="1809">
        <v>1</v>
      </c>
      <c r="AC24" s="1809">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69"/>
      <c r="Q25" s="1808" t="str">
        <f t="shared" ref="Q25:Q46" si="11">B25</f>
        <v>临街状况</v>
      </c>
      <c r="R25" s="772" t="s">
        <v>17</v>
      </c>
      <c r="S25" s="773">
        <f>F25</f>
        <v>100</v>
      </c>
      <c r="T25" s="772" t="s">
        <v>17</v>
      </c>
      <c r="U25" s="773">
        <f>H25</f>
        <v>100</v>
      </c>
      <c r="V25" s="772" t="s">
        <v>17</v>
      </c>
      <c r="W25" s="773">
        <f>J25</f>
        <v>100</v>
      </c>
      <c r="X25" s="1811"/>
      <c r="Y25" s="3262"/>
      <c r="Z25" s="1812" t="str">
        <f>Q25</f>
        <v>临街状况</v>
      </c>
      <c r="AA25" s="1809">
        <f t="shared" si="3"/>
        <v>1</v>
      </c>
      <c r="AB25" s="1809">
        <f t="shared" si="4"/>
        <v>1</v>
      </c>
      <c r="AC25" s="1809">
        <f t="shared" si="5"/>
        <v>1</v>
      </c>
    </row>
    <row r="26" spans="1:29" ht="15">
      <c r="A26" s="427"/>
      <c r="B26" s="1384" t="s">
        <v>2652</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69"/>
      <c r="Q26" s="1808" t="str">
        <f t="shared" si="11"/>
        <v>平面位置/可视性</v>
      </c>
      <c r="R26" s="772" t="s">
        <v>17</v>
      </c>
      <c r="S26" s="773">
        <f>F26</f>
        <v>100</v>
      </c>
      <c r="T26" s="772" t="s">
        <v>17</v>
      </c>
      <c r="U26" s="773">
        <f>H26</f>
        <v>100</v>
      </c>
      <c r="V26" s="772" t="s">
        <v>17</v>
      </c>
      <c r="W26" s="773">
        <f>J26</f>
        <v>100</v>
      </c>
      <c r="X26" s="1811"/>
      <c r="Y26" s="3262"/>
      <c r="Z26" s="1812" t="str">
        <f>Q26</f>
        <v>平面位置/可视性</v>
      </c>
      <c r="AA26" s="1809">
        <f t="shared" si="3"/>
        <v>1</v>
      </c>
      <c r="AB26" s="1809">
        <f t="shared" si="4"/>
        <v>1</v>
      </c>
      <c r="AC26" s="1809">
        <f t="shared" si="5"/>
        <v>1</v>
      </c>
    </row>
    <row r="27" spans="1:29" s="117" customFormat="1" ht="15">
      <c r="A27" s="430"/>
      <c r="B27" s="450" t="s">
        <v>2653</v>
      </c>
      <c r="C27" s="2661"/>
      <c r="D27" s="461">
        <v>100</v>
      </c>
      <c r="E27" s="2661"/>
      <c r="F27" s="463">
        <f>SUMIF(90:90,E27,91:91)-SUMIF(90:90,C27,91:91)+100</f>
        <v>100</v>
      </c>
      <c r="G27" s="2661"/>
      <c r="H27" s="461">
        <f>SUMIF(90:90,G27,91:91)-SUMIF(90:90,C27,91:91)+100</f>
        <v>100</v>
      </c>
      <c r="I27" s="2661"/>
      <c r="J27" s="461">
        <f>SUMIF(90:90,I27,91:91)-SUMIF(90:90,C27,91:91)+100</f>
        <v>100</v>
      </c>
      <c r="K27" s="611"/>
      <c r="L27" s="1130"/>
      <c r="M27" s="1131"/>
      <c r="N27" s="1131"/>
      <c r="O27" s="1131"/>
      <c r="P27" s="3269"/>
      <c r="Q27" s="1793" t="str">
        <f t="shared" si="11"/>
        <v>人流量</v>
      </c>
      <c r="R27" s="768" t="s">
        <v>17</v>
      </c>
      <c r="S27" s="769">
        <f>F27</f>
        <v>100</v>
      </c>
      <c r="T27" s="768" t="s">
        <v>17</v>
      </c>
      <c r="U27" s="769">
        <f>H27</f>
        <v>100</v>
      </c>
      <c r="V27" s="768" t="s">
        <v>17</v>
      </c>
      <c r="W27" s="769">
        <f>J27</f>
        <v>100</v>
      </c>
      <c r="X27" s="770"/>
      <c r="Y27" s="3262"/>
      <c r="Z27" s="55" t="str">
        <f>Q27</f>
        <v>人流量</v>
      </c>
      <c r="AA27" s="1809">
        <f>D27/F27</f>
        <v>1</v>
      </c>
      <c r="AB27" s="1809">
        <f>D27/H27</f>
        <v>1</v>
      </c>
      <c r="AC27" s="1809">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69"/>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62"/>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69"/>
      <c r="Q29" s="1808">
        <f t="shared" si="11"/>
        <v>111</v>
      </c>
      <c r="R29" s="772" t="s">
        <v>17</v>
      </c>
      <c r="S29" s="773">
        <f t="shared" si="12"/>
        <v>100</v>
      </c>
      <c r="T29" s="772" t="s">
        <v>17</v>
      </c>
      <c r="U29" s="773">
        <f t="shared" si="13"/>
        <v>100</v>
      </c>
      <c r="V29" s="772" t="s">
        <v>17</v>
      </c>
      <c r="W29" s="773">
        <f t="shared" si="14"/>
        <v>100</v>
      </c>
      <c r="X29" s="1811"/>
      <c r="Y29" s="3262"/>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69"/>
      <c r="Q30" s="1808">
        <f t="shared" si="11"/>
        <v>111</v>
      </c>
      <c r="R30" s="772" t="s">
        <v>17</v>
      </c>
      <c r="S30" s="773">
        <f t="shared" si="12"/>
        <v>100</v>
      </c>
      <c r="T30" s="772" t="s">
        <v>17</v>
      </c>
      <c r="U30" s="773">
        <f t="shared" si="13"/>
        <v>100</v>
      </c>
      <c r="V30" s="772" t="s">
        <v>17</v>
      </c>
      <c r="W30" s="773">
        <f t="shared" si="14"/>
        <v>100</v>
      </c>
      <c r="X30" s="1811"/>
      <c r="Y30" s="3262"/>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69"/>
      <c r="Q31" s="1808">
        <f t="shared" si="11"/>
        <v>111</v>
      </c>
      <c r="R31" s="772" t="s">
        <v>17</v>
      </c>
      <c r="S31" s="773">
        <f t="shared" si="12"/>
        <v>100</v>
      </c>
      <c r="T31" s="772" t="s">
        <v>17</v>
      </c>
      <c r="U31" s="773">
        <f t="shared" si="13"/>
        <v>100</v>
      </c>
      <c r="V31" s="772" t="s">
        <v>17</v>
      </c>
      <c r="W31" s="773">
        <f t="shared" si="14"/>
        <v>100</v>
      </c>
      <c r="X31" s="1811"/>
      <c r="Y31" s="3262"/>
      <c r="Z31" s="1812">
        <f t="shared" si="15"/>
        <v>111</v>
      </c>
      <c r="AA31" s="1809">
        <f t="shared" si="3"/>
        <v>1</v>
      </c>
      <c r="AB31" s="1809">
        <f t="shared" si="4"/>
        <v>1</v>
      </c>
      <c r="AC31" s="1809">
        <f t="shared" si="5"/>
        <v>1</v>
      </c>
    </row>
    <row r="32" spans="1:29" ht="15">
      <c r="A32" s="439" t="s">
        <v>2558</v>
      </c>
      <c r="B32" s="71" t="s">
        <v>2655</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8"/>
      <c r="M32" s="1129"/>
      <c r="N32" s="1129"/>
      <c r="O32" s="1129"/>
      <c r="P32" s="3263" t="s">
        <v>2560</v>
      </c>
      <c r="Q32" s="1808" t="str">
        <f t="shared" si="11"/>
        <v>商业类型</v>
      </c>
      <c r="R32" s="772" t="s">
        <v>17</v>
      </c>
      <c r="S32" s="773">
        <f t="shared" si="12"/>
        <v>100</v>
      </c>
      <c r="T32" s="772" t="s">
        <v>17</v>
      </c>
      <c r="U32" s="773">
        <f t="shared" si="13"/>
        <v>100</v>
      </c>
      <c r="V32" s="772" t="s">
        <v>17</v>
      </c>
      <c r="W32" s="773">
        <f t="shared" si="14"/>
        <v>100</v>
      </c>
      <c r="X32" s="1811"/>
      <c r="Y32" s="3266" t="s">
        <v>2560</v>
      </c>
      <c r="Z32" s="1812" t="str">
        <f t="shared" si="15"/>
        <v>商业类型</v>
      </c>
      <c r="AA32" s="1809">
        <f t="shared" si="3"/>
        <v>1</v>
      </c>
      <c r="AB32" s="1809">
        <f t="shared" si="4"/>
        <v>1</v>
      </c>
      <c r="AC32" s="1809">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64"/>
      <c r="Q33" s="774" t="str">
        <f t="shared" si="11"/>
        <v>项目建筑规模</v>
      </c>
      <c r="R33" s="775" t="s">
        <v>17</v>
      </c>
      <c r="S33" s="776" t="e">
        <f t="shared" si="12"/>
        <v>#N/A</v>
      </c>
      <c r="T33" s="775" t="s">
        <v>17</v>
      </c>
      <c r="U33" s="776" t="e">
        <f t="shared" si="13"/>
        <v>#N/A</v>
      </c>
      <c r="V33" s="775" t="s">
        <v>17</v>
      </c>
      <c r="W33" s="776" t="e">
        <f t="shared" si="14"/>
        <v>#N/A</v>
      </c>
      <c r="X33" s="777"/>
      <c r="Y33" s="3266"/>
      <c r="Z33" s="778" t="str">
        <f t="shared" si="15"/>
        <v>项目建筑规模</v>
      </c>
      <c r="AA33" s="1809" t="e">
        <f t="shared" si="3"/>
        <v>#N/A</v>
      </c>
      <c r="AB33" s="1809" t="e">
        <f t="shared" si="4"/>
        <v>#N/A</v>
      </c>
      <c r="AC33" s="1809" t="e">
        <f t="shared" si="5"/>
        <v>#N/A</v>
      </c>
    </row>
    <row r="34" spans="1:29" ht="15">
      <c r="A34" s="471"/>
      <c r="B34" s="421" t="s">
        <v>2562</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38"/>
      <c r="M34" s="1129"/>
      <c r="N34" s="1129"/>
      <c r="O34" s="1129"/>
      <c r="P34" s="3264"/>
      <c r="Q34" s="1808" t="str">
        <f t="shared" si="11"/>
        <v>建筑结构</v>
      </c>
      <c r="R34" s="772" t="s">
        <v>17</v>
      </c>
      <c r="S34" s="773">
        <f t="shared" si="12"/>
        <v>100</v>
      </c>
      <c r="T34" s="772" t="s">
        <v>17</v>
      </c>
      <c r="U34" s="773">
        <f t="shared" si="13"/>
        <v>100</v>
      </c>
      <c r="V34" s="772" t="s">
        <v>17</v>
      </c>
      <c r="W34" s="773">
        <f t="shared" si="14"/>
        <v>100</v>
      </c>
      <c r="X34" s="1811"/>
      <c r="Y34" s="3266"/>
      <c r="Z34" s="1812" t="str">
        <f t="shared" si="15"/>
        <v>建筑结构</v>
      </c>
      <c r="AA34" s="1809">
        <f t="shared" si="3"/>
        <v>1</v>
      </c>
      <c r="AB34" s="1809">
        <f t="shared" si="4"/>
        <v>1</v>
      </c>
      <c r="AC34" s="1809">
        <f t="shared" si="5"/>
        <v>1</v>
      </c>
    </row>
    <row r="35" spans="1:29" ht="15">
      <c r="A35" s="471"/>
      <c r="B35" s="421" t="s">
        <v>2656</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8"/>
      <c r="M35" s="1129"/>
      <c r="N35" s="1129"/>
      <c r="O35" s="1129"/>
      <c r="P35" s="3264"/>
      <c r="Q35" s="1808" t="str">
        <f t="shared" si="11"/>
        <v>公共部分装修</v>
      </c>
      <c r="R35" s="772" t="s">
        <v>17</v>
      </c>
      <c r="S35" s="773">
        <f t="shared" si="12"/>
        <v>100</v>
      </c>
      <c r="T35" s="772" t="s">
        <v>17</v>
      </c>
      <c r="U35" s="773">
        <f t="shared" si="13"/>
        <v>100</v>
      </c>
      <c r="V35" s="772" t="s">
        <v>17</v>
      </c>
      <c r="W35" s="773">
        <f t="shared" si="14"/>
        <v>100</v>
      </c>
      <c r="X35" s="1811"/>
      <c r="Y35" s="3266"/>
      <c r="Z35" s="1812" t="str">
        <f t="shared" si="15"/>
        <v>公共部分装修</v>
      </c>
      <c r="AA35" s="1809">
        <f t="shared" si="3"/>
        <v>1</v>
      </c>
      <c r="AB35" s="1809">
        <f t="shared" si="4"/>
        <v>1</v>
      </c>
      <c r="AC35" s="1809">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64"/>
      <c r="Q36" s="1808" t="str">
        <f t="shared" si="11"/>
        <v>成新度</v>
      </c>
      <c r="R36" s="772" t="s">
        <v>17</v>
      </c>
      <c r="S36" s="773" t="e">
        <f t="shared" si="12"/>
        <v>#N/A</v>
      </c>
      <c r="T36" s="772" t="s">
        <v>17</v>
      </c>
      <c r="U36" s="773" t="e">
        <f t="shared" si="13"/>
        <v>#N/A</v>
      </c>
      <c r="V36" s="772" t="s">
        <v>17</v>
      </c>
      <c r="W36" s="773" t="e">
        <f t="shared" si="14"/>
        <v>#N/A</v>
      </c>
      <c r="X36" s="1811"/>
      <c r="Y36" s="3266"/>
      <c r="Z36" s="1812" t="str">
        <f t="shared" si="15"/>
        <v>成新度</v>
      </c>
      <c r="AA36" s="1809" t="e">
        <f t="shared" si="3"/>
        <v>#N/A</v>
      </c>
      <c r="AB36" s="1809" t="e">
        <f t="shared" si="4"/>
        <v>#N/A</v>
      </c>
      <c r="AC36" s="1809" t="e">
        <f t="shared" si="5"/>
        <v>#N/A</v>
      </c>
    </row>
    <row r="37" spans="1:29" s="117" customFormat="1" ht="15">
      <c r="A37" s="472"/>
      <c r="B37" s="421" t="s">
        <v>2658</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0"/>
      <c r="M37" s="1131"/>
      <c r="N37" s="1131"/>
      <c r="O37" s="1131"/>
      <c r="P37" s="3264"/>
      <c r="Q37" s="1793" t="str">
        <f t="shared" si="11"/>
        <v>市政基础设施</v>
      </c>
      <c r="R37" s="768" t="s">
        <v>17</v>
      </c>
      <c r="S37" s="769">
        <f t="shared" si="12"/>
        <v>100</v>
      </c>
      <c r="T37" s="768" t="s">
        <v>17</v>
      </c>
      <c r="U37" s="769">
        <f t="shared" si="13"/>
        <v>100</v>
      </c>
      <c r="V37" s="768" t="s">
        <v>17</v>
      </c>
      <c r="W37" s="769">
        <f t="shared" si="14"/>
        <v>100</v>
      </c>
      <c r="X37" s="770"/>
      <c r="Y37" s="3266"/>
      <c r="Z37" s="55" t="str">
        <f t="shared" si="15"/>
        <v>市政基础设施</v>
      </c>
      <c r="AA37" s="771">
        <f t="shared" si="3"/>
        <v>1</v>
      </c>
      <c r="AB37" s="771">
        <f t="shared" si="4"/>
        <v>1</v>
      </c>
      <c r="AC37" s="771">
        <f t="shared" si="5"/>
        <v>1</v>
      </c>
    </row>
    <row r="38" spans="1:29" ht="15">
      <c r="A38" s="471"/>
      <c r="B38" s="421" t="s">
        <v>2659</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8"/>
      <c r="M38" s="1129"/>
      <c r="N38" s="1129"/>
      <c r="O38" s="1129"/>
      <c r="P38" s="3264" t="s">
        <v>2560</v>
      </c>
      <c r="Q38" s="1808" t="str">
        <f t="shared" si="11"/>
        <v>业态</v>
      </c>
      <c r="R38" s="772" t="s">
        <v>17</v>
      </c>
      <c r="S38" s="773">
        <f t="shared" si="12"/>
        <v>100</v>
      </c>
      <c r="T38" s="772" t="s">
        <v>17</v>
      </c>
      <c r="U38" s="773">
        <f t="shared" si="13"/>
        <v>100</v>
      </c>
      <c r="V38" s="772" t="s">
        <v>17</v>
      </c>
      <c r="W38" s="773">
        <f t="shared" si="14"/>
        <v>100</v>
      </c>
      <c r="X38" s="1811"/>
      <c r="Y38" s="3266" t="s">
        <v>2560</v>
      </c>
      <c r="Z38" s="1812" t="str">
        <f t="shared" si="15"/>
        <v>业态</v>
      </c>
      <c r="AA38" s="1809">
        <f t="shared" si="3"/>
        <v>1</v>
      </c>
      <c r="AB38" s="1809">
        <f t="shared" si="4"/>
        <v>1</v>
      </c>
      <c r="AC38" s="1809">
        <f t="shared" si="5"/>
        <v>1</v>
      </c>
    </row>
    <row r="39" spans="1:29" ht="15">
      <c r="A39" s="471"/>
      <c r="B39" s="421" t="s">
        <v>2660</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64"/>
      <c r="Q39" s="1808" t="str">
        <f t="shared" si="11"/>
        <v>层高</v>
      </c>
      <c r="R39" s="772" t="s">
        <v>17</v>
      </c>
      <c r="S39" s="773">
        <f t="shared" si="12"/>
        <v>100</v>
      </c>
      <c r="T39" s="772" t="s">
        <v>17</v>
      </c>
      <c r="U39" s="773">
        <f t="shared" si="13"/>
        <v>100</v>
      </c>
      <c r="V39" s="772" t="s">
        <v>17</v>
      </c>
      <c r="W39" s="773">
        <f t="shared" si="14"/>
        <v>100</v>
      </c>
      <c r="X39" s="1811"/>
      <c r="Y39" s="3266"/>
      <c r="Z39" s="1812" t="str">
        <f t="shared" si="15"/>
        <v>层高</v>
      </c>
      <c r="AA39" s="1809">
        <f t="shared" si="3"/>
        <v>1</v>
      </c>
      <c r="AB39" s="1809">
        <f t="shared" si="4"/>
        <v>1</v>
      </c>
      <c r="AC39" s="1809">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64"/>
      <c r="Q40" s="1808" t="str">
        <f t="shared" si="11"/>
        <v>单套建筑面积</v>
      </c>
      <c r="R40" s="772" t="s">
        <v>17</v>
      </c>
      <c r="S40" s="773">
        <f t="shared" si="12"/>
        <v>100</v>
      </c>
      <c r="T40" s="772" t="s">
        <v>17</v>
      </c>
      <c r="U40" s="773">
        <f t="shared" si="13"/>
        <v>100</v>
      </c>
      <c r="V40" s="772" t="s">
        <v>17</v>
      </c>
      <c r="W40" s="773">
        <f t="shared" si="14"/>
        <v>100</v>
      </c>
      <c r="X40" s="1811"/>
      <c r="Y40" s="3266"/>
      <c r="Z40" s="1812" t="str">
        <f t="shared" si="15"/>
        <v>单套建筑面积</v>
      </c>
      <c r="AA40" s="1809">
        <f t="shared" si="3"/>
        <v>1</v>
      </c>
      <c r="AB40" s="1809">
        <f t="shared" si="4"/>
        <v>1</v>
      </c>
      <c r="AC40" s="1809">
        <f t="shared" si="5"/>
        <v>1</v>
      </c>
    </row>
    <row r="41" spans="1:29" s="470" customFormat="1" ht="15">
      <c r="A41" s="467"/>
      <c r="B41" s="1810"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64"/>
      <c r="Q41" s="774" t="str">
        <f t="shared" si="11"/>
        <v>进深比</v>
      </c>
      <c r="R41" s="775" t="s">
        <v>17</v>
      </c>
      <c r="S41" s="776">
        <f t="shared" si="12"/>
        <v>100</v>
      </c>
      <c r="T41" s="775" t="s">
        <v>17</v>
      </c>
      <c r="U41" s="776">
        <f t="shared" si="13"/>
        <v>100</v>
      </c>
      <c r="V41" s="775" t="s">
        <v>17</v>
      </c>
      <c r="W41" s="776">
        <f t="shared" si="14"/>
        <v>100</v>
      </c>
      <c r="X41" s="777"/>
      <c r="Y41" s="3266"/>
      <c r="Z41" s="778" t="str">
        <f t="shared" si="15"/>
        <v>进深比</v>
      </c>
      <c r="AA41" s="1809">
        <f t="shared" si="3"/>
        <v>1</v>
      </c>
      <c r="AB41" s="1809">
        <f t="shared" si="4"/>
        <v>1</v>
      </c>
      <c r="AC41" s="1809">
        <f t="shared" si="5"/>
        <v>1</v>
      </c>
    </row>
    <row r="42" spans="1:29" ht="15">
      <c r="A42" s="471"/>
      <c r="B42" s="421" t="s">
        <v>2663</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8"/>
      <c r="M42" s="1129"/>
      <c r="N42" s="1129"/>
      <c r="O42" s="1129"/>
      <c r="P42" s="3264"/>
      <c r="Q42" s="1808" t="str">
        <f t="shared" si="11"/>
        <v>内部装修</v>
      </c>
      <c r="R42" s="772" t="s">
        <v>17</v>
      </c>
      <c r="S42" s="773">
        <f t="shared" si="12"/>
        <v>100</v>
      </c>
      <c r="T42" s="772" t="s">
        <v>17</v>
      </c>
      <c r="U42" s="773">
        <f t="shared" si="13"/>
        <v>100</v>
      </c>
      <c r="V42" s="772" t="s">
        <v>17</v>
      </c>
      <c r="W42" s="773">
        <f t="shared" si="14"/>
        <v>100</v>
      </c>
      <c r="X42" s="1811"/>
      <c r="Y42" s="3266"/>
      <c r="Z42" s="1812" t="str">
        <f t="shared" si="15"/>
        <v>内部装修</v>
      </c>
      <c r="AA42" s="1809">
        <f t="shared" si="3"/>
        <v>1</v>
      </c>
      <c r="AB42" s="1809">
        <f t="shared" si="4"/>
        <v>1</v>
      </c>
      <c r="AC42" s="1809">
        <f t="shared" si="5"/>
        <v>1</v>
      </c>
    </row>
    <row r="43" spans="1:29" ht="15">
      <c r="A43" s="471"/>
      <c r="B43" s="421" t="s">
        <v>2571</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64"/>
      <c r="Q43" s="1808" t="str">
        <f t="shared" si="11"/>
        <v>内部装修维护情况</v>
      </c>
      <c r="R43" s="772" t="s">
        <v>17</v>
      </c>
      <c r="S43" s="773">
        <f t="shared" si="12"/>
        <v>100</v>
      </c>
      <c r="T43" s="772" t="s">
        <v>17</v>
      </c>
      <c r="U43" s="773">
        <f t="shared" si="13"/>
        <v>100</v>
      </c>
      <c r="V43" s="772" t="s">
        <v>17</v>
      </c>
      <c r="W43" s="773">
        <f t="shared" si="14"/>
        <v>100</v>
      </c>
      <c r="X43" s="1811"/>
      <c r="Y43" s="3266"/>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64"/>
      <c r="Q44" s="1793">
        <f t="shared" si="11"/>
        <v>111</v>
      </c>
      <c r="R44" s="768" t="s">
        <v>17</v>
      </c>
      <c r="S44" s="769">
        <f t="shared" si="12"/>
        <v>100</v>
      </c>
      <c r="T44" s="768" t="s">
        <v>17</v>
      </c>
      <c r="U44" s="769">
        <f t="shared" si="13"/>
        <v>100</v>
      </c>
      <c r="V44" s="768" t="s">
        <v>17</v>
      </c>
      <c r="W44" s="769">
        <f t="shared" si="14"/>
        <v>100</v>
      </c>
      <c r="X44" s="770"/>
      <c r="Y44" s="3266"/>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64"/>
      <c r="Q45" s="1808">
        <f t="shared" si="11"/>
        <v>111</v>
      </c>
      <c r="R45" s="772" t="s">
        <v>17</v>
      </c>
      <c r="S45" s="773">
        <f t="shared" si="12"/>
        <v>100</v>
      </c>
      <c r="T45" s="772" t="s">
        <v>17</v>
      </c>
      <c r="U45" s="773">
        <f t="shared" si="13"/>
        <v>100</v>
      </c>
      <c r="V45" s="772" t="s">
        <v>17</v>
      </c>
      <c r="W45" s="773">
        <f t="shared" si="14"/>
        <v>100</v>
      </c>
      <c r="X45" s="1811"/>
      <c r="Y45" s="3266"/>
      <c r="Z45" s="1812">
        <f t="shared" si="15"/>
        <v>111</v>
      </c>
      <c r="AA45" s="1809">
        <f t="shared" si="3"/>
        <v>1</v>
      </c>
      <c r="AB45" s="1809">
        <f t="shared" si="4"/>
        <v>1</v>
      </c>
      <c r="AC45" s="1809">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65"/>
      <c r="Q46" s="1808">
        <f t="shared" si="11"/>
        <v>111</v>
      </c>
      <c r="R46" s="772" t="s">
        <v>17</v>
      </c>
      <c r="S46" s="773">
        <f t="shared" si="12"/>
        <v>100</v>
      </c>
      <c r="T46" s="772" t="s">
        <v>17</v>
      </c>
      <c r="U46" s="773">
        <f t="shared" si="13"/>
        <v>100</v>
      </c>
      <c r="V46" s="772" t="s">
        <v>17</v>
      </c>
      <c r="W46" s="773">
        <f t="shared" si="14"/>
        <v>100</v>
      </c>
      <c r="X46" s="1811"/>
      <c r="Y46" s="3267"/>
      <c r="Z46" s="1812">
        <f t="shared" si="15"/>
        <v>111</v>
      </c>
      <c r="AA46" s="1809">
        <f t="shared" si="3"/>
        <v>1</v>
      </c>
      <c r="AB46" s="1809">
        <f t="shared" si="4"/>
        <v>1</v>
      </c>
      <c r="AC46" s="1809">
        <f t="shared" si="5"/>
        <v>1</v>
      </c>
    </row>
    <row r="47" spans="1:29" ht="15">
      <c r="A47" s="478" t="s">
        <v>2572</v>
      </c>
      <c r="B47" s="479"/>
      <c r="C47" s="1405" t="s">
        <v>1</v>
      </c>
      <c r="D47" s="1406"/>
      <c r="E47" s="1407"/>
      <c r="F47" s="1408"/>
      <c r="G47" s="1409"/>
      <c r="H47" s="1410"/>
      <c r="I47" s="1407"/>
      <c r="J47" s="1410"/>
      <c r="K47" s="781"/>
      <c r="L47" s="1141"/>
      <c r="M47" s="1142"/>
      <c r="N47" s="1129"/>
      <c r="O47" s="1142"/>
      <c r="P47" s="3259" t="str">
        <f>A47</f>
        <v>成交单价（元/平方米）</v>
      </c>
      <c r="Q47" s="3259"/>
      <c r="R47" s="3254">
        <f>E47</f>
        <v>0</v>
      </c>
      <c r="S47" s="3254"/>
      <c r="T47" s="3254">
        <f>G47</f>
        <v>0</v>
      </c>
      <c r="U47" s="3254"/>
      <c r="V47" s="3254">
        <f>I47</f>
        <v>0</v>
      </c>
      <c r="W47" s="3254"/>
      <c r="X47" s="757"/>
      <c r="Y47" s="779"/>
      <c r="Z47" s="757"/>
      <c r="AA47" s="757"/>
      <c r="AB47" s="757"/>
      <c r="AC47" s="757"/>
    </row>
    <row r="48" spans="1:29" ht="15.75" thickBot="1">
      <c r="A48" s="485" t="s">
        <v>2664</v>
      </c>
      <c r="B48" s="486"/>
      <c r="C48" s="1411" t="e">
        <f>R49</f>
        <v>#DIV/0!</v>
      </c>
      <c r="D48" s="1412"/>
      <c r="E48" s="1413" t="e">
        <f>R48</f>
        <v>#DIV/0!</v>
      </c>
      <c r="F48" s="1413"/>
      <c r="G48" s="1411" t="e">
        <f>T48</f>
        <v>#DIV/0!</v>
      </c>
      <c r="H48" s="1412"/>
      <c r="I48" s="1413" t="e">
        <f>V48</f>
        <v>#DIV/0!</v>
      </c>
      <c r="J48" s="1412"/>
      <c r="K48" s="782"/>
      <c r="L48" s="1141"/>
      <c r="M48" s="1142"/>
      <c r="N48" s="1129"/>
      <c r="O48" s="1142"/>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7"/>
      <c r="Y48" s="757"/>
      <c r="Z48" s="757"/>
      <c r="AA48" s="757"/>
      <c r="AB48" s="757"/>
      <c r="AC48" s="757"/>
    </row>
    <row r="49" spans="1:29" ht="15.75" thickBot="1">
      <c r="A49" s="491" t="s">
        <v>2665</v>
      </c>
      <c r="B49" s="492"/>
      <c r="C49" s="1415" t="e">
        <f>R49</f>
        <v>#DIV/0!</v>
      </c>
      <c r="D49" s="1415"/>
      <c r="E49" s="1415"/>
      <c r="F49" s="1415"/>
      <c r="G49" s="1415"/>
      <c r="H49" s="1415"/>
      <c r="I49" s="1415"/>
      <c r="J49" s="1415"/>
      <c r="K49" s="783"/>
      <c r="L49" s="1141"/>
      <c r="M49" s="1142"/>
      <c r="N49" s="1129"/>
      <c r="O49" s="1142"/>
      <c r="P49" s="3256" t="str">
        <f>A49</f>
        <v>估价对象XX用房的比较价值（楼面单价，元/平方米）</v>
      </c>
      <c r="Q49" s="3257"/>
      <c r="R49" s="3258" t="e">
        <f>IF(F1="售价",ROUND(AVERAGE(R48:V48),0),ROUND(AVERAGE(R48:V48),1))</f>
        <v>#DIV/0!</v>
      </c>
      <c r="S49" s="3258"/>
      <c r="T49" s="3258"/>
      <c r="U49" s="3258"/>
      <c r="V49" s="3258"/>
      <c r="W49" s="3258"/>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2543</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4"/>
    </row>
    <row r="60" spans="1:29" s="117" customFormat="1" ht="15.75" thickBot="1">
      <c r="A60" s="514" t="s">
        <v>2580</v>
      </c>
      <c r="B60" s="515"/>
      <c r="C60" s="516"/>
      <c r="D60" s="517"/>
      <c r="E60" s="517"/>
      <c r="F60" s="517"/>
      <c r="G60" s="517"/>
      <c r="H60" s="517"/>
      <c r="I60" s="517"/>
      <c r="J60" s="517"/>
      <c r="K60" s="517"/>
      <c r="L60" s="517"/>
      <c r="M60" s="518"/>
      <c r="N60" s="517"/>
      <c r="O60" s="518"/>
      <c r="P60" s="2624"/>
      <c r="Q60" s="503"/>
    </row>
    <row r="61" spans="1:29" s="117" customFormat="1" ht="15">
      <c r="A61" s="520" t="s">
        <v>2545</v>
      </c>
      <c r="B61" s="509"/>
      <c r="C61" s="521" t="s">
        <v>2647</v>
      </c>
      <c r="D61" s="522"/>
      <c r="E61" s="522"/>
      <c r="F61" s="522"/>
      <c r="G61" s="522"/>
      <c r="H61" s="522"/>
      <c r="I61" s="522"/>
      <c r="J61" s="522"/>
      <c r="K61" s="522"/>
      <c r="L61" s="523"/>
      <c r="M61" s="524"/>
      <c r="N61" s="1149"/>
      <c r="O61" s="1149"/>
      <c r="P61" s="2625"/>
      <c r="Q61" s="503"/>
    </row>
    <row r="62" spans="1:29" s="117"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2583</v>
      </c>
      <c r="B63" s="527" t="s">
        <v>2549</v>
      </c>
      <c r="C63" s="528">
        <f>C9</f>
        <v>0</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6"/>
      <c r="Q67" s="503"/>
    </row>
    <row r="68" spans="1:17" ht="15">
      <c r="A68" s="533"/>
      <c r="B68" s="547"/>
      <c r="C68" s="548"/>
      <c r="D68" s="548"/>
      <c r="E68" s="548"/>
      <c r="F68" s="548"/>
      <c r="G68" s="548"/>
      <c r="H68" s="548"/>
      <c r="I68" s="548"/>
      <c r="J68" s="548"/>
      <c r="K68" s="549"/>
      <c r="L68" s="550"/>
      <c r="M68" s="551"/>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2650</v>
      </c>
      <c r="C82" s="659" t="s">
        <v>2670</v>
      </c>
      <c r="D82" s="659" t="s">
        <v>2671</v>
      </c>
      <c r="E82" s="659" t="s">
        <v>2672</v>
      </c>
      <c r="F82" s="659" t="s">
        <v>2673</v>
      </c>
      <c r="G82" s="659" t="s">
        <v>2674</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7" customFormat="1" ht="15.75" thickTop="1">
      <c r="A86" s="578"/>
      <c r="B86" s="537" t="s">
        <v>2675</v>
      </c>
      <c r="C86" s="553"/>
      <c r="D86" s="553"/>
      <c r="E86" s="553"/>
      <c r="F86" s="553"/>
      <c r="G86" s="553"/>
      <c r="H86" s="553"/>
      <c r="I86" s="553"/>
      <c r="J86" s="553"/>
      <c r="K86" s="553"/>
      <c r="L86" s="579"/>
      <c r="M86" s="580"/>
      <c r="N86" s="1149"/>
      <c r="O86" s="1149"/>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49"/>
      <c r="O88" s="1149"/>
      <c r="P88" s="2626"/>
      <c r="Q88" s="503"/>
    </row>
    <row r="89" spans="1:17" s="117" customFormat="1" ht="15.75" thickBot="1">
      <c r="A89" s="578"/>
      <c r="B89" s="542"/>
      <c r="C89" s="559"/>
      <c r="D89" s="535"/>
      <c r="E89" s="535"/>
      <c r="F89" s="535"/>
      <c r="G89" s="535"/>
      <c r="H89" s="535"/>
      <c r="I89" s="535"/>
      <c r="J89" s="535"/>
      <c r="K89" s="535"/>
      <c r="L89" s="535"/>
      <c r="M89" s="535"/>
      <c r="N89" s="1151"/>
      <c r="O89" s="1151"/>
      <c r="P89" s="2626"/>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2558</v>
      </c>
      <c r="B100" s="527" t="s">
        <v>2676</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6"/>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c r="D103" s="594"/>
      <c r="E103" s="594"/>
      <c r="F103" s="594"/>
      <c r="G103" s="594"/>
      <c r="H103" s="594"/>
      <c r="I103" s="594"/>
      <c r="J103" s="595"/>
      <c r="K103" s="595"/>
      <c r="L103" s="596"/>
      <c r="M103" s="597"/>
      <c r="N103" s="1152"/>
      <c r="O103" s="1152"/>
      <c r="P103" s="2627"/>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7"/>
      <c r="Q104" s="558"/>
    </row>
    <row r="105" spans="1:17" ht="15" thickTop="1">
      <c r="A105" s="598"/>
      <c r="B105" s="537" t="s">
        <v>2609</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2611</v>
      </c>
      <c r="C107" s="553"/>
      <c r="D107" s="553"/>
      <c r="E107" s="553"/>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2613</v>
      </c>
      <c r="C112" s="553"/>
      <c r="D112" s="553"/>
      <c r="E112" s="553"/>
      <c r="F112" s="553"/>
      <c r="G112" s="553"/>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2677</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2678</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2679</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2680</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2615</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5" t="s">
        <v>2681</v>
      </c>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IF(C2="——",ROUND(C50*D3/10000,0),ROUND(C50*D3/10000,0)-D2)</f>
        <v>#DIV/0!</v>
      </c>
      <c r="C2" s="2582"/>
      <c r="D2" s="1363" t="e">
        <f ca="1">SUMIF(INDIRECT("'"&amp;F2&amp;"'"&amp;"!A:A"),"承租人权益价值",INDIRECT("'"&amp;F2&amp;"'"&amp;"!c:c"))</f>
        <v>#REF!</v>
      </c>
      <c r="E2" s="2583" t="s">
        <v>2323</v>
      </c>
      <c r="F2" s="2584"/>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IF(C2="——",C50,ROUND(B2*10000/D3,0))</f>
        <v>#DIV/0!</v>
      </c>
      <c r="C3" s="399" t="s">
        <v>2639</v>
      </c>
      <c r="D3" s="398">
        <f>IF(D1="",'数据-汇总表'!E3,SUMIF('数据-汇总表'!$C19:$C33,D1,'数据-汇总表'!$E19:$E33))</f>
        <v>68327.850000000006</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2640</v>
      </c>
      <c r="B4" s="401"/>
      <c r="C4" s="3242" t="s">
        <v>2641</v>
      </c>
      <c r="D4" s="3243"/>
      <c r="E4" s="3244" t="s">
        <v>2642</v>
      </c>
      <c r="F4" s="3245"/>
      <c r="G4" s="3242" t="s">
        <v>2643</v>
      </c>
      <c r="H4" s="3243"/>
      <c r="I4" s="3242" t="s">
        <v>2644</v>
      </c>
      <c r="J4" s="3243"/>
      <c r="K4" s="609" t="s">
        <v>2645</v>
      </c>
      <c r="L4" s="1128"/>
      <c r="M4" s="1129"/>
      <c r="N4" s="1129"/>
      <c r="O4" s="1129"/>
      <c r="P4" s="3276" t="s">
        <v>2646</v>
      </c>
      <c r="Q4" s="3277"/>
      <c r="R4" s="3271" t="s">
        <v>2642</v>
      </c>
      <c r="S4" s="3272"/>
      <c r="T4" s="3271" t="s">
        <v>2643</v>
      </c>
      <c r="U4" s="3272"/>
      <c r="V4" s="3280" t="s">
        <v>2644</v>
      </c>
      <c r="W4" s="3280"/>
      <c r="X4" s="2666"/>
      <c r="Y4" s="3271" t="s">
        <v>2646</v>
      </c>
      <c r="Z4" s="3272"/>
      <c r="AA4" s="3270" t="s">
        <v>2642</v>
      </c>
      <c r="AB4" s="3270" t="s">
        <v>2643</v>
      </c>
      <c r="AC4" s="3273" t="s">
        <v>2644</v>
      </c>
    </row>
    <row r="5" spans="1:29" ht="15">
      <c r="A5" s="403"/>
      <c r="B5" s="404"/>
      <c r="C5" s="3235" t="s">
        <v>2537</v>
      </c>
      <c r="D5" s="3236"/>
      <c r="E5" s="3233" t="s">
        <v>2538</v>
      </c>
      <c r="F5" s="3234"/>
      <c r="G5" s="3235" t="s">
        <v>2539</v>
      </c>
      <c r="H5" s="3236"/>
      <c r="I5" s="3235" t="s">
        <v>2540</v>
      </c>
      <c r="J5" s="3236"/>
      <c r="K5" s="609"/>
      <c r="L5" s="1128"/>
      <c r="M5" s="1129"/>
      <c r="N5" s="1129"/>
      <c r="O5" s="1129"/>
      <c r="P5" s="3278"/>
      <c r="Q5" s="3249"/>
      <c r="R5" s="3231"/>
      <c r="S5" s="3232"/>
      <c r="T5" s="3231"/>
      <c r="U5" s="3232"/>
      <c r="V5" s="3254"/>
      <c r="W5" s="3254"/>
      <c r="X5" s="1811"/>
      <c r="Y5" s="3231"/>
      <c r="Z5" s="3232"/>
      <c r="AA5" s="3225"/>
      <c r="AB5" s="3225"/>
      <c r="AC5" s="3274"/>
    </row>
    <row r="6" spans="1:29" ht="15.75" thickBot="1">
      <c r="A6" s="405"/>
      <c r="B6" s="406"/>
      <c r="C6" s="3237" t="s">
        <v>2541</v>
      </c>
      <c r="D6" s="3238"/>
      <c r="E6" s="3239" t="s">
        <v>2541</v>
      </c>
      <c r="F6" s="3240"/>
      <c r="G6" s="3237" t="s">
        <v>2541</v>
      </c>
      <c r="H6" s="3238"/>
      <c r="I6" s="3237" t="s">
        <v>2541</v>
      </c>
      <c r="J6" s="3238"/>
      <c r="K6" s="609" t="s">
        <v>2542</v>
      </c>
      <c r="L6" s="1128"/>
      <c r="M6" s="1129"/>
      <c r="N6" s="1129"/>
      <c r="O6" s="1129"/>
      <c r="P6" s="3279"/>
      <c r="Q6" s="3251"/>
      <c r="R6" s="3231"/>
      <c r="S6" s="3232"/>
      <c r="T6" s="3252"/>
      <c r="U6" s="3253"/>
      <c r="V6" s="3254"/>
      <c r="W6" s="3254"/>
      <c r="X6" s="1811"/>
      <c r="Y6" s="3252"/>
      <c r="Z6" s="3253"/>
      <c r="AA6" s="3226"/>
      <c r="AB6" s="3226"/>
      <c r="AC6" s="3275"/>
    </row>
    <row r="7" spans="1:29" s="117" customFormat="1" ht="15.75" thickBot="1">
      <c r="A7" s="407" t="s">
        <v>2543</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81" t="s">
        <v>2544</v>
      </c>
      <c r="Q7" s="3255"/>
      <c r="R7" s="768" t="s">
        <v>17</v>
      </c>
      <c r="S7" s="769">
        <f t="shared" ref="S7:S15" si="0">F7</f>
        <v>0</v>
      </c>
      <c r="T7" s="768" t="s">
        <v>17</v>
      </c>
      <c r="U7" s="769">
        <f t="shared" ref="U7:U15" si="1">H7</f>
        <v>0</v>
      </c>
      <c r="V7" s="768" t="s">
        <v>17</v>
      </c>
      <c r="W7" s="769">
        <f t="shared" ref="W7:W15" si="2">J7</f>
        <v>0</v>
      </c>
      <c r="X7" s="770"/>
      <c r="Y7" s="3227" t="s">
        <v>2544</v>
      </c>
      <c r="Z7" s="3228"/>
      <c r="AA7" s="771" t="e">
        <f>D7/F7</f>
        <v>#DIV/0!</v>
      </c>
      <c r="AB7" s="771" t="e">
        <f>D7/H7</f>
        <v>#DIV/0!</v>
      </c>
      <c r="AC7" s="2667"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81" t="s">
        <v>2547</v>
      </c>
      <c r="Q8" s="3228"/>
      <c r="R8" s="768" t="s">
        <v>17</v>
      </c>
      <c r="S8" s="769">
        <f t="shared" si="0"/>
        <v>0</v>
      </c>
      <c r="T8" s="768" t="s">
        <v>17</v>
      </c>
      <c r="U8" s="769">
        <f t="shared" si="1"/>
        <v>0</v>
      </c>
      <c r="V8" s="768" t="s">
        <v>17</v>
      </c>
      <c r="W8" s="769">
        <f t="shared" si="2"/>
        <v>0</v>
      </c>
      <c r="X8" s="770"/>
      <c r="Y8" s="3227" t="s">
        <v>2547</v>
      </c>
      <c r="Z8" s="3228"/>
      <c r="AA8" s="771" t="e">
        <f t="shared" ref="AA8:AA47" si="3">D8/F8</f>
        <v>#DIV/0!</v>
      </c>
      <c r="AB8" s="771" t="e">
        <f t="shared" ref="AB8:AB47" si="4">D8/H8</f>
        <v>#DIV/0!</v>
      </c>
      <c r="AC8" s="2667" t="e">
        <f t="shared" ref="AC8:AC47" si="5">D8/J8</f>
        <v>#DIV/0!</v>
      </c>
    </row>
    <row r="9" spans="1:29" s="117"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41" t="s">
        <v>2550</v>
      </c>
      <c r="Q9" s="1793" t="str">
        <f t="shared" ref="Q9:Q15" si="6">B9</f>
        <v>用途</v>
      </c>
      <c r="R9" s="768" t="s">
        <v>17</v>
      </c>
      <c r="S9" s="769">
        <f t="shared" si="0"/>
        <v>100</v>
      </c>
      <c r="T9" s="768" t="s">
        <v>17</v>
      </c>
      <c r="U9" s="769">
        <f t="shared" si="1"/>
        <v>100</v>
      </c>
      <c r="V9" s="768" t="s">
        <v>17</v>
      </c>
      <c r="W9" s="769">
        <f t="shared" si="2"/>
        <v>100</v>
      </c>
      <c r="X9" s="770"/>
      <c r="Y9" s="3074" t="s">
        <v>2551</v>
      </c>
      <c r="Z9" s="55" t="str">
        <f t="shared" ref="Z9:Z15" si="7">Q9</f>
        <v>用途</v>
      </c>
      <c r="AA9" s="771">
        <f t="shared" si="3"/>
        <v>1</v>
      </c>
      <c r="AB9" s="771">
        <f t="shared" si="4"/>
        <v>1</v>
      </c>
      <c r="AC9" s="2667">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41"/>
      <c r="Q10" s="1793"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2667">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41"/>
      <c r="Q11" s="1793"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41"/>
      <c r="Q12" s="1793">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41"/>
      <c r="Q13" s="1793">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41"/>
      <c r="Q14" s="1793">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2667">
        <f t="shared" si="5"/>
        <v>1</v>
      </c>
    </row>
    <row r="15" spans="1:29" ht="15">
      <c r="A15" s="439" t="s">
        <v>2554</v>
      </c>
      <c r="B15" s="628" t="s">
        <v>2682</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68" t="s">
        <v>2555</v>
      </c>
      <c r="Q15" s="1808" t="str">
        <f t="shared" si="6"/>
        <v>办公集聚程度</v>
      </c>
      <c r="R15" s="772" t="s">
        <v>17</v>
      </c>
      <c r="S15" s="773">
        <f t="shared" si="0"/>
        <v>100</v>
      </c>
      <c r="T15" s="772" t="s">
        <v>17</v>
      </c>
      <c r="U15" s="773">
        <f t="shared" si="1"/>
        <v>100</v>
      </c>
      <c r="V15" s="772" t="s">
        <v>17</v>
      </c>
      <c r="W15" s="773">
        <f t="shared" si="2"/>
        <v>100</v>
      </c>
      <c r="X15" s="1811"/>
      <c r="Y15" s="3261" t="s">
        <v>2555</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69"/>
      <c r="Q16" s="1808"/>
      <c r="R16" s="772"/>
      <c r="S16" s="773"/>
      <c r="T16" s="772"/>
      <c r="U16" s="773"/>
      <c r="V16" s="772"/>
      <c r="W16" s="773"/>
      <c r="X16" s="1811"/>
      <c r="Y16" s="3262"/>
      <c r="Z16" s="1812"/>
      <c r="AA16" s="1809">
        <v>1</v>
      </c>
      <c r="AB16" s="1809">
        <v>1</v>
      </c>
      <c r="AC16" s="2670">
        <v>1</v>
      </c>
    </row>
    <row r="17" spans="1:29" ht="114">
      <c r="A17" s="427"/>
      <c r="B17" s="630" t="s">
        <v>2093</v>
      </c>
      <c r="C17" s="2671"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69"/>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69"/>
      <c r="Q18" s="1808"/>
      <c r="R18" s="772"/>
      <c r="S18" s="773"/>
      <c r="T18" s="772"/>
      <c r="U18" s="773"/>
      <c r="V18" s="772"/>
      <c r="W18" s="773"/>
      <c r="X18" s="1811"/>
      <c r="Y18" s="3262"/>
      <c r="Z18" s="1812"/>
      <c r="AA18" s="1809">
        <v>1</v>
      </c>
      <c r="AB18" s="1809">
        <v>1</v>
      </c>
      <c r="AC18" s="2670">
        <v>1</v>
      </c>
    </row>
    <row r="19" spans="1:29" ht="171">
      <c r="A19" s="427"/>
      <c r="B19" s="630" t="s">
        <v>2683</v>
      </c>
      <c r="C19" s="2671"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69"/>
      <c r="Q19" s="1808" t="str">
        <f>B19</f>
        <v>公共配套设施</v>
      </c>
      <c r="R19" s="772" t="s">
        <v>17</v>
      </c>
      <c r="S19" s="773">
        <f>F19</f>
        <v>100</v>
      </c>
      <c r="T19" s="772" t="s">
        <v>17</v>
      </c>
      <c r="U19" s="773">
        <f>H19</f>
        <v>100</v>
      </c>
      <c r="V19" s="772" t="s">
        <v>17</v>
      </c>
      <c r="W19" s="773">
        <f>J19</f>
        <v>100</v>
      </c>
      <c r="X19" s="1811"/>
      <c r="Y19" s="3262"/>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69"/>
      <c r="Q20" s="1808"/>
      <c r="R20" s="772"/>
      <c r="S20" s="773"/>
      <c r="T20" s="772"/>
      <c r="U20" s="773"/>
      <c r="V20" s="772"/>
      <c r="W20" s="773"/>
      <c r="X20" s="1811"/>
      <c r="Y20" s="3262"/>
      <c r="Z20" s="1812"/>
      <c r="AA20" s="1809">
        <v>1</v>
      </c>
      <c r="AB20" s="1809">
        <v>1</v>
      </c>
      <c r="AC20" s="2670">
        <v>1</v>
      </c>
    </row>
    <row r="21" spans="1:29" ht="42.75">
      <c r="A21" s="427"/>
      <c r="B21" s="632" t="s">
        <v>2684</v>
      </c>
      <c r="C21" s="2671"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69"/>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69"/>
      <c r="Q22" s="1808"/>
      <c r="R22" s="772"/>
      <c r="S22" s="773"/>
      <c r="T22" s="772"/>
      <c r="U22" s="773"/>
      <c r="V22" s="772"/>
      <c r="W22" s="773"/>
      <c r="X22" s="1811"/>
      <c r="Y22" s="3262"/>
      <c r="Z22" s="1812"/>
      <c r="AA22" s="1809">
        <v>1</v>
      </c>
      <c r="AB22" s="1809">
        <v>1</v>
      </c>
      <c r="AC22" s="2670">
        <v>1</v>
      </c>
    </row>
    <row r="23" spans="1:29" ht="85.5">
      <c r="A23" s="427"/>
      <c r="B23" s="630" t="s">
        <v>2685</v>
      </c>
      <c r="C23" s="2671"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69"/>
      <c r="Q23" s="1808" t="str">
        <f>B23</f>
        <v>环境质量</v>
      </c>
      <c r="R23" s="772" t="s">
        <v>17</v>
      </c>
      <c r="S23" s="773">
        <f>F23</f>
        <v>100</v>
      </c>
      <c r="T23" s="772" t="s">
        <v>17</v>
      </c>
      <c r="U23" s="773">
        <f>H23</f>
        <v>100</v>
      </c>
      <c r="V23" s="772" t="s">
        <v>17</v>
      </c>
      <c r="W23" s="773">
        <f>J23</f>
        <v>100</v>
      </c>
      <c r="X23" s="1811"/>
      <c r="Y23" s="3262"/>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69"/>
      <c r="Q24" s="1808"/>
      <c r="R24" s="772"/>
      <c r="S24" s="773"/>
      <c r="T24" s="772"/>
      <c r="U24" s="773"/>
      <c r="V24" s="772"/>
      <c r="W24" s="773"/>
      <c r="X24" s="1811"/>
      <c r="Y24" s="3262"/>
      <c r="Z24" s="1812"/>
      <c r="AA24" s="1809">
        <v>1</v>
      </c>
      <c r="AB24" s="1809">
        <v>1</v>
      </c>
      <c r="AC24" s="2670">
        <v>1</v>
      </c>
    </row>
    <row r="25" spans="1:29" ht="27">
      <c r="A25" s="403"/>
      <c r="B25" s="630" t="s">
        <v>2686</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69"/>
      <c r="Q25" s="1808" t="str">
        <f>B25</f>
        <v>毗邻道路的类型与等级</v>
      </c>
      <c r="R25" s="772" t="s">
        <v>17</v>
      </c>
      <c r="S25" s="773">
        <f>F25</f>
        <v>100</v>
      </c>
      <c r="T25" s="772" t="s">
        <v>17</v>
      </c>
      <c r="U25" s="773">
        <f>H25</f>
        <v>100</v>
      </c>
      <c r="V25" s="772" t="s">
        <v>17</v>
      </c>
      <c r="W25" s="773">
        <f>J25</f>
        <v>100</v>
      </c>
      <c r="X25" s="1811"/>
      <c r="Y25" s="3262"/>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69"/>
      <c r="Q26" s="1808"/>
      <c r="R26" s="772"/>
      <c r="S26" s="773"/>
      <c r="T26" s="772"/>
      <c r="U26" s="773"/>
      <c r="V26" s="772"/>
      <c r="W26" s="773"/>
      <c r="X26" s="1811"/>
      <c r="Y26" s="3262"/>
      <c r="Z26" s="1812"/>
      <c r="AA26" s="1809">
        <v>1</v>
      </c>
      <c r="AB26" s="1809">
        <v>1</v>
      </c>
      <c r="AC26" s="2670">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69"/>
      <c r="Q27" s="1808" t="str">
        <f t="shared" ref="Q27:Q47" si="11">B27</f>
        <v>楼层</v>
      </c>
      <c r="R27" s="772" t="s">
        <v>17</v>
      </c>
      <c r="S27" s="773">
        <f>F27</f>
        <v>100</v>
      </c>
      <c r="T27" s="772" t="s">
        <v>17</v>
      </c>
      <c r="U27" s="773">
        <f>H27</f>
        <v>100</v>
      </c>
      <c r="V27" s="772" t="s">
        <v>17</v>
      </c>
      <c r="W27" s="773">
        <f>J27</f>
        <v>100</v>
      </c>
      <c r="X27" s="1811"/>
      <c r="Y27" s="3262"/>
      <c r="Z27" s="1812" t="str">
        <f>Q27</f>
        <v>楼层</v>
      </c>
      <c r="AA27" s="1809">
        <f t="shared" si="3"/>
        <v>1</v>
      </c>
      <c r="AB27" s="1809">
        <f t="shared" si="4"/>
        <v>1</v>
      </c>
      <c r="AC27" s="2670">
        <f t="shared" si="5"/>
        <v>1</v>
      </c>
    </row>
    <row r="28" spans="1:29" s="117" customFormat="1" ht="15">
      <c r="A28" s="430"/>
      <c r="B28" s="630" t="s">
        <v>2687</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69"/>
      <c r="Q28" s="1793" t="str">
        <f t="shared" si="11"/>
        <v>朝向</v>
      </c>
      <c r="R28" s="768" t="s">
        <v>17</v>
      </c>
      <c r="S28" s="769">
        <f>F28</f>
        <v>100</v>
      </c>
      <c r="T28" s="768" t="s">
        <v>17</v>
      </c>
      <c r="U28" s="769">
        <f>H28</f>
        <v>100</v>
      </c>
      <c r="V28" s="768" t="s">
        <v>17</v>
      </c>
      <c r="W28" s="769">
        <f>J28</f>
        <v>100</v>
      </c>
      <c r="X28" s="770"/>
      <c r="Y28" s="3262"/>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69"/>
      <c r="Q29" s="1808">
        <f t="shared" si="11"/>
        <v>111</v>
      </c>
      <c r="R29" s="772" t="s">
        <v>17</v>
      </c>
      <c r="S29" s="773">
        <f t="shared" ref="S29:S47" si="12">F29</f>
        <v>100</v>
      </c>
      <c r="T29" s="772" t="s">
        <v>17</v>
      </c>
      <c r="U29" s="773">
        <f t="shared" ref="U29:U47" si="13">H29</f>
        <v>100</v>
      </c>
      <c r="V29" s="772" t="s">
        <v>17</v>
      </c>
      <c r="W29" s="773">
        <f t="shared" ref="W29:W47" si="14">J29</f>
        <v>100</v>
      </c>
      <c r="X29" s="1811"/>
      <c r="Y29" s="3262"/>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69"/>
      <c r="Q30" s="1808">
        <f t="shared" si="11"/>
        <v>111</v>
      </c>
      <c r="R30" s="772" t="s">
        <v>17</v>
      </c>
      <c r="S30" s="773">
        <f t="shared" si="12"/>
        <v>100</v>
      </c>
      <c r="T30" s="772" t="s">
        <v>17</v>
      </c>
      <c r="U30" s="773">
        <f t="shared" si="13"/>
        <v>100</v>
      </c>
      <c r="V30" s="772" t="s">
        <v>17</v>
      </c>
      <c r="W30" s="773">
        <f t="shared" si="14"/>
        <v>100</v>
      </c>
      <c r="X30" s="1811"/>
      <c r="Y30" s="3262"/>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69"/>
      <c r="Q31" s="1808">
        <f t="shared" si="11"/>
        <v>111</v>
      </c>
      <c r="R31" s="772" t="s">
        <v>17</v>
      </c>
      <c r="S31" s="773">
        <f t="shared" si="12"/>
        <v>100</v>
      </c>
      <c r="T31" s="772" t="s">
        <v>17</v>
      </c>
      <c r="U31" s="773">
        <f t="shared" si="13"/>
        <v>100</v>
      </c>
      <c r="V31" s="772" t="s">
        <v>17</v>
      </c>
      <c r="W31" s="773">
        <f t="shared" si="14"/>
        <v>100</v>
      </c>
      <c r="X31" s="1811"/>
      <c r="Y31" s="3262"/>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69"/>
      <c r="Q32" s="1808">
        <f t="shared" si="11"/>
        <v>111</v>
      </c>
      <c r="R32" s="772" t="s">
        <v>17</v>
      </c>
      <c r="S32" s="773">
        <f t="shared" si="12"/>
        <v>100</v>
      </c>
      <c r="T32" s="772" t="s">
        <v>17</v>
      </c>
      <c r="U32" s="773">
        <f t="shared" si="13"/>
        <v>100</v>
      </c>
      <c r="V32" s="772" t="s">
        <v>17</v>
      </c>
      <c r="W32" s="773">
        <f t="shared" si="14"/>
        <v>100</v>
      </c>
      <c r="X32" s="1811"/>
      <c r="Y32" s="3262"/>
      <c r="Z32" s="1812">
        <f t="shared" si="15"/>
        <v>111</v>
      </c>
      <c r="AA32" s="1809">
        <f t="shared" si="3"/>
        <v>1</v>
      </c>
      <c r="AB32" s="1809">
        <f t="shared" si="4"/>
        <v>1</v>
      </c>
      <c r="AC32" s="2670">
        <f t="shared" si="5"/>
        <v>1</v>
      </c>
    </row>
    <row r="33" spans="1:29" ht="15">
      <c r="A33" s="439" t="s">
        <v>2558</v>
      </c>
      <c r="B33" s="71" t="s">
        <v>2688</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63" t="s">
        <v>2560</v>
      </c>
      <c r="Q33" s="1808" t="str">
        <f t="shared" si="11"/>
        <v>建筑类型</v>
      </c>
      <c r="R33" s="772" t="s">
        <v>17</v>
      </c>
      <c r="S33" s="773">
        <f t="shared" si="12"/>
        <v>100</v>
      </c>
      <c r="T33" s="772" t="s">
        <v>17</v>
      </c>
      <c r="U33" s="773">
        <f t="shared" si="13"/>
        <v>100</v>
      </c>
      <c r="V33" s="772" t="s">
        <v>17</v>
      </c>
      <c r="W33" s="773">
        <f t="shared" si="14"/>
        <v>100</v>
      </c>
      <c r="X33" s="1811"/>
      <c r="Y33" s="3266" t="s">
        <v>2560</v>
      </c>
      <c r="Z33" s="1812" t="str">
        <f t="shared" si="15"/>
        <v>建筑类型</v>
      </c>
      <c r="AA33" s="1809">
        <f t="shared" si="3"/>
        <v>1</v>
      </c>
      <c r="AB33" s="1809">
        <f t="shared" si="4"/>
        <v>1</v>
      </c>
      <c r="AC33" s="2670">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64"/>
      <c r="Q34" s="774" t="str">
        <f t="shared" si="11"/>
        <v>项目建筑规模</v>
      </c>
      <c r="R34" s="775" t="s">
        <v>17</v>
      </c>
      <c r="S34" s="776" t="e">
        <f t="shared" si="12"/>
        <v>#N/A</v>
      </c>
      <c r="T34" s="775" t="s">
        <v>17</v>
      </c>
      <c r="U34" s="776" t="e">
        <f t="shared" si="13"/>
        <v>#N/A</v>
      </c>
      <c r="V34" s="775" t="s">
        <v>17</v>
      </c>
      <c r="W34" s="776" t="e">
        <f t="shared" si="14"/>
        <v>#N/A</v>
      </c>
      <c r="X34" s="777"/>
      <c r="Y34" s="3266"/>
      <c r="Z34" s="778" t="str">
        <f t="shared" si="15"/>
        <v>项目建筑规模</v>
      </c>
      <c r="AA34" s="1809" t="e">
        <f t="shared" si="3"/>
        <v>#N/A</v>
      </c>
      <c r="AB34" s="1809" t="e">
        <f t="shared" si="4"/>
        <v>#N/A</v>
      </c>
      <c r="AC34" s="2670"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64"/>
      <c r="Q35" s="1808" t="str">
        <f t="shared" si="11"/>
        <v>建筑结构</v>
      </c>
      <c r="R35" s="772" t="s">
        <v>17</v>
      </c>
      <c r="S35" s="773">
        <f t="shared" si="12"/>
        <v>100</v>
      </c>
      <c r="T35" s="772" t="s">
        <v>17</v>
      </c>
      <c r="U35" s="773">
        <f t="shared" si="13"/>
        <v>100</v>
      </c>
      <c r="V35" s="772" t="s">
        <v>17</v>
      </c>
      <c r="W35" s="773">
        <f t="shared" si="14"/>
        <v>100</v>
      </c>
      <c r="X35" s="1811"/>
      <c r="Y35" s="3266"/>
      <c r="Z35" s="1812" t="str">
        <f t="shared" si="15"/>
        <v>建筑结构</v>
      </c>
      <c r="AA35" s="1809">
        <f t="shared" si="3"/>
        <v>1</v>
      </c>
      <c r="AB35" s="1809">
        <f t="shared" si="4"/>
        <v>1</v>
      </c>
      <c r="AC35" s="2670">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64"/>
      <c r="Q36" s="1808" t="str">
        <f t="shared" si="11"/>
        <v>公共部分装修</v>
      </c>
      <c r="R36" s="772" t="s">
        <v>17</v>
      </c>
      <c r="S36" s="773">
        <f t="shared" si="12"/>
        <v>100</v>
      </c>
      <c r="T36" s="772" t="s">
        <v>17</v>
      </c>
      <c r="U36" s="773">
        <f t="shared" si="13"/>
        <v>100</v>
      </c>
      <c r="V36" s="772" t="s">
        <v>17</v>
      </c>
      <c r="W36" s="773">
        <f t="shared" si="14"/>
        <v>100</v>
      </c>
      <c r="X36" s="1811"/>
      <c r="Y36" s="3266"/>
      <c r="Z36" s="1812" t="str">
        <f t="shared" si="15"/>
        <v>公共部分装修</v>
      </c>
      <c r="AA36" s="1809">
        <f t="shared" si="3"/>
        <v>1</v>
      </c>
      <c r="AB36" s="1809">
        <f t="shared" si="4"/>
        <v>1</v>
      </c>
      <c r="AC36" s="2670">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64"/>
      <c r="Q37" s="1808" t="str">
        <f t="shared" si="11"/>
        <v>成新度</v>
      </c>
      <c r="R37" s="772" t="s">
        <v>17</v>
      </c>
      <c r="S37" s="773" t="e">
        <f t="shared" si="12"/>
        <v>#N/A</v>
      </c>
      <c r="T37" s="772" t="s">
        <v>17</v>
      </c>
      <c r="U37" s="773" t="e">
        <f t="shared" si="13"/>
        <v>#N/A</v>
      </c>
      <c r="V37" s="772" t="s">
        <v>17</v>
      </c>
      <c r="W37" s="773" t="e">
        <f t="shared" si="14"/>
        <v>#N/A</v>
      </c>
      <c r="X37" s="1811"/>
      <c r="Y37" s="3266"/>
      <c r="Z37" s="1812" t="str">
        <f t="shared" si="15"/>
        <v>成新度</v>
      </c>
      <c r="AA37" s="1809" t="e">
        <f t="shared" si="3"/>
        <v>#N/A</v>
      </c>
      <c r="AB37" s="1809" t="e">
        <f t="shared" si="4"/>
        <v>#N/A</v>
      </c>
      <c r="AC37" s="2670" t="e">
        <f t="shared" si="5"/>
        <v>#N/A</v>
      </c>
    </row>
    <row r="38" spans="1:29" s="117"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64"/>
      <c r="Q38" s="1793" t="str">
        <f t="shared" si="11"/>
        <v>写字楼等级</v>
      </c>
      <c r="R38" s="768" t="s">
        <v>17</v>
      </c>
      <c r="S38" s="769">
        <f t="shared" si="12"/>
        <v>100</v>
      </c>
      <c r="T38" s="768" t="s">
        <v>17</v>
      </c>
      <c r="U38" s="769">
        <f t="shared" si="13"/>
        <v>100</v>
      </c>
      <c r="V38" s="768" t="s">
        <v>17</v>
      </c>
      <c r="W38" s="769">
        <f t="shared" si="14"/>
        <v>100</v>
      </c>
      <c r="X38" s="770"/>
      <c r="Y38" s="3266"/>
      <c r="Z38" s="55" t="str">
        <f t="shared" si="15"/>
        <v>写字楼等级</v>
      </c>
      <c r="AA38" s="771">
        <f t="shared" si="3"/>
        <v>1</v>
      </c>
      <c r="AB38" s="771">
        <f t="shared" si="4"/>
        <v>1</v>
      </c>
      <c r="AC38" s="2667">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64" t="s">
        <v>2560</v>
      </c>
      <c r="Q39" s="1808" t="str">
        <f t="shared" si="11"/>
        <v>物业管理</v>
      </c>
      <c r="R39" s="772" t="s">
        <v>17</v>
      </c>
      <c r="S39" s="773">
        <f t="shared" si="12"/>
        <v>100</v>
      </c>
      <c r="T39" s="772" t="s">
        <v>17</v>
      </c>
      <c r="U39" s="773">
        <f t="shared" si="13"/>
        <v>100</v>
      </c>
      <c r="V39" s="772" t="s">
        <v>17</v>
      </c>
      <c r="W39" s="773">
        <f t="shared" si="14"/>
        <v>100</v>
      </c>
      <c r="X39" s="1811"/>
      <c r="Y39" s="3266" t="s">
        <v>2560</v>
      </c>
      <c r="Z39" s="1812" t="str">
        <f t="shared" si="15"/>
        <v>物业管理</v>
      </c>
      <c r="AA39" s="1809">
        <f t="shared" si="3"/>
        <v>1</v>
      </c>
      <c r="AB39" s="1809">
        <f t="shared" si="4"/>
        <v>1</v>
      </c>
      <c r="AC39" s="2670">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64"/>
      <c r="Q40" s="1808" t="str">
        <f t="shared" si="11"/>
        <v>市政基础设施</v>
      </c>
      <c r="R40" s="772" t="s">
        <v>17</v>
      </c>
      <c r="S40" s="773">
        <f t="shared" si="12"/>
        <v>100</v>
      </c>
      <c r="T40" s="772" t="s">
        <v>17</v>
      </c>
      <c r="U40" s="773">
        <f t="shared" si="13"/>
        <v>100</v>
      </c>
      <c r="V40" s="772" t="s">
        <v>17</v>
      </c>
      <c r="W40" s="773">
        <f t="shared" si="14"/>
        <v>100</v>
      </c>
      <c r="X40" s="1811"/>
      <c r="Y40" s="3266"/>
      <c r="Z40" s="1812" t="str">
        <f t="shared" si="15"/>
        <v>市政基础设施</v>
      </c>
      <c r="AA40" s="1809">
        <f t="shared" si="3"/>
        <v>1</v>
      </c>
      <c r="AB40" s="1809">
        <f t="shared" si="4"/>
        <v>1</v>
      </c>
      <c r="AC40" s="2670">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64"/>
      <c r="Q41" s="1808" t="str">
        <f t="shared" si="11"/>
        <v>层高</v>
      </c>
      <c r="R41" s="772" t="s">
        <v>17</v>
      </c>
      <c r="S41" s="773">
        <f t="shared" si="12"/>
        <v>100</v>
      </c>
      <c r="T41" s="772" t="s">
        <v>17</v>
      </c>
      <c r="U41" s="773">
        <f t="shared" si="13"/>
        <v>100</v>
      </c>
      <c r="V41" s="772" t="s">
        <v>17</v>
      </c>
      <c r="W41" s="773">
        <f t="shared" si="14"/>
        <v>100</v>
      </c>
      <c r="X41" s="1811"/>
      <c r="Y41" s="3266"/>
      <c r="Z41" s="1812" t="str">
        <f t="shared" si="15"/>
        <v>层高</v>
      </c>
      <c r="AA41" s="1809">
        <f t="shared" si="3"/>
        <v>1</v>
      </c>
      <c r="AB41" s="1809">
        <f t="shared" si="4"/>
        <v>1</v>
      </c>
      <c r="AC41" s="2670">
        <f t="shared" si="5"/>
        <v>1</v>
      </c>
    </row>
    <row r="42" spans="1:29" s="470" customFormat="1" ht="15">
      <c r="A42" s="467"/>
      <c r="B42" s="1810"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64"/>
      <c r="Q42" s="774" t="str">
        <f t="shared" si="11"/>
        <v>单套建筑面积</v>
      </c>
      <c r="R42" s="775" t="s">
        <v>17</v>
      </c>
      <c r="S42" s="776">
        <f t="shared" si="12"/>
        <v>100</v>
      </c>
      <c r="T42" s="775" t="s">
        <v>17</v>
      </c>
      <c r="U42" s="776">
        <f t="shared" si="13"/>
        <v>100</v>
      </c>
      <c r="V42" s="775" t="s">
        <v>17</v>
      </c>
      <c r="W42" s="776">
        <f t="shared" si="14"/>
        <v>100</v>
      </c>
      <c r="X42" s="777"/>
      <c r="Y42" s="3266"/>
      <c r="Z42" s="778" t="str">
        <f t="shared" si="15"/>
        <v>单套建筑面积</v>
      </c>
      <c r="AA42" s="1809">
        <f t="shared" si="3"/>
        <v>1</v>
      </c>
      <c r="AB42" s="1809">
        <f t="shared" si="4"/>
        <v>1</v>
      </c>
      <c r="AC42" s="2670">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64"/>
      <c r="Q43" s="1808" t="str">
        <f t="shared" si="11"/>
        <v>内部装修</v>
      </c>
      <c r="R43" s="772" t="s">
        <v>17</v>
      </c>
      <c r="S43" s="773">
        <f t="shared" si="12"/>
        <v>100</v>
      </c>
      <c r="T43" s="772" t="s">
        <v>17</v>
      </c>
      <c r="U43" s="773">
        <f t="shared" si="13"/>
        <v>100</v>
      </c>
      <c r="V43" s="772" t="s">
        <v>17</v>
      </c>
      <c r="W43" s="773">
        <f t="shared" si="14"/>
        <v>100</v>
      </c>
      <c r="X43" s="1811"/>
      <c r="Y43" s="3266"/>
      <c r="Z43" s="1812" t="str">
        <f t="shared" si="15"/>
        <v>内部装修</v>
      </c>
      <c r="AA43" s="1809">
        <f t="shared" si="3"/>
        <v>1</v>
      </c>
      <c r="AB43" s="1809">
        <f t="shared" si="4"/>
        <v>1</v>
      </c>
      <c r="AC43" s="2670">
        <f t="shared" si="5"/>
        <v>1</v>
      </c>
    </row>
    <row r="44" spans="1:29" ht="15">
      <c r="A44" s="471"/>
      <c r="B44" s="421" t="s">
        <v>2571</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64"/>
      <c r="Q44" s="1808" t="str">
        <f t="shared" si="11"/>
        <v>内部装修维护情况</v>
      </c>
      <c r="R44" s="772" t="s">
        <v>17</v>
      </c>
      <c r="S44" s="773">
        <f t="shared" si="12"/>
        <v>100</v>
      </c>
      <c r="T44" s="772" t="s">
        <v>17</v>
      </c>
      <c r="U44" s="773">
        <f t="shared" si="13"/>
        <v>100</v>
      </c>
      <c r="V44" s="772" t="s">
        <v>17</v>
      </c>
      <c r="W44" s="773">
        <f t="shared" si="14"/>
        <v>100</v>
      </c>
      <c r="X44" s="1811"/>
      <c r="Y44" s="3266"/>
      <c r="Z44" s="1812" t="str">
        <f t="shared" si="15"/>
        <v>内部装修维护情况</v>
      </c>
      <c r="AA44" s="1809">
        <f t="shared" si="3"/>
        <v>1</v>
      </c>
      <c r="AB44" s="1809">
        <f t="shared" si="4"/>
        <v>1</v>
      </c>
      <c r="AC44" s="2670">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64"/>
      <c r="Q45" s="1793">
        <f t="shared" si="11"/>
        <v>111</v>
      </c>
      <c r="R45" s="768" t="s">
        <v>17</v>
      </c>
      <c r="S45" s="769">
        <f t="shared" si="12"/>
        <v>100</v>
      </c>
      <c r="T45" s="768" t="s">
        <v>17</v>
      </c>
      <c r="U45" s="769">
        <f t="shared" si="13"/>
        <v>100</v>
      </c>
      <c r="V45" s="768" t="s">
        <v>17</v>
      </c>
      <c r="W45" s="769">
        <f t="shared" si="14"/>
        <v>100</v>
      </c>
      <c r="X45" s="770"/>
      <c r="Y45" s="3266"/>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64"/>
      <c r="Q46" s="1808">
        <f t="shared" si="11"/>
        <v>111</v>
      </c>
      <c r="R46" s="772" t="s">
        <v>17</v>
      </c>
      <c r="S46" s="773">
        <f t="shared" si="12"/>
        <v>100</v>
      </c>
      <c r="T46" s="772" t="s">
        <v>17</v>
      </c>
      <c r="U46" s="773">
        <f t="shared" si="13"/>
        <v>100</v>
      </c>
      <c r="V46" s="772" t="s">
        <v>17</v>
      </c>
      <c r="W46" s="773">
        <f t="shared" si="14"/>
        <v>100</v>
      </c>
      <c r="X46" s="1811"/>
      <c r="Y46" s="3266"/>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65"/>
      <c r="Q47" s="1808">
        <f t="shared" si="11"/>
        <v>111</v>
      </c>
      <c r="R47" s="772" t="s">
        <v>17</v>
      </c>
      <c r="S47" s="773">
        <f t="shared" si="12"/>
        <v>100</v>
      </c>
      <c r="T47" s="772" t="s">
        <v>17</v>
      </c>
      <c r="U47" s="773">
        <f t="shared" si="13"/>
        <v>100</v>
      </c>
      <c r="V47" s="772" t="s">
        <v>17</v>
      </c>
      <c r="W47" s="773">
        <f t="shared" si="14"/>
        <v>100</v>
      </c>
      <c r="X47" s="1811"/>
      <c r="Y47" s="3267"/>
      <c r="Z47" s="1812">
        <f t="shared" si="15"/>
        <v>111</v>
      </c>
      <c r="AA47" s="1809">
        <f t="shared" si="3"/>
        <v>1</v>
      </c>
      <c r="AB47" s="1809">
        <f t="shared" si="4"/>
        <v>1</v>
      </c>
      <c r="AC47" s="2670">
        <f t="shared" si="5"/>
        <v>1</v>
      </c>
    </row>
    <row r="48" spans="1:29" ht="15">
      <c r="A48" s="478" t="s">
        <v>2572</v>
      </c>
      <c r="B48" s="479"/>
      <c r="C48" s="1405" t="s">
        <v>1</v>
      </c>
      <c r="D48" s="1406"/>
      <c r="E48" s="1407"/>
      <c r="F48" s="1408"/>
      <c r="G48" s="1409"/>
      <c r="H48" s="1410"/>
      <c r="I48" s="1407"/>
      <c r="J48" s="484"/>
      <c r="K48" s="781"/>
      <c r="L48" s="1141"/>
      <c r="M48" s="1129"/>
      <c r="N48" s="1129"/>
      <c r="O48" s="1129"/>
      <c r="P48" s="3241" t="str">
        <f>A48</f>
        <v>成交单价（元/平方米）</v>
      </c>
      <c r="Q48" s="3259"/>
      <c r="R48" s="3260">
        <f>E48</f>
        <v>0</v>
      </c>
      <c r="S48" s="3260"/>
      <c r="T48" s="3260">
        <f>G48</f>
        <v>0</v>
      </c>
      <c r="U48" s="3260"/>
      <c r="V48" s="3260">
        <f>I48</f>
        <v>0</v>
      </c>
      <c r="W48" s="3260"/>
      <c r="X48" s="445"/>
      <c r="Y48" s="779"/>
      <c r="Z48" s="445"/>
      <c r="AA48" s="445"/>
      <c r="AB48" s="445"/>
      <c r="AC48" s="629"/>
    </row>
    <row r="49" spans="1:29" ht="15.75" thickBot="1">
      <c r="A49" s="485" t="s">
        <v>2664</v>
      </c>
      <c r="B49" s="486"/>
      <c r="C49" s="1411" t="e">
        <f>R50</f>
        <v>#DIV/0!</v>
      </c>
      <c r="D49" s="1412"/>
      <c r="E49" s="1413" t="e">
        <f>R49</f>
        <v>#DIV/0!</v>
      </c>
      <c r="F49" s="1413"/>
      <c r="G49" s="1411" t="e">
        <f>T49</f>
        <v>#DIV/0!</v>
      </c>
      <c r="H49" s="1412"/>
      <c r="I49" s="1413" t="e">
        <f>V49</f>
        <v>#DIV/0!</v>
      </c>
      <c r="J49" s="488"/>
      <c r="K49" s="782"/>
      <c r="L49" s="1141"/>
      <c r="M49" s="1129"/>
      <c r="N49" s="1129"/>
      <c r="O49" s="1129"/>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5"/>
      <c r="Y49" s="445"/>
      <c r="Z49" s="445"/>
      <c r="AA49" s="445"/>
      <c r="AB49" s="445"/>
      <c r="AC49" s="629"/>
    </row>
    <row r="50" spans="1:29" ht="15.75" thickBot="1">
      <c r="A50" s="491" t="s">
        <v>2665</v>
      </c>
      <c r="B50" s="492"/>
      <c r="C50" s="1415" t="e">
        <f>R50</f>
        <v>#DIV/0!</v>
      </c>
      <c r="D50" s="1415"/>
      <c r="E50" s="1415"/>
      <c r="F50" s="1415"/>
      <c r="G50" s="1415"/>
      <c r="H50" s="1415"/>
      <c r="I50" s="1415"/>
      <c r="J50" s="493"/>
      <c r="K50" s="783"/>
      <c r="L50" s="1141"/>
      <c r="M50" s="1129"/>
      <c r="N50" s="1129"/>
      <c r="O50" s="1129"/>
      <c r="P50" s="3282" t="str">
        <f>A50</f>
        <v>估价对象XX用房的比较价值（楼面单价，元/平方米）</v>
      </c>
      <c r="Q50" s="3283"/>
      <c r="R50" s="3284" t="e">
        <f>IF(F1="售价",ROUND(AVERAGE(R49:V49),0),ROUND(AVERAGE(R49:V49),1))</f>
        <v>#DIV/0!</v>
      </c>
      <c r="S50" s="3284"/>
      <c r="T50" s="3284"/>
      <c r="U50" s="3284"/>
      <c r="V50" s="3284"/>
      <c r="W50" s="3284"/>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2669</v>
      </c>
      <c r="B58" s="757"/>
      <c r="C58" s="762"/>
      <c r="D58" s="762"/>
      <c r="E58" s="762"/>
      <c r="F58" s="763"/>
      <c r="G58" s="763"/>
      <c r="H58" s="762"/>
      <c r="I58" s="762"/>
      <c r="J58" s="762"/>
      <c r="K58" s="764"/>
      <c r="L58" s="1159"/>
      <c r="M58" s="1157"/>
      <c r="N58" s="1157"/>
      <c r="O58" s="1157"/>
      <c r="P58" s="2677"/>
      <c r="Q58" s="503"/>
    </row>
    <row r="59" spans="1:29" s="507" customFormat="1" ht="15">
      <c r="A59" s="504" t="s">
        <v>2543</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8"/>
    </row>
    <row r="61" spans="1:29" s="117" customFormat="1" ht="15.75" thickBot="1">
      <c r="A61" s="514" t="s">
        <v>2580</v>
      </c>
      <c r="B61" s="515"/>
      <c r="C61" s="516"/>
      <c r="D61" s="517"/>
      <c r="E61" s="517"/>
      <c r="F61" s="517"/>
      <c r="G61" s="517"/>
      <c r="H61" s="517"/>
      <c r="I61" s="517"/>
      <c r="J61" s="517"/>
      <c r="K61" s="517"/>
      <c r="L61" s="517"/>
      <c r="M61" s="518"/>
      <c r="N61" s="517"/>
      <c r="O61" s="518"/>
      <c r="P61" s="2678"/>
      <c r="Q61" s="503"/>
    </row>
    <row r="62" spans="1:29" s="117" customFormat="1" ht="15">
      <c r="A62" s="520" t="s">
        <v>2545</v>
      </c>
      <c r="B62" s="509"/>
      <c r="C62" s="521" t="s">
        <v>2647</v>
      </c>
      <c r="D62" s="522"/>
      <c r="E62" s="522"/>
      <c r="F62" s="522"/>
      <c r="G62" s="522"/>
      <c r="H62" s="522"/>
      <c r="I62" s="522"/>
      <c r="J62" s="522"/>
      <c r="K62" s="522"/>
      <c r="L62" s="523"/>
      <c r="M62" s="524"/>
      <c r="N62" s="1149"/>
      <c r="O62" s="1149"/>
      <c r="P62" s="2679"/>
      <c r="Q62" s="503"/>
    </row>
    <row r="63" spans="1:29" s="117"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2583</v>
      </c>
      <c r="B64" s="527" t="s">
        <v>2549</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2684</v>
      </c>
      <c r="C83" s="659" t="s">
        <v>2670</v>
      </c>
      <c r="D83" s="659" t="s">
        <v>2671</v>
      </c>
      <c r="E83" s="659" t="s">
        <v>2672</v>
      </c>
      <c r="F83" s="659" t="s">
        <v>2673</v>
      </c>
      <c r="G83" s="659" t="s">
        <v>2674</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7" customFormat="1" ht="27.75" thickTop="1">
      <c r="A87" s="578"/>
      <c r="B87" s="537" t="s">
        <v>2694</v>
      </c>
      <c r="C87" s="553"/>
      <c r="D87" s="553"/>
      <c r="E87" s="553"/>
      <c r="F87" s="553"/>
      <c r="G87" s="553"/>
      <c r="H87" s="553"/>
      <c r="I87" s="553"/>
      <c r="J87" s="553"/>
      <c r="K87" s="553"/>
      <c r="L87" s="579"/>
      <c r="M87" s="580"/>
      <c r="N87" s="1149"/>
      <c r="O87" s="1149"/>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7"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2558</v>
      </c>
      <c r="B101" s="527" t="s">
        <v>2607</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2609</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2611</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2695</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2612</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2613</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2696</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2679</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2615</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5" t="s">
        <v>2697</v>
      </c>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IF(C2="——",ROUND(C43*D3/10000,0),ROUND(C43*D3/10000,0)-D2)</f>
        <v>#DIV/0!</v>
      </c>
      <c r="C2" s="2582"/>
      <c r="D2" s="1122" t="e">
        <f ca="1">SUMIF(INDIRECT("'"&amp;F2&amp;"'"&amp;"!A:A"),"承租人权益价值",INDIRECT("'"&amp;F2&amp;"'"&amp;"!c:c"))</f>
        <v>#REF!</v>
      </c>
      <c r="E2" s="2583" t="s">
        <v>2323</v>
      </c>
      <c r="F2" s="2584"/>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2324</v>
      </c>
      <c r="B3" s="608" t="e">
        <f ca="1">IF(C2="——",C43,ROUND(B2*10000/D3,0))</f>
        <v>#DIV/0!</v>
      </c>
      <c r="C3" s="399" t="s">
        <v>2639</v>
      </c>
      <c r="D3" s="398">
        <f>IF(D1="",'数据-汇总表'!E3,SUMIF('数据-汇总表'!$C19:$C33,D1,'数据-汇总表'!$E19:$E33))</f>
        <v>68327.850000000006</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242" t="s">
        <v>2641</v>
      </c>
      <c r="D4" s="3243"/>
      <c r="E4" s="3244" t="s">
        <v>2642</v>
      </c>
      <c r="F4" s="3245"/>
      <c r="G4" s="3242" t="s">
        <v>2643</v>
      </c>
      <c r="H4" s="3243"/>
      <c r="I4" s="3242" t="s">
        <v>2644</v>
      </c>
      <c r="J4" s="3243"/>
      <c r="K4" s="609" t="s">
        <v>2645</v>
      </c>
      <c r="L4" s="1128"/>
      <c r="M4" s="1129"/>
      <c r="N4" s="1129"/>
      <c r="O4" s="1129"/>
      <c r="P4" s="3246" t="s">
        <v>2646</v>
      </c>
      <c r="Q4" s="3247"/>
      <c r="R4" s="3229" t="s">
        <v>2642</v>
      </c>
      <c r="S4" s="3230"/>
      <c r="T4" s="3229" t="s">
        <v>2643</v>
      </c>
      <c r="U4" s="3230"/>
      <c r="V4" s="3254" t="s">
        <v>2644</v>
      </c>
      <c r="W4" s="3254"/>
      <c r="X4" s="1811"/>
      <c r="Y4" s="3229" t="s">
        <v>2646</v>
      </c>
      <c r="Z4" s="3230"/>
      <c r="AA4" s="3224" t="s">
        <v>2642</v>
      </c>
      <c r="AB4" s="3225" t="s">
        <v>2643</v>
      </c>
      <c r="AC4" s="3224" t="s">
        <v>2644</v>
      </c>
    </row>
    <row r="5" spans="1:29" ht="15">
      <c r="A5" s="403"/>
      <c r="B5" s="404"/>
      <c r="C5" s="3235" t="s">
        <v>2537</v>
      </c>
      <c r="D5" s="3236"/>
      <c r="E5" s="3233" t="s">
        <v>2538</v>
      </c>
      <c r="F5" s="3234"/>
      <c r="G5" s="3235" t="s">
        <v>2539</v>
      </c>
      <c r="H5" s="3236"/>
      <c r="I5" s="3235" t="s">
        <v>2540</v>
      </c>
      <c r="J5" s="3236"/>
      <c r="K5" s="609"/>
      <c r="L5" s="1128"/>
      <c r="M5" s="1129"/>
      <c r="N5" s="1129"/>
      <c r="O5" s="1129"/>
      <c r="P5" s="3248"/>
      <c r="Q5" s="3249"/>
      <c r="R5" s="3231"/>
      <c r="S5" s="3232"/>
      <c r="T5" s="3231"/>
      <c r="U5" s="3232"/>
      <c r="V5" s="3254"/>
      <c r="W5" s="3254"/>
      <c r="X5" s="1811"/>
      <c r="Y5" s="3231"/>
      <c r="Z5" s="3232"/>
      <c r="AA5" s="3225"/>
      <c r="AB5" s="3225"/>
      <c r="AC5" s="3225"/>
    </row>
    <row r="6" spans="1:29" ht="15.75" thickBot="1">
      <c r="A6" s="405"/>
      <c r="B6" s="406"/>
      <c r="C6" s="3237" t="s">
        <v>2541</v>
      </c>
      <c r="D6" s="3238"/>
      <c r="E6" s="3239" t="s">
        <v>2541</v>
      </c>
      <c r="F6" s="3240"/>
      <c r="G6" s="3237" t="s">
        <v>2541</v>
      </c>
      <c r="H6" s="3238"/>
      <c r="I6" s="3237" t="s">
        <v>2541</v>
      </c>
      <c r="J6" s="3238"/>
      <c r="K6" s="609" t="s">
        <v>2542</v>
      </c>
      <c r="L6" s="1128"/>
      <c r="M6" s="1129"/>
      <c r="N6" s="1129"/>
      <c r="O6" s="1129"/>
      <c r="P6" s="3250"/>
      <c r="Q6" s="3251"/>
      <c r="R6" s="3231"/>
      <c r="S6" s="3232"/>
      <c r="T6" s="3252"/>
      <c r="U6" s="3253"/>
      <c r="V6" s="3254"/>
      <c r="W6" s="3254"/>
      <c r="X6" s="1811"/>
      <c r="Y6" s="3252"/>
      <c r="Z6" s="3253"/>
      <c r="AA6" s="3226"/>
      <c r="AB6" s="3226"/>
      <c r="AC6" s="3226"/>
    </row>
    <row r="7" spans="1:29" s="117" customFormat="1" ht="15.75" thickBot="1">
      <c r="A7" s="407" t="s">
        <v>2543</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7" t="s">
        <v>2544</v>
      </c>
      <c r="Q7" s="3255"/>
      <c r="R7" s="768" t="s">
        <v>17</v>
      </c>
      <c r="S7" s="769">
        <f t="shared" ref="S7:S15" si="0">F7</f>
        <v>0</v>
      </c>
      <c r="T7" s="768" t="s">
        <v>17</v>
      </c>
      <c r="U7" s="769">
        <f t="shared" ref="U7:U15" si="1">H7</f>
        <v>0</v>
      </c>
      <c r="V7" s="768" t="s">
        <v>17</v>
      </c>
      <c r="W7" s="769">
        <f t="shared" ref="W7:W15" si="2">J7</f>
        <v>0</v>
      </c>
      <c r="X7" s="770"/>
      <c r="Y7" s="3227" t="s">
        <v>2544</v>
      </c>
      <c r="Z7" s="3228"/>
      <c r="AA7" s="771" t="e">
        <f>D7/F7</f>
        <v>#DIV/0!</v>
      </c>
      <c r="AB7" s="771" t="e">
        <f>D7/H7</f>
        <v>#DIV/0!</v>
      </c>
      <c r="AC7" s="771"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7" t="s">
        <v>2547</v>
      </c>
      <c r="Q8" s="3228"/>
      <c r="R8" s="768" t="s">
        <v>17</v>
      </c>
      <c r="S8" s="769">
        <f t="shared" si="0"/>
        <v>0</v>
      </c>
      <c r="T8" s="768" t="s">
        <v>17</v>
      </c>
      <c r="U8" s="769">
        <f t="shared" si="1"/>
        <v>0</v>
      </c>
      <c r="V8" s="768" t="s">
        <v>17</v>
      </c>
      <c r="W8" s="769">
        <f t="shared" si="2"/>
        <v>0</v>
      </c>
      <c r="X8" s="770"/>
      <c r="Y8" s="3227" t="s">
        <v>2547</v>
      </c>
      <c r="Z8" s="3228"/>
      <c r="AA8" s="771" t="e">
        <f t="shared" ref="AA8:AA40" si="3">D8/F8</f>
        <v>#DIV/0!</v>
      </c>
      <c r="AB8" s="771" t="e">
        <f t="shared" ref="AB8:AB40" si="4">D8/H8</f>
        <v>#DIV/0!</v>
      </c>
      <c r="AC8" s="771" t="e">
        <f t="shared" ref="AC8:AC40" si="5">D8/J8</f>
        <v>#DIV/0!</v>
      </c>
    </row>
    <row r="9" spans="1:29" s="117"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59" t="s">
        <v>2550</v>
      </c>
      <c r="Q9" s="1793" t="str">
        <f t="shared" ref="Q9:Q15" si="6">B9</f>
        <v>用途</v>
      </c>
      <c r="R9" s="768" t="s">
        <v>17</v>
      </c>
      <c r="S9" s="769">
        <f t="shared" si="0"/>
        <v>100</v>
      </c>
      <c r="T9" s="768" t="s">
        <v>17</v>
      </c>
      <c r="U9" s="769">
        <f t="shared" si="1"/>
        <v>100</v>
      </c>
      <c r="V9" s="768" t="s">
        <v>17</v>
      </c>
      <c r="W9" s="769">
        <f t="shared" si="2"/>
        <v>100</v>
      </c>
      <c r="X9" s="770"/>
      <c r="Y9" s="3074"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59"/>
      <c r="Q10" s="1793"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59"/>
      <c r="Q11" s="1793"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59"/>
      <c r="Q12" s="1793">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59"/>
      <c r="Q13" s="1793">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59"/>
      <c r="Q14" s="1793">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771">
        <f t="shared" si="5"/>
        <v>1</v>
      </c>
    </row>
    <row r="15" spans="1:29" ht="57">
      <c r="A15" s="439" t="s">
        <v>2554</v>
      </c>
      <c r="B15" s="69" t="s">
        <v>2698</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61" t="s">
        <v>2555</v>
      </c>
      <c r="Q15" s="1808" t="str">
        <f t="shared" si="6"/>
        <v>产业集聚程度</v>
      </c>
      <c r="R15" s="772" t="s">
        <v>17</v>
      </c>
      <c r="S15" s="773">
        <f t="shared" si="0"/>
        <v>100</v>
      </c>
      <c r="T15" s="772" t="s">
        <v>17</v>
      </c>
      <c r="U15" s="773">
        <f t="shared" si="1"/>
        <v>100</v>
      </c>
      <c r="V15" s="772" t="s">
        <v>17</v>
      </c>
      <c r="W15" s="773">
        <f t="shared" si="2"/>
        <v>100</v>
      </c>
      <c r="X15" s="1811"/>
      <c r="Y15" s="3261" t="s">
        <v>2555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62"/>
      <c r="Q16" s="1808"/>
      <c r="R16" s="772"/>
      <c r="S16" s="773"/>
      <c r="T16" s="772"/>
      <c r="U16" s="773"/>
      <c r="V16" s="772"/>
      <c r="W16" s="773"/>
      <c r="X16" s="1811"/>
      <c r="Y16" s="3262"/>
      <c r="Z16" s="1812"/>
      <c r="AA16" s="1809">
        <v>1</v>
      </c>
      <c r="AB16" s="1809">
        <v>1</v>
      </c>
      <c r="AC16" s="1809">
        <v>1</v>
      </c>
    </row>
    <row r="17" spans="1:29" ht="85.5">
      <c r="A17" s="427"/>
      <c r="B17" s="450" t="s">
        <v>2093</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62"/>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62"/>
      <c r="Q18" s="1808"/>
      <c r="R18" s="772"/>
      <c r="S18" s="773"/>
      <c r="T18" s="772"/>
      <c r="U18" s="773"/>
      <c r="V18" s="772"/>
      <c r="W18" s="773"/>
      <c r="X18" s="1811"/>
      <c r="Y18" s="3262"/>
      <c r="Z18" s="1812"/>
      <c r="AA18" s="1809">
        <v>1</v>
      </c>
      <c r="AB18" s="1809">
        <v>1</v>
      </c>
      <c r="AC18" s="1809">
        <v>1</v>
      </c>
    </row>
    <row r="19" spans="1:29" ht="42.75">
      <c r="A19" s="427"/>
      <c r="B19" s="450" t="s">
        <v>2683</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62"/>
      <c r="Q19" s="1808" t="str">
        <f>B19</f>
        <v>公共配套设施</v>
      </c>
      <c r="R19" s="772" t="s">
        <v>17</v>
      </c>
      <c r="S19" s="773">
        <f>F19</f>
        <v>100</v>
      </c>
      <c r="T19" s="772" t="s">
        <v>17</v>
      </c>
      <c r="U19" s="773">
        <f>H19</f>
        <v>100</v>
      </c>
      <c r="V19" s="772" t="s">
        <v>17</v>
      </c>
      <c r="W19" s="773">
        <f>J19</f>
        <v>100</v>
      </c>
      <c r="X19" s="1811"/>
      <c r="Y19" s="3262"/>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62"/>
      <c r="Q20" s="1808"/>
      <c r="R20" s="772"/>
      <c r="S20" s="773"/>
      <c r="T20" s="772"/>
      <c r="U20" s="773"/>
      <c r="V20" s="772"/>
      <c r="W20" s="773"/>
      <c r="X20" s="1811"/>
      <c r="Y20" s="3262"/>
      <c r="Z20" s="1812"/>
      <c r="AA20" s="1809">
        <v>1</v>
      </c>
      <c r="AB20" s="1809">
        <v>1</v>
      </c>
      <c r="AC20" s="1809">
        <v>1</v>
      </c>
    </row>
    <row r="21" spans="1:29" ht="28.5">
      <c r="A21" s="427"/>
      <c r="B21" s="1382" t="s">
        <v>2684</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62"/>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62"/>
      <c r="Q22" s="1808"/>
      <c r="R22" s="772"/>
      <c r="S22" s="773"/>
      <c r="T22" s="772"/>
      <c r="U22" s="773"/>
      <c r="V22" s="772"/>
      <c r="W22" s="773"/>
      <c r="X22" s="1811"/>
      <c r="Y22" s="3262"/>
      <c r="Z22" s="1812"/>
      <c r="AA22" s="1809">
        <v>1</v>
      </c>
      <c r="AB22" s="1809">
        <v>1</v>
      </c>
      <c r="AC22" s="1809">
        <v>1</v>
      </c>
    </row>
    <row r="23" spans="1:29" ht="71.25">
      <c r="A23" s="427"/>
      <c r="B23" s="450" t="s">
        <v>2685</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62"/>
      <c r="Q23" s="1808" t="str">
        <f>B23</f>
        <v>环境质量</v>
      </c>
      <c r="R23" s="772" t="s">
        <v>17</v>
      </c>
      <c r="S23" s="773">
        <f>F23</f>
        <v>100</v>
      </c>
      <c r="T23" s="772" t="s">
        <v>17</v>
      </c>
      <c r="U23" s="773">
        <f>H23</f>
        <v>100</v>
      </c>
      <c r="V23" s="772" t="s">
        <v>17</v>
      </c>
      <c r="W23" s="773">
        <f>J23</f>
        <v>100</v>
      </c>
      <c r="X23" s="1811"/>
      <c r="Y23" s="3262"/>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62"/>
      <c r="Q24" s="1808"/>
      <c r="R24" s="772"/>
      <c r="S24" s="773"/>
      <c r="T24" s="772"/>
      <c r="U24" s="773"/>
      <c r="V24" s="772"/>
      <c r="W24" s="773"/>
      <c r="X24" s="1811"/>
      <c r="Y24" s="326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62"/>
      <c r="Q25" s="1808">
        <f>B25</f>
        <v>111</v>
      </c>
      <c r="R25" s="772" t="s">
        <v>17</v>
      </c>
      <c r="S25" s="773">
        <f>F25</f>
        <v>100</v>
      </c>
      <c r="T25" s="772" t="s">
        <v>17</v>
      </c>
      <c r="U25" s="773">
        <f>H25</f>
        <v>100</v>
      </c>
      <c r="V25" s="772" t="s">
        <v>17</v>
      </c>
      <c r="W25" s="773">
        <f>J25</f>
        <v>100</v>
      </c>
      <c r="X25" s="1811"/>
      <c r="Y25" s="326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62"/>
      <c r="Q26" s="1808">
        <f t="shared" ref="Q26:Q40" si="11">B26</f>
        <v>111</v>
      </c>
      <c r="R26" s="772" t="s">
        <v>17</v>
      </c>
      <c r="S26" s="773">
        <f>F26</f>
        <v>100</v>
      </c>
      <c r="T26" s="772" t="s">
        <v>17</v>
      </c>
      <c r="U26" s="773">
        <f>H26</f>
        <v>100</v>
      </c>
      <c r="V26" s="772" t="s">
        <v>17</v>
      </c>
      <c r="W26" s="773">
        <f>J26</f>
        <v>100</v>
      </c>
      <c r="X26" s="1811"/>
      <c r="Y26" s="326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62"/>
      <c r="Q27" s="1793">
        <f t="shared" si="11"/>
        <v>111</v>
      </c>
      <c r="R27" s="768" t="s">
        <v>17</v>
      </c>
      <c r="S27" s="769">
        <f>F27</f>
        <v>100</v>
      </c>
      <c r="T27" s="768" t="s">
        <v>17</v>
      </c>
      <c r="U27" s="769">
        <f>H27</f>
        <v>100</v>
      </c>
      <c r="V27" s="768" t="s">
        <v>17</v>
      </c>
      <c r="W27" s="769">
        <f>J27</f>
        <v>100</v>
      </c>
      <c r="X27" s="770"/>
      <c r="Y27" s="326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62"/>
      <c r="Q28" s="1808">
        <f t="shared" si="11"/>
        <v>111</v>
      </c>
      <c r="R28" s="772" t="s">
        <v>17</v>
      </c>
      <c r="S28" s="773">
        <f t="shared" ref="S28:S40" si="12">F28</f>
        <v>100</v>
      </c>
      <c r="T28" s="772" t="s">
        <v>17</v>
      </c>
      <c r="U28" s="773">
        <f t="shared" ref="U28:U40" si="13">H28</f>
        <v>100</v>
      </c>
      <c r="V28" s="772" t="s">
        <v>17</v>
      </c>
      <c r="W28" s="773">
        <f t="shared" ref="W28:W40" si="14">J28</f>
        <v>100</v>
      </c>
      <c r="X28" s="1811"/>
      <c r="Y28" s="3262"/>
      <c r="Z28" s="1812">
        <f t="shared" ref="Z28:Z40" si="15">Q28</f>
        <v>111</v>
      </c>
      <c r="AA28" s="1809">
        <f t="shared" si="3"/>
        <v>1</v>
      </c>
      <c r="AB28" s="1809">
        <f t="shared" si="4"/>
        <v>1</v>
      </c>
      <c r="AC28" s="1809">
        <f t="shared" si="5"/>
        <v>1</v>
      </c>
    </row>
    <row r="29" spans="1:29" ht="28.5">
      <c r="A29" s="465" t="s">
        <v>2558</v>
      </c>
      <c r="B29" s="71" t="s">
        <v>2688</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285" t="s">
        <v>2560</v>
      </c>
      <c r="Q29" s="1808" t="str">
        <f t="shared" si="11"/>
        <v>建筑类型</v>
      </c>
      <c r="R29" s="772" t="s">
        <v>17</v>
      </c>
      <c r="S29" s="773">
        <f t="shared" si="12"/>
        <v>100</v>
      </c>
      <c r="T29" s="772" t="s">
        <v>17</v>
      </c>
      <c r="U29" s="773">
        <f t="shared" si="13"/>
        <v>100</v>
      </c>
      <c r="V29" s="772" t="s">
        <v>17</v>
      </c>
      <c r="W29" s="773">
        <f t="shared" si="14"/>
        <v>100</v>
      </c>
      <c r="X29" s="1811"/>
      <c r="Y29" s="3266" t="s">
        <v>2560</v>
      </c>
      <c r="Z29" s="1812" t="str">
        <f t="shared" si="15"/>
        <v>建筑类型</v>
      </c>
      <c r="AA29" s="1809">
        <f t="shared" si="3"/>
        <v>1</v>
      </c>
      <c r="AB29" s="1809">
        <f t="shared" si="4"/>
        <v>1</v>
      </c>
      <c r="AC29" s="1809">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66"/>
      <c r="Q30" s="774" t="str">
        <f t="shared" si="11"/>
        <v>项目建筑规模</v>
      </c>
      <c r="R30" s="775" t="s">
        <v>17</v>
      </c>
      <c r="S30" s="776" t="e">
        <f t="shared" si="12"/>
        <v>#N/A</v>
      </c>
      <c r="T30" s="775" t="s">
        <v>17</v>
      </c>
      <c r="U30" s="776" t="e">
        <f t="shared" si="13"/>
        <v>#N/A</v>
      </c>
      <c r="V30" s="775" t="s">
        <v>17</v>
      </c>
      <c r="W30" s="776" t="e">
        <f t="shared" si="14"/>
        <v>#N/A</v>
      </c>
      <c r="X30" s="777"/>
      <c r="Y30" s="3266"/>
      <c r="Z30" s="778" t="str">
        <f t="shared" si="15"/>
        <v>项目建筑规模</v>
      </c>
      <c r="AA30" s="1809" t="e">
        <f t="shared" si="3"/>
        <v>#N/A</v>
      </c>
      <c r="AB30" s="1809" t="e">
        <f t="shared" si="4"/>
        <v>#N/A</v>
      </c>
      <c r="AC30" s="1809"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66"/>
      <c r="Q31" s="1808" t="str">
        <f t="shared" si="11"/>
        <v>建筑结构</v>
      </c>
      <c r="R31" s="772" t="s">
        <v>17</v>
      </c>
      <c r="S31" s="773">
        <f t="shared" si="12"/>
        <v>100</v>
      </c>
      <c r="T31" s="772" t="s">
        <v>17</v>
      </c>
      <c r="U31" s="773">
        <f t="shared" si="13"/>
        <v>100</v>
      </c>
      <c r="V31" s="772" t="s">
        <v>17</v>
      </c>
      <c r="W31" s="773">
        <f t="shared" si="14"/>
        <v>100</v>
      </c>
      <c r="X31" s="1811"/>
      <c r="Y31" s="3266"/>
      <c r="Z31" s="1812" t="str">
        <f t="shared" si="15"/>
        <v>建筑结构</v>
      </c>
      <c r="AA31" s="1809">
        <f t="shared" si="3"/>
        <v>1</v>
      </c>
      <c r="AB31" s="1809">
        <f t="shared" si="4"/>
        <v>1</v>
      </c>
      <c r="AC31" s="1809">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66"/>
      <c r="Q32" s="1808" t="str">
        <f t="shared" si="11"/>
        <v>公共部分装修</v>
      </c>
      <c r="R32" s="772" t="s">
        <v>17</v>
      </c>
      <c r="S32" s="773">
        <f t="shared" si="12"/>
        <v>100</v>
      </c>
      <c r="T32" s="772" t="s">
        <v>17</v>
      </c>
      <c r="U32" s="773">
        <f t="shared" si="13"/>
        <v>100</v>
      </c>
      <c r="V32" s="772" t="s">
        <v>17</v>
      </c>
      <c r="W32" s="773">
        <f t="shared" si="14"/>
        <v>100</v>
      </c>
      <c r="X32" s="1811"/>
      <c r="Y32" s="3266"/>
      <c r="Z32" s="1812" t="str">
        <f t="shared" si="15"/>
        <v>公共部分装修</v>
      </c>
      <c r="AA32" s="1809">
        <f t="shared" si="3"/>
        <v>1</v>
      </c>
      <c r="AB32" s="1809">
        <f t="shared" si="4"/>
        <v>1</v>
      </c>
      <c r="AC32" s="1809">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66"/>
      <c r="Q33" s="1808" t="str">
        <f t="shared" si="11"/>
        <v>成新度</v>
      </c>
      <c r="R33" s="772" t="s">
        <v>17</v>
      </c>
      <c r="S33" s="773" t="e">
        <f t="shared" si="12"/>
        <v>#N/A</v>
      </c>
      <c r="T33" s="772" t="s">
        <v>17</v>
      </c>
      <c r="U33" s="773" t="e">
        <f t="shared" si="13"/>
        <v>#N/A</v>
      </c>
      <c r="V33" s="772" t="s">
        <v>17</v>
      </c>
      <c r="W33" s="773" t="e">
        <f t="shared" si="14"/>
        <v>#N/A</v>
      </c>
      <c r="X33" s="1811"/>
      <c r="Y33" s="3266"/>
      <c r="Z33" s="1812" t="str">
        <f t="shared" si="15"/>
        <v>成新度</v>
      </c>
      <c r="AA33" s="1809" t="e">
        <f t="shared" si="3"/>
        <v>#N/A</v>
      </c>
      <c r="AB33" s="1809" t="e">
        <f t="shared" si="4"/>
        <v>#N/A</v>
      </c>
      <c r="AC33" s="1809" t="e">
        <f t="shared" si="5"/>
        <v>#N/A</v>
      </c>
    </row>
    <row r="34" spans="1:29" s="117"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66"/>
      <c r="Q34" s="1793" t="str">
        <f t="shared" si="11"/>
        <v>物业管理</v>
      </c>
      <c r="R34" s="768" t="s">
        <v>17</v>
      </c>
      <c r="S34" s="769">
        <f t="shared" si="12"/>
        <v>100</v>
      </c>
      <c r="T34" s="768" t="s">
        <v>17</v>
      </c>
      <c r="U34" s="769">
        <f t="shared" si="13"/>
        <v>100</v>
      </c>
      <c r="V34" s="768" t="s">
        <v>17</v>
      </c>
      <c r="W34" s="769">
        <f t="shared" si="14"/>
        <v>100</v>
      </c>
      <c r="X34" s="770"/>
      <c r="Y34" s="3266"/>
      <c r="Z34" s="55" t="str">
        <f t="shared" si="15"/>
        <v>物业管理</v>
      </c>
      <c r="AA34" s="771">
        <f t="shared" si="3"/>
        <v>1</v>
      </c>
      <c r="AB34" s="771">
        <f t="shared" si="4"/>
        <v>1</v>
      </c>
      <c r="AC34" s="771">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66" t="s">
        <v>2560</v>
      </c>
      <c r="Q35" s="1808" t="str">
        <f t="shared" si="11"/>
        <v>市政基础设施</v>
      </c>
      <c r="R35" s="772" t="s">
        <v>17</v>
      </c>
      <c r="S35" s="773">
        <f t="shared" si="12"/>
        <v>100</v>
      </c>
      <c r="T35" s="772" t="s">
        <v>17</v>
      </c>
      <c r="U35" s="773">
        <f t="shared" si="13"/>
        <v>100</v>
      </c>
      <c r="V35" s="772" t="s">
        <v>17</v>
      </c>
      <c r="W35" s="773">
        <f t="shared" si="14"/>
        <v>100</v>
      </c>
      <c r="X35" s="1811"/>
      <c r="Y35" s="3266" t="s">
        <v>2560</v>
      </c>
      <c r="Z35" s="1812" t="str">
        <f t="shared" si="15"/>
        <v>市政基础设施</v>
      </c>
      <c r="AA35" s="1809">
        <f t="shared" si="3"/>
        <v>1</v>
      </c>
      <c r="AB35" s="1809">
        <f t="shared" si="4"/>
        <v>1</v>
      </c>
      <c r="AC35" s="1809">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66"/>
      <c r="Q36" s="1808" t="str">
        <f t="shared" si="11"/>
        <v>内部装修</v>
      </c>
      <c r="R36" s="772" t="s">
        <v>17</v>
      </c>
      <c r="S36" s="773">
        <f t="shared" si="12"/>
        <v>100</v>
      </c>
      <c r="T36" s="772" t="s">
        <v>17</v>
      </c>
      <c r="U36" s="773">
        <f t="shared" si="13"/>
        <v>100</v>
      </c>
      <c r="V36" s="772" t="s">
        <v>17</v>
      </c>
      <c r="W36" s="773">
        <f t="shared" si="14"/>
        <v>100</v>
      </c>
      <c r="X36" s="1811"/>
      <c r="Y36" s="3266"/>
      <c r="Z36" s="1812" t="str">
        <f t="shared" si="15"/>
        <v>内部装修</v>
      </c>
      <c r="AA36" s="1809">
        <f t="shared" si="3"/>
        <v>1</v>
      </c>
      <c r="AB36" s="1809">
        <f t="shared" si="4"/>
        <v>1</v>
      </c>
      <c r="AC36" s="1809">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66"/>
      <c r="Q37" s="1808" t="str">
        <f t="shared" si="11"/>
        <v>内部装修状况</v>
      </c>
      <c r="R37" s="772" t="s">
        <v>17</v>
      </c>
      <c r="S37" s="773">
        <f t="shared" si="12"/>
        <v>100</v>
      </c>
      <c r="T37" s="772" t="s">
        <v>17</v>
      </c>
      <c r="U37" s="773">
        <f t="shared" si="13"/>
        <v>100</v>
      </c>
      <c r="V37" s="772" t="s">
        <v>17</v>
      </c>
      <c r="W37" s="773">
        <f t="shared" si="14"/>
        <v>100</v>
      </c>
      <c r="X37" s="1811"/>
      <c r="Y37" s="3266"/>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66"/>
      <c r="Q38" s="774">
        <f t="shared" si="11"/>
        <v>111</v>
      </c>
      <c r="R38" s="775" t="s">
        <v>17</v>
      </c>
      <c r="S38" s="776">
        <f t="shared" si="12"/>
        <v>100</v>
      </c>
      <c r="T38" s="775" t="s">
        <v>17</v>
      </c>
      <c r="U38" s="776">
        <f t="shared" si="13"/>
        <v>100</v>
      </c>
      <c r="V38" s="775" t="s">
        <v>17</v>
      </c>
      <c r="W38" s="776">
        <f t="shared" si="14"/>
        <v>100</v>
      </c>
      <c r="X38" s="777"/>
      <c r="Y38" s="3266"/>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66"/>
      <c r="Q39" s="1808">
        <f t="shared" si="11"/>
        <v>111</v>
      </c>
      <c r="R39" s="772" t="s">
        <v>17</v>
      </c>
      <c r="S39" s="773">
        <f t="shared" si="12"/>
        <v>100</v>
      </c>
      <c r="T39" s="772" t="s">
        <v>17</v>
      </c>
      <c r="U39" s="773">
        <f t="shared" si="13"/>
        <v>100</v>
      </c>
      <c r="V39" s="772" t="s">
        <v>17</v>
      </c>
      <c r="W39" s="773">
        <f t="shared" si="14"/>
        <v>100</v>
      </c>
      <c r="X39" s="1811"/>
      <c r="Y39" s="3266"/>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67"/>
      <c r="Q40" s="1808">
        <f t="shared" si="11"/>
        <v>111</v>
      </c>
      <c r="R40" s="772" t="s">
        <v>17</v>
      </c>
      <c r="S40" s="773">
        <f t="shared" si="12"/>
        <v>100</v>
      </c>
      <c r="T40" s="772" t="s">
        <v>17</v>
      </c>
      <c r="U40" s="773">
        <f t="shared" si="13"/>
        <v>100</v>
      </c>
      <c r="V40" s="772" t="s">
        <v>17</v>
      </c>
      <c r="W40" s="773">
        <f t="shared" si="14"/>
        <v>100</v>
      </c>
      <c r="X40" s="1811"/>
      <c r="Y40" s="3267"/>
      <c r="Z40" s="1812">
        <f t="shared" si="15"/>
        <v>111</v>
      </c>
      <c r="AA40" s="1809">
        <f t="shared" si="3"/>
        <v>1</v>
      </c>
      <c r="AB40" s="1809">
        <f t="shared" si="4"/>
        <v>1</v>
      </c>
      <c r="AC40" s="1809">
        <f t="shared" si="5"/>
        <v>1</v>
      </c>
    </row>
    <row r="41" spans="1:29" ht="15">
      <c r="A41" s="478" t="s">
        <v>2572</v>
      </c>
      <c r="B41" s="479"/>
      <c r="C41" s="1405" t="s">
        <v>1</v>
      </c>
      <c r="D41" s="1406"/>
      <c r="E41" s="1407"/>
      <c r="F41" s="1408"/>
      <c r="G41" s="1409"/>
      <c r="H41" s="1410"/>
      <c r="I41" s="1407"/>
      <c r="J41" s="1410"/>
      <c r="K41" s="781"/>
      <c r="L41" s="1141"/>
      <c r="M41" s="1142"/>
      <c r="N41" s="1129"/>
      <c r="O41" s="1142"/>
      <c r="P41" s="3259" t="str">
        <f>A41</f>
        <v>成交单价（元/平方米）</v>
      </c>
      <c r="Q41" s="3259"/>
      <c r="R41" s="3260">
        <f>E41</f>
        <v>0</v>
      </c>
      <c r="S41" s="3260"/>
      <c r="T41" s="3260">
        <f>G41</f>
        <v>0</v>
      </c>
      <c r="U41" s="3260"/>
      <c r="V41" s="3260">
        <f>I41</f>
        <v>0</v>
      </c>
      <c r="W41" s="3260"/>
      <c r="X41" s="757"/>
      <c r="Y41" s="779"/>
      <c r="Z41" s="757"/>
      <c r="AA41" s="757"/>
      <c r="AB41" s="757"/>
      <c r="AC41" s="757"/>
    </row>
    <row r="42" spans="1:29" ht="15.75" thickBot="1">
      <c r="A42" s="485" t="s">
        <v>2664</v>
      </c>
      <c r="B42" s="486"/>
      <c r="C42" s="1411" t="e">
        <f>R43</f>
        <v>#DIV/0!</v>
      </c>
      <c r="D42" s="1412"/>
      <c r="E42" s="1413" t="e">
        <f>R42</f>
        <v>#DIV/0!</v>
      </c>
      <c r="F42" s="1413"/>
      <c r="G42" s="1411" t="e">
        <f>T42</f>
        <v>#DIV/0!</v>
      </c>
      <c r="H42" s="1412"/>
      <c r="I42" s="1413" t="e">
        <f>V42</f>
        <v>#DIV/0!</v>
      </c>
      <c r="J42" s="1412"/>
      <c r="K42" s="782"/>
      <c r="L42" s="1141"/>
      <c r="M42" s="1142"/>
      <c r="N42" s="1129"/>
      <c r="O42" s="1142"/>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7"/>
      <c r="Y42" s="757"/>
      <c r="Z42" s="757"/>
      <c r="AA42" s="757"/>
      <c r="AB42" s="757"/>
      <c r="AC42" s="757"/>
    </row>
    <row r="43" spans="1:29" ht="15.75" thickBot="1">
      <c r="A43" s="491" t="s">
        <v>2665</v>
      </c>
      <c r="B43" s="492"/>
      <c r="C43" s="1415" t="e">
        <f>R43</f>
        <v>#DIV/0!</v>
      </c>
      <c r="D43" s="1415"/>
      <c r="E43" s="1415"/>
      <c r="F43" s="1415"/>
      <c r="G43" s="1415"/>
      <c r="H43" s="1415"/>
      <c r="I43" s="1415"/>
      <c r="J43" s="1415"/>
      <c r="K43" s="783"/>
      <c r="L43" s="1141"/>
      <c r="M43" s="1142"/>
      <c r="N43" s="1142"/>
      <c r="O43" s="1142"/>
      <c r="P43" s="3256" t="str">
        <f>A43</f>
        <v>估价对象XX用房的比较价值（楼面单价，元/平方米）</v>
      </c>
      <c r="Q43" s="3257"/>
      <c r="R43" s="3258" t="e">
        <f>IF(F1="售价",ROUND(AVERAGE(R42:V42),0),ROUND(AVERAGE(R42:V42),1))</f>
        <v>#DIV/0!</v>
      </c>
      <c r="S43" s="3258"/>
      <c r="T43" s="3258"/>
      <c r="U43" s="3258"/>
      <c r="V43" s="3258"/>
      <c r="W43" s="3258"/>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2669</v>
      </c>
      <c r="B51" s="757"/>
      <c r="C51" s="762"/>
      <c r="D51" s="762"/>
      <c r="E51" s="762"/>
      <c r="F51" s="763"/>
      <c r="G51" s="763"/>
      <c r="H51" s="762"/>
      <c r="I51" s="762"/>
      <c r="J51" s="762"/>
      <c r="K51" s="1158"/>
      <c r="L51" s="1159"/>
      <c r="M51" s="1157"/>
      <c r="N51" s="1157"/>
      <c r="O51" s="1157"/>
      <c r="P51" s="502"/>
      <c r="Q51" s="503"/>
    </row>
    <row r="52" spans="1:17" s="507" customFormat="1" ht="15">
      <c r="A52" s="504" t="s">
        <v>2543</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2583</v>
      </c>
      <c r="B57" s="527" t="s">
        <v>2549</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2558</v>
      </c>
      <c r="B88" s="527" t="s">
        <v>2607</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2609</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2611</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2612</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2613</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2615</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0"/>
      <c r="F1" s="2580"/>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2322</v>
      </c>
      <c r="B2" s="1416" t="e">
        <f ca="1">IF(C2="——",IF(B37="元/平方米",ROUND(C39*D3/10000,0),ROUND(F3*C39/10000,0)),IF(B37="元/平方米",ROUND(C39*D3/10000,0),ROUND(F3*C39/10000,0))-D2)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2640</v>
      </c>
      <c r="B4" s="401"/>
      <c r="C4" s="3242" t="s">
        <v>2641</v>
      </c>
      <c r="D4" s="3243"/>
      <c r="E4" s="3244" t="s">
        <v>2642</v>
      </c>
      <c r="F4" s="3245"/>
      <c r="G4" s="3242" t="s">
        <v>2643</v>
      </c>
      <c r="H4" s="3243"/>
      <c r="I4" s="3242" t="s">
        <v>2644</v>
      </c>
      <c r="J4" s="3243"/>
      <c r="K4" s="609" t="s">
        <v>2645</v>
      </c>
      <c r="L4" s="1128"/>
      <c r="M4" s="1129"/>
      <c r="N4" s="1129"/>
      <c r="O4" s="1129"/>
      <c r="P4" s="3246" t="s">
        <v>2646</v>
      </c>
      <c r="Q4" s="3247"/>
      <c r="R4" s="3229" t="s">
        <v>2642</v>
      </c>
      <c r="S4" s="3230"/>
      <c r="T4" s="3229" t="s">
        <v>2643</v>
      </c>
      <c r="U4" s="3230"/>
      <c r="V4" s="3254" t="s">
        <v>2644</v>
      </c>
      <c r="W4" s="3254"/>
      <c r="X4" s="1811"/>
      <c r="Y4" s="3229" t="s">
        <v>2646</v>
      </c>
      <c r="Z4" s="3230"/>
      <c r="AA4" s="3224" t="s">
        <v>2642</v>
      </c>
      <c r="AB4" s="3225" t="s">
        <v>2643</v>
      </c>
      <c r="AC4" s="3224" t="s">
        <v>2644</v>
      </c>
    </row>
    <row r="5" spans="1:29" ht="15">
      <c r="A5" s="403"/>
      <c r="B5" s="404"/>
      <c r="C5" s="3235" t="s">
        <v>2537</v>
      </c>
      <c r="D5" s="3236"/>
      <c r="E5" s="3233" t="s">
        <v>2538</v>
      </c>
      <c r="F5" s="3234"/>
      <c r="G5" s="3235" t="s">
        <v>2539</v>
      </c>
      <c r="H5" s="3236"/>
      <c r="I5" s="3235" t="s">
        <v>2540</v>
      </c>
      <c r="J5" s="3236"/>
      <c r="K5" s="609"/>
      <c r="L5" s="1128"/>
      <c r="M5" s="1129"/>
      <c r="N5" s="1129"/>
      <c r="O5" s="1129"/>
      <c r="P5" s="3248"/>
      <c r="Q5" s="3249"/>
      <c r="R5" s="3231"/>
      <c r="S5" s="3232"/>
      <c r="T5" s="3231"/>
      <c r="U5" s="3232"/>
      <c r="V5" s="3254"/>
      <c r="W5" s="3254"/>
      <c r="X5" s="1811"/>
      <c r="Y5" s="3231"/>
      <c r="Z5" s="3232"/>
      <c r="AA5" s="3225"/>
      <c r="AB5" s="3225"/>
      <c r="AC5" s="3225"/>
    </row>
    <row r="6" spans="1:29" ht="15.75" thickBot="1">
      <c r="A6" s="405"/>
      <c r="B6" s="406"/>
      <c r="C6" s="3237" t="s">
        <v>2541</v>
      </c>
      <c r="D6" s="3238"/>
      <c r="E6" s="3239" t="s">
        <v>2541</v>
      </c>
      <c r="F6" s="3240"/>
      <c r="G6" s="3237" t="s">
        <v>2541</v>
      </c>
      <c r="H6" s="3238"/>
      <c r="I6" s="3237" t="s">
        <v>2541</v>
      </c>
      <c r="J6" s="3238"/>
      <c r="K6" s="609" t="s">
        <v>2542</v>
      </c>
      <c r="L6" s="1128"/>
      <c r="M6" s="1129"/>
      <c r="N6" s="1129"/>
      <c r="O6" s="1129"/>
      <c r="P6" s="3250"/>
      <c r="Q6" s="3251"/>
      <c r="R6" s="3231"/>
      <c r="S6" s="3232"/>
      <c r="T6" s="3252"/>
      <c r="U6" s="3253"/>
      <c r="V6" s="3254"/>
      <c r="W6" s="3254"/>
      <c r="X6" s="1811"/>
      <c r="Y6" s="3252"/>
      <c r="Z6" s="3253"/>
      <c r="AA6" s="3226"/>
      <c r="AB6" s="3226"/>
      <c r="AC6" s="3226"/>
    </row>
    <row r="7" spans="1:29" s="117" customFormat="1" ht="15.75" thickBot="1">
      <c r="A7" s="407" t="s">
        <v>2543</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7" t="s">
        <v>2544</v>
      </c>
      <c r="Q7" s="3255"/>
      <c r="R7" s="768" t="s">
        <v>17</v>
      </c>
      <c r="S7" s="769">
        <f t="shared" ref="S7:S14" si="0">F7</f>
        <v>0</v>
      </c>
      <c r="T7" s="768" t="s">
        <v>17</v>
      </c>
      <c r="U7" s="769">
        <f t="shared" ref="U7:U14" si="1">H7</f>
        <v>0</v>
      </c>
      <c r="V7" s="768" t="s">
        <v>17</v>
      </c>
      <c r="W7" s="769">
        <f t="shared" ref="W7:W14" si="2">J7</f>
        <v>0</v>
      </c>
      <c r="X7" s="770"/>
      <c r="Y7" s="3227" t="s">
        <v>2544</v>
      </c>
      <c r="Z7" s="3228"/>
      <c r="AA7" s="771" t="e">
        <f>D7/F7</f>
        <v>#DIV/0!</v>
      </c>
      <c r="AB7" s="771" t="e">
        <f>D7/H7</f>
        <v>#DIV/0!</v>
      </c>
      <c r="AC7" s="771"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7" t="s">
        <v>2547</v>
      </c>
      <c r="Q8" s="3228"/>
      <c r="R8" s="768" t="s">
        <v>17</v>
      </c>
      <c r="S8" s="769">
        <f t="shared" si="0"/>
        <v>0</v>
      </c>
      <c r="T8" s="768" t="s">
        <v>17</v>
      </c>
      <c r="U8" s="769">
        <f t="shared" si="1"/>
        <v>0</v>
      </c>
      <c r="V8" s="768" t="s">
        <v>17</v>
      </c>
      <c r="W8" s="769">
        <f t="shared" si="2"/>
        <v>0</v>
      </c>
      <c r="X8" s="770"/>
      <c r="Y8" s="3227" t="s">
        <v>2547</v>
      </c>
      <c r="Z8" s="3228"/>
      <c r="AA8" s="771" t="e">
        <f t="shared" ref="AA8:AA36" si="3">D8/F8</f>
        <v>#DIV/0!</v>
      </c>
      <c r="AB8" s="771" t="e">
        <f t="shared" ref="AB8:AB36" si="4">D8/H8</f>
        <v>#DIV/0!</v>
      </c>
      <c r="AC8" s="771" t="e">
        <f t="shared" ref="AC8:AC36" si="5">D8/J8</f>
        <v>#DIV/0!</v>
      </c>
    </row>
    <row r="9" spans="1:29" s="117"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59" t="s">
        <v>2550</v>
      </c>
      <c r="Q9" s="1793" t="str">
        <f t="shared" ref="Q9:Q14" si="6">B9</f>
        <v>用途</v>
      </c>
      <c r="R9" s="768" t="s">
        <v>17</v>
      </c>
      <c r="S9" s="769">
        <f t="shared" si="0"/>
        <v>100</v>
      </c>
      <c r="T9" s="768" t="s">
        <v>17</v>
      </c>
      <c r="U9" s="769">
        <f t="shared" si="1"/>
        <v>100</v>
      </c>
      <c r="V9" s="768" t="s">
        <v>17</v>
      </c>
      <c r="W9" s="769">
        <f t="shared" si="2"/>
        <v>100</v>
      </c>
      <c r="X9" s="770"/>
      <c r="Y9" s="3074" t="s">
        <v>2551</v>
      </c>
      <c r="Z9" s="55" t="str">
        <f t="shared" ref="Z9:Z14" si="7">Q9</f>
        <v>用途</v>
      </c>
      <c r="AA9" s="771">
        <f t="shared" si="3"/>
        <v>1</v>
      </c>
      <c r="AB9" s="771">
        <f t="shared" si="4"/>
        <v>1</v>
      </c>
      <c r="AC9" s="771">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59"/>
      <c r="Q10" s="1793"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59"/>
      <c r="Q11" s="1793">
        <f t="shared" si="6"/>
        <v>111</v>
      </c>
      <c r="R11" s="768" t="s">
        <v>17</v>
      </c>
      <c r="S11" s="769">
        <f t="shared" si="0"/>
        <v>100</v>
      </c>
      <c r="T11" s="768" t="s">
        <v>17</v>
      </c>
      <c r="U11" s="769">
        <f t="shared" si="1"/>
        <v>100</v>
      </c>
      <c r="V11" s="768" t="s">
        <v>17</v>
      </c>
      <c r="W11" s="769">
        <f t="shared" si="2"/>
        <v>100</v>
      </c>
      <c r="X11" s="770"/>
      <c r="Y11" s="3074"/>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59"/>
      <c r="Q12" s="1793">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59"/>
      <c r="Q13" s="1793">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28.25">
      <c r="A14" s="400" t="s">
        <v>2554</v>
      </c>
      <c r="B14" s="628" t="s">
        <v>2704</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61" t="s">
        <v>2555</v>
      </c>
      <c r="Q14" s="1808" t="str">
        <f t="shared" si="6"/>
        <v>交通便捷度</v>
      </c>
      <c r="R14" s="772" t="s">
        <v>17</v>
      </c>
      <c r="S14" s="773">
        <f t="shared" si="0"/>
        <v>100</v>
      </c>
      <c r="T14" s="772" t="s">
        <v>17</v>
      </c>
      <c r="U14" s="773">
        <f t="shared" si="1"/>
        <v>100</v>
      </c>
      <c r="V14" s="772" t="s">
        <v>17</v>
      </c>
      <c r="W14" s="773">
        <f t="shared" si="2"/>
        <v>100</v>
      </c>
      <c r="X14" s="1811"/>
      <c r="Y14" s="3261" t="s">
        <v>2555</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62"/>
      <c r="Q15" s="1808"/>
      <c r="R15" s="772"/>
      <c r="S15" s="773"/>
      <c r="T15" s="772"/>
      <c r="U15" s="773"/>
      <c r="V15" s="772"/>
      <c r="W15" s="773"/>
      <c r="X15" s="1811"/>
      <c r="Y15" s="3262"/>
      <c r="Z15" s="1812"/>
      <c r="AA15" s="1809">
        <v>1</v>
      </c>
      <c r="AB15" s="1809">
        <v>1</v>
      </c>
      <c r="AC15" s="1809">
        <v>1</v>
      </c>
    </row>
    <row r="16" spans="1:29" ht="199.5">
      <c r="A16" s="403"/>
      <c r="B16" s="630" t="s">
        <v>2683</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62"/>
      <c r="Q16" s="1808" t="str">
        <f>B16</f>
        <v>公共配套设施</v>
      </c>
      <c r="R16" s="772" t="s">
        <v>17</v>
      </c>
      <c r="S16" s="773">
        <f>F16</f>
        <v>100</v>
      </c>
      <c r="T16" s="772" t="s">
        <v>17</v>
      </c>
      <c r="U16" s="773">
        <f>H16</f>
        <v>100</v>
      </c>
      <c r="V16" s="772" t="s">
        <v>17</v>
      </c>
      <c r="W16" s="773">
        <f>J16</f>
        <v>100</v>
      </c>
      <c r="X16" s="1811"/>
      <c r="Y16" s="3262"/>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62"/>
      <c r="Q17" s="1808"/>
      <c r="R17" s="772"/>
      <c r="S17" s="773"/>
      <c r="T17" s="772"/>
      <c r="U17" s="773"/>
      <c r="V17" s="772"/>
      <c r="W17" s="773"/>
      <c r="X17" s="1811"/>
      <c r="Y17" s="3262"/>
      <c r="Z17" s="1812"/>
      <c r="AA17" s="1809">
        <v>1</v>
      </c>
      <c r="AB17" s="1809">
        <v>1</v>
      </c>
      <c r="AC17" s="1809">
        <v>1</v>
      </c>
    </row>
    <row r="18" spans="1:29" ht="42.75">
      <c r="A18" s="403"/>
      <c r="B18" s="632" t="s">
        <v>2684</v>
      </c>
      <c r="C18" s="2603"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62"/>
      <c r="Q18" s="1808" t="str">
        <f>B18</f>
        <v>基础设施水平</v>
      </c>
      <c r="R18" s="772" t="s">
        <v>17</v>
      </c>
      <c r="S18" s="773">
        <f>F18</f>
        <v>100</v>
      </c>
      <c r="T18" s="772" t="s">
        <v>17</v>
      </c>
      <c r="U18" s="773">
        <f>H18</f>
        <v>100</v>
      </c>
      <c r="V18" s="772" t="s">
        <v>17</v>
      </c>
      <c r="W18" s="773">
        <f>J18</f>
        <v>100</v>
      </c>
      <c r="X18" s="1811"/>
      <c r="Y18" s="3262"/>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62"/>
      <c r="Q19" s="1808"/>
      <c r="R19" s="772"/>
      <c r="S19" s="773"/>
      <c r="T19" s="772"/>
      <c r="U19" s="773"/>
      <c r="V19" s="772"/>
      <c r="W19" s="773"/>
      <c r="X19" s="1811"/>
      <c r="Y19" s="3262"/>
      <c r="Z19" s="1812"/>
      <c r="AA19" s="1809">
        <v>1</v>
      </c>
      <c r="AB19" s="1809">
        <v>1</v>
      </c>
      <c r="AC19" s="1809">
        <v>1</v>
      </c>
    </row>
    <row r="20" spans="1:29" ht="85.5">
      <c r="A20" s="403"/>
      <c r="B20" s="630" t="s">
        <v>2705</v>
      </c>
      <c r="C20" s="2603"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62"/>
      <c r="Q20" s="1808" t="str">
        <f>B20</f>
        <v>自然及人文环境</v>
      </c>
      <c r="R20" s="772" t="s">
        <v>17</v>
      </c>
      <c r="S20" s="773">
        <f>F20</f>
        <v>100</v>
      </c>
      <c r="T20" s="772" t="s">
        <v>17</v>
      </c>
      <c r="U20" s="773">
        <f>H20</f>
        <v>100</v>
      </c>
      <c r="V20" s="772" t="s">
        <v>17</v>
      </c>
      <c r="W20" s="773">
        <f>J20</f>
        <v>100</v>
      </c>
      <c r="X20" s="1811"/>
      <c r="Y20" s="3262"/>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62"/>
      <c r="Q21" s="1808"/>
      <c r="R21" s="772"/>
      <c r="S21" s="773"/>
      <c r="T21" s="772"/>
      <c r="U21" s="773"/>
      <c r="V21" s="772"/>
      <c r="W21" s="773"/>
      <c r="X21" s="1811"/>
      <c r="Y21" s="3262"/>
      <c r="Z21" s="1812"/>
      <c r="AA21" s="1809">
        <v>1</v>
      </c>
      <c r="AB21" s="1809">
        <v>1</v>
      </c>
      <c r="AC21" s="1809">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62"/>
      <c r="Q22" s="1808" t="str">
        <f>B22</f>
        <v>楼层</v>
      </c>
      <c r="R22" s="772" t="s">
        <v>17</v>
      </c>
      <c r="S22" s="773">
        <f>F22</f>
        <v>100</v>
      </c>
      <c r="T22" s="772" t="s">
        <v>17</v>
      </c>
      <c r="U22" s="773">
        <f>H22</f>
        <v>100</v>
      </c>
      <c r="V22" s="772" t="s">
        <v>17</v>
      </c>
      <c r="W22" s="773">
        <f>J22</f>
        <v>100</v>
      </c>
      <c r="X22" s="1811"/>
      <c r="Y22" s="326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62"/>
      <c r="Q23" s="1808">
        <f>B23</f>
        <v>111</v>
      </c>
      <c r="R23" s="772" t="s">
        <v>17</v>
      </c>
      <c r="S23" s="773">
        <f>F23</f>
        <v>100</v>
      </c>
      <c r="T23" s="772" t="s">
        <v>17</v>
      </c>
      <c r="U23" s="773">
        <f>H23</f>
        <v>100</v>
      </c>
      <c r="V23" s="772" t="s">
        <v>17</v>
      </c>
      <c r="W23" s="773">
        <f>J23</f>
        <v>100</v>
      </c>
      <c r="X23" s="1811"/>
      <c r="Y23" s="326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62"/>
      <c r="Q24" s="1808">
        <f t="shared" ref="Q24:Q36" si="11">B24</f>
        <v>111</v>
      </c>
      <c r="R24" s="772" t="s">
        <v>17</v>
      </c>
      <c r="S24" s="773">
        <f>F24</f>
        <v>100</v>
      </c>
      <c r="T24" s="772" t="s">
        <v>17</v>
      </c>
      <c r="U24" s="773">
        <f>H24</f>
        <v>100</v>
      </c>
      <c r="V24" s="772" t="s">
        <v>17</v>
      </c>
      <c r="W24" s="773">
        <f>J24</f>
        <v>100</v>
      </c>
      <c r="X24" s="1811"/>
      <c r="Y24" s="3262"/>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62"/>
      <c r="Q25" s="1793">
        <f t="shared" si="11"/>
        <v>111</v>
      </c>
      <c r="R25" s="768" t="s">
        <v>17</v>
      </c>
      <c r="S25" s="769">
        <f>F25</f>
        <v>100</v>
      </c>
      <c r="T25" s="768" t="s">
        <v>17</v>
      </c>
      <c r="U25" s="769">
        <f>H25</f>
        <v>100</v>
      </c>
      <c r="V25" s="768" t="s">
        <v>17</v>
      </c>
      <c r="W25" s="769">
        <f>J25</f>
        <v>100</v>
      </c>
      <c r="X25" s="770"/>
      <c r="Y25" s="3262"/>
      <c r="Z25" s="55">
        <f>Q25</f>
        <v>111</v>
      </c>
      <c r="AA25" s="1809">
        <f>D25/F25</f>
        <v>1</v>
      </c>
      <c r="AB25" s="1809">
        <f>D25/H25</f>
        <v>1</v>
      </c>
      <c r="AC25" s="1809">
        <f>D25/J25</f>
        <v>1</v>
      </c>
    </row>
    <row r="26" spans="1:29" ht="28.5">
      <c r="A26" s="651" t="s">
        <v>2558</v>
      </c>
      <c r="B26" s="70" t="s">
        <v>2707</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85" t="s">
        <v>2560</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6" t="s">
        <v>2560</v>
      </c>
      <c r="Z26" s="1812" t="str">
        <f t="shared" ref="Z26:Z36" si="15">Q26</f>
        <v>配套类型</v>
      </c>
      <c r="AA26" s="1809">
        <f t="shared" si="3"/>
        <v>1</v>
      </c>
      <c r="AB26" s="1809">
        <f t="shared" si="4"/>
        <v>1</v>
      </c>
      <c r="AC26" s="1809">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66"/>
      <c r="Q27" s="774" t="str">
        <f t="shared" si="11"/>
        <v>项目停车位配比</v>
      </c>
      <c r="R27" s="775" t="s">
        <v>17</v>
      </c>
      <c r="S27" s="776">
        <f t="shared" si="12"/>
        <v>100</v>
      </c>
      <c r="T27" s="775" t="s">
        <v>17</v>
      </c>
      <c r="U27" s="776">
        <f t="shared" si="13"/>
        <v>100</v>
      </c>
      <c r="V27" s="775" t="s">
        <v>17</v>
      </c>
      <c r="W27" s="776">
        <f t="shared" si="14"/>
        <v>100</v>
      </c>
      <c r="X27" s="777"/>
      <c r="Y27" s="3266"/>
      <c r="Z27" s="778" t="str">
        <f t="shared" si="15"/>
        <v>项目停车位配比</v>
      </c>
      <c r="AA27" s="1809">
        <f t="shared" si="3"/>
        <v>1</v>
      </c>
      <c r="AB27" s="1809">
        <f t="shared" si="4"/>
        <v>1</v>
      </c>
      <c r="AC27" s="1809">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66"/>
      <c r="Q28" s="1808" t="str">
        <f t="shared" si="11"/>
        <v>公共部分装修</v>
      </c>
      <c r="R28" s="772" t="s">
        <v>17</v>
      </c>
      <c r="S28" s="773">
        <f t="shared" si="12"/>
        <v>100</v>
      </c>
      <c r="T28" s="772" t="s">
        <v>17</v>
      </c>
      <c r="U28" s="773">
        <f t="shared" si="13"/>
        <v>100</v>
      </c>
      <c r="V28" s="772" t="s">
        <v>17</v>
      </c>
      <c r="W28" s="773">
        <f t="shared" si="14"/>
        <v>100</v>
      </c>
      <c r="X28" s="1811"/>
      <c r="Y28" s="3266"/>
      <c r="Z28" s="1812" t="str">
        <f t="shared" si="15"/>
        <v>公共部分装修</v>
      </c>
      <c r="AA28" s="1809">
        <f t="shared" si="3"/>
        <v>1</v>
      </c>
      <c r="AB28" s="1809">
        <f t="shared" si="4"/>
        <v>1</v>
      </c>
      <c r="AC28" s="1809">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66"/>
      <c r="Q29" s="1808" t="str">
        <f t="shared" si="11"/>
        <v>成新率</v>
      </c>
      <c r="R29" s="772" t="s">
        <v>17</v>
      </c>
      <c r="S29" s="773" t="e">
        <f t="shared" si="12"/>
        <v>#N/A</v>
      </c>
      <c r="T29" s="772" t="s">
        <v>17</v>
      </c>
      <c r="U29" s="773" t="e">
        <f t="shared" si="13"/>
        <v>#N/A</v>
      </c>
      <c r="V29" s="772" t="s">
        <v>17</v>
      </c>
      <c r="W29" s="773" t="e">
        <f t="shared" si="14"/>
        <v>#N/A</v>
      </c>
      <c r="X29" s="1811"/>
      <c r="Y29" s="3266"/>
      <c r="Z29" s="1812" t="str">
        <f t="shared" si="15"/>
        <v>成新率</v>
      </c>
      <c r="AA29" s="1809" t="e">
        <f t="shared" si="3"/>
        <v>#N/A</v>
      </c>
      <c r="AB29" s="1809" t="e">
        <f t="shared" si="4"/>
        <v>#N/A</v>
      </c>
      <c r="AC29" s="1809"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66"/>
      <c r="Q30" s="1808" t="str">
        <f t="shared" si="11"/>
        <v>物业等级</v>
      </c>
      <c r="R30" s="772" t="s">
        <v>17</v>
      </c>
      <c r="S30" s="773">
        <f t="shared" si="12"/>
        <v>100</v>
      </c>
      <c r="T30" s="772" t="s">
        <v>17</v>
      </c>
      <c r="U30" s="773">
        <f t="shared" si="13"/>
        <v>100</v>
      </c>
      <c r="V30" s="772" t="s">
        <v>17</v>
      </c>
      <c r="W30" s="773">
        <f t="shared" si="14"/>
        <v>100</v>
      </c>
      <c r="X30" s="1811"/>
      <c r="Y30" s="3266"/>
      <c r="Z30" s="1812" t="str">
        <f t="shared" si="15"/>
        <v>物业等级</v>
      </c>
      <c r="AA30" s="1809">
        <f t="shared" si="3"/>
        <v>1</v>
      </c>
      <c r="AB30" s="1809">
        <f t="shared" si="4"/>
        <v>1</v>
      </c>
      <c r="AC30" s="1809">
        <f t="shared" si="5"/>
        <v>1</v>
      </c>
    </row>
    <row r="31" spans="1:29" s="117"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66"/>
      <c r="Q31" s="1793" t="str">
        <f t="shared" si="11"/>
        <v>停车位面积</v>
      </c>
      <c r="R31" s="768" t="s">
        <v>17</v>
      </c>
      <c r="S31" s="769" t="e">
        <f t="shared" si="12"/>
        <v>#N/A</v>
      </c>
      <c r="T31" s="768" t="s">
        <v>17</v>
      </c>
      <c r="U31" s="769" t="e">
        <f t="shared" si="13"/>
        <v>#N/A</v>
      </c>
      <c r="V31" s="768" t="s">
        <v>17</v>
      </c>
      <c r="W31" s="769" t="e">
        <f t="shared" si="14"/>
        <v>#N/A</v>
      </c>
      <c r="X31" s="770"/>
      <c r="Y31" s="3266"/>
      <c r="Z31" s="55" t="str">
        <f t="shared" si="15"/>
        <v>停车位面积</v>
      </c>
      <c r="AA31" s="771" t="e">
        <f t="shared" si="3"/>
        <v>#N/A</v>
      </c>
      <c r="AB31" s="771" t="e">
        <f t="shared" si="4"/>
        <v>#N/A</v>
      </c>
      <c r="AC31" s="771"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66" t="s">
        <v>2560</v>
      </c>
      <c r="Q32" s="1808" t="str">
        <f t="shared" si="11"/>
        <v>车位类型</v>
      </c>
      <c r="R32" s="772" t="s">
        <v>17</v>
      </c>
      <c r="S32" s="773">
        <f t="shared" si="12"/>
        <v>100</v>
      </c>
      <c r="T32" s="772" t="s">
        <v>17</v>
      </c>
      <c r="U32" s="773">
        <f t="shared" si="13"/>
        <v>100</v>
      </c>
      <c r="V32" s="772" t="s">
        <v>17</v>
      </c>
      <c r="W32" s="773">
        <f t="shared" si="14"/>
        <v>100</v>
      </c>
      <c r="X32" s="1811"/>
      <c r="Y32" s="3266" t="s">
        <v>2560</v>
      </c>
      <c r="Z32" s="1812" t="str">
        <f t="shared" si="15"/>
        <v>车位类型</v>
      </c>
      <c r="AA32" s="1809">
        <f t="shared" si="3"/>
        <v>1</v>
      </c>
      <c r="AB32" s="1809">
        <f t="shared" si="4"/>
        <v>1</v>
      </c>
      <c r="AC32" s="1809">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66"/>
      <c r="Q33" s="1808" t="str">
        <f t="shared" si="11"/>
        <v>是否直接入户</v>
      </c>
      <c r="R33" s="772" t="s">
        <v>17</v>
      </c>
      <c r="S33" s="773">
        <f t="shared" si="12"/>
        <v>100</v>
      </c>
      <c r="T33" s="772" t="s">
        <v>17</v>
      </c>
      <c r="U33" s="773">
        <f t="shared" si="13"/>
        <v>100</v>
      </c>
      <c r="V33" s="772" t="s">
        <v>17</v>
      </c>
      <c r="W33" s="773">
        <f t="shared" si="14"/>
        <v>100</v>
      </c>
      <c r="X33" s="1811"/>
      <c r="Y33" s="3266"/>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66"/>
      <c r="Q34" s="1808">
        <f t="shared" si="11"/>
        <v>111</v>
      </c>
      <c r="R34" s="772" t="s">
        <v>17</v>
      </c>
      <c r="S34" s="773">
        <f t="shared" si="12"/>
        <v>100</v>
      </c>
      <c r="T34" s="772" t="s">
        <v>17</v>
      </c>
      <c r="U34" s="773">
        <f t="shared" si="13"/>
        <v>100</v>
      </c>
      <c r="V34" s="772" t="s">
        <v>17</v>
      </c>
      <c r="W34" s="773">
        <f t="shared" si="14"/>
        <v>100</v>
      </c>
      <c r="X34" s="1811"/>
      <c r="Y34" s="3266"/>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66"/>
      <c r="Q35" s="774">
        <f t="shared" si="11"/>
        <v>111</v>
      </c>
      <c r="R35" s="775" t="s">
        <v>17</v>
      </c>
      <c r="S35" s="776">
        <f t="shared" si="12"/>
        <v>100</v>
      </c>
      <c r="T35" s="775" t="s">
        <v>17</v>
      </c>
      <c r="U35" s="776">
        <f t="shared" si="13"/>
        <v>100</v>
      </c>
      <c r="V35" s="775" t="s">
        <v>17</v>
      </c>
      <c r="W35" s="776">
        <f t="shared" si="14"/>
        <v>100</v>
      </c>
      <c r="X35" s="777"/>
      <c r="Y35" s="3266"/>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66"/>
      <c r="Q36" s="1808">
        <f t="shared" si="11"/>
        <v>111</v>
      </c>
      <c r="R36" s="772" t="s">
        <v>17</v>
      </c>
      <c r="S36" s="773">
        <f t="shared" si="12"/>
        <v>100</v>
      </c>
      <c r="T36" s="772" t="s">
        <v>17</v>
      </c>
      <c r="U36" s="773">
        <f t="shared" si="13"/>
        <v>100</v>
      </c>
      <c r="V36" s="772" t="s">
        <v>17</v>
      </c>
      <c r="W36" s="773">
        <f t="shared" si="14"/>
        <v>100</v>
      </c>
      <c r="X36" s="1811"/>
      <c r="Y36" s="3266"/>
      <c r="Z36" s="1812">
        <f t="shared" si="15"/>
        <v>111</v>
      </c>
      <c r="AA36" s="1809">
        <f t="shared" si="3"/>
        <v>1</v>
      </c>
      <c r="AB36" s="1809">
        <f t="shared" si="4"/>
        <v>1</v>
      </c>
      <c r="AC36" s="1809">
        <f t="shared" si="5"/>
        <v>1</v>
      </c>
    </row>
    <row r="37" spans="1:29" ht="15">
      <c r="A37" s="478" t="s">
        <v>2715</v>
      </c>
      <c r="B37" s="2691" t="s">
        <v>2716</v>
      </c>
      <c r="C37" s="1405" t="s">
        <v>1</v>
      </c>
      <c r="D37" s="1406"/>
      <c r="E37" s="1407"/>
      <c r="F37" s="1408"/>
      <c r="G37" s="1409"/>
      <c r="H37" s="1410"/>
      <c r="I37" s="1407"/>
      <c r="J37" s="1410"/>
      <c r="K37" s="618"/>
      <c r="L37" s="1141"/>
      <c r="M37" s="1142"/>
      <c r="N37" s="1129"/>
      <c r="O37" s="1142"/>
      <c r="P37" s="3259" t="str">
        <f>A37</f>
        <v>成交单价</v>
      </c>
      <c r="Q37" s="3259"/>
      <c r="R37" s="3260">
        <f>E37</f>
        <v>0</v>
      </c>
      <c r="S37" s="3260"/>
      <c r="T37" s="3260">
        <f>G37</f>
        <v>0</v>
      </c>
      <c r="U37" s="3260"/>
      <c r="V37" s="3260">
        <f>I37</f>
        <v>0</v>
      </c>
      <c r="W37" s="3260"/>
      <c r="X37" s="757"/>
      <c r="Y37" s="779"/>
      <c r="Z37" s="757"/>
      <c r="AA37" s="757"/>
      <c r="AB37" s="757"/>
      <c r="AC37" s="757"/>
    </row>
    <row r="38" spans="1:29" ht="15.75" thickBot="1">
      <c r="A38" s="485" t="s">
        <v>2717</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7"/>
      <c r="Y38" s="757"/>
      <c r="Z38" s="757"/>
      <c r="AA38" s="757"/>
      <c r="AB38" s="757"/>
      <c r="AC38" s="757"/>
    </row>
    <row r="39" spans="1:29" ht="15.75" thickBot="1">
      <c r="A39" s="491" t="s">
        <v>2718</v>
      </c>
      <c r="B39" s="492"/>
      <c r="C39" s="1415" t="e">
        <f>R39</f>
        <v>#DIV/0!</v>
      </c>
      <c r="D39" s="1415"/>
      <c r="E39" s="1415"/>
      <c r="F39" s="1415"/>
      <c r="G39" s="1415"/>
      <c r="H39" s="1415"/>
      <c r="I39" s="1415"/>
      <c r="J39" s="1415"/>
      <c r="K39" s="620"/>
      <c r="L39" s="1141"/>
      <c r="M39" s="1142"/>
      <c r="N39" s="1142"/>
      <c r="O39" s="1142"/>
      <c r="P39" s="3256" t="str">
        <f>A39</f>
        <v>估价对象XX用房的比较价值（楼面单价，元/平方米）</v>
      </c>
      <c r="Q39" s="3257"/>
      <c r="R39" s="3258" t="e">
        <f>IF(F1="售价",ROUND(AVERAGE(R38:V38),0),ROUND(AVERAGE(R38:V38),1))</f>
        <v>#DIV/0!</v>
      </c>
      <c r="S39" s="3258"/>
      <c r="T39" s="3258"/>
      <c r="U39" s="3258"/>
      <c r="V39" s="3258"/>
      <c r="W39" s="3258"/>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2580</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2545</v>
      </c>
      <c r="B51" s="509"/>
      <c r="C51" s="521" t="s">
        <v>2647</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2583</v>
      </c>
      <c r="B53" s="527" t="s">
        <v>2549</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2598</v>
      </c>
      <c r="C65" s="577" t="s">
        <v>2592</v>
      </c>
      <c r="D65" s="577" t="s">
        <v>2593</v>
      </c>
      <c r="E65" s="577" t="s">
        <v>2594</v>
      </c>
      <c r="F65" s="577" t="s">
        <v>2595</v>
      </c>
      <c r="G65" s="577" t="s">
        <v>2596</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2684</v>
      </c>
      <c r="C67" s="659" t="s">
        <v>2670</v>
      </c>
      <c r="D67" s="659" t="s">
        <v>2671</v>
      </c>
      <c r="E67" s="659" t="s">
        <v>2672</v>
      </c>
      <c r="F67" s="659" t="s">
        <v>2673</v>
      </c>
      <c r="G67" s="659" t="s">
        <v>2674</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2604</v>
      </c>
      <c r="C69" s="577" t="s">
        <v>2592</v>
      </c>
      <c r="D69" s="577" t="s">
        <v>2593</v>
      </c>
      <c r="E69" s="577" t="s">
        <v>2594</v>
      </c>
      <c r="F69" s="577" t="s">
        <v>2595</v>
      </c>
      <c r="G69" s="577" t="s">
        <v>2596</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2558</v>
      </c>
      <c r="B79" s="527" t="s">
        <v>2725</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2611</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68327.85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68327.85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8"/>
      <c r="F1" s="2580"/>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IF(C2="——",ROUND(C37*D3/10000,0),ROUND(C37*D3/10000,0)-D2)</f>
        <v>#DIV/0!</v>
      </c>
      <c r="C2" s="2582"/>
      <c r="D2" s="1122" t="e">
        <f ca="1">SUMIF(INDIRECT("'"&amp;F2&amp;"'"&amp;"!A:A"),"承租人权益价值",INDIRECT("'"&amp;F2&amp;"'"&amp;"!c:c"))</f>
        <v>#REF!</v>
      </c>
      <c r="E2" s="2583" t="s">
        <v>2323</v>
      </c>
      <c r="F2" s="258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IF(C2="——",C37,ROUND(B2*10000/D3,0))</f>
        <v>#DIV/0!</v>
      </c>
      <c r="C3" s="399" t="s">
        <v>2639</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242" t="s">
        <v>2641</v>
      </c>
      <c r="D4" s="3243"/>
      <c r="E4" s="3244" t="s">
        <v>2642</v>
      </c>
      <c r="F4" s="3245"/>
      <c r="G4" s="3242" t="s">
        <v>2643</v>
      </c>
      <c r="H4" s="3243"/>
      <c r="I4" s="3242" t="s">
        <v>2644</v>
      </c>
      <c r="J4" s="3243"/>
      <c r="K4" s="609" t="s">
        <v>2645</v>
      </c>
      <c r="L4" s="1128"/>
      <c r="M4" s="1129"/>
      <c r="N4" s="1129"/>
      <c r="O4" s="1129"/>
      <c r="P4" s="3246" t="s">
        <v>2646</v>
      </c>
      <c r="Q4" s="3247"/>
      <c r="R4" s="3229" t="s">
        <v>2642</v>
      </c>
      <c r="S4" s="3230"/>
      <c r="T4" s="3229" t="s">
        <v>2643</v>
      </c>
      <c r="U4" s="3230"/>
      <c r="V4" s="3254" t="s">
        <v>2644</v>
      </c>
      <c r="W4" s="3254"/>
      <c r="X4" s="1811"/>
      <c r="Y4" s="3229" t="s">
        <v>2646</v>
      </c>
      <c r="Z4" s="3230"/>
      <c r="AA4" s="3224" t="s">
        <v>2642</v>
      </c>
      <c r="AB4" s="3225" t="s">
        <v>2643</v>
      </c>
      <c r="AC4" s="3224" t="s">
        <v>2644</v>
      </c>
    </row>
    <row r="5" spans="1:29" ht="15">
      <c r="A5" s="403"/>
      <c r="B5" s="404"/>
      <c r="C5" s="3235" t="s">
        <v>2537</v>
      </c>
      <c r="D5" s="3236"/>
      <c r="E5" s="3233" t="s">
        <v>2538</v>
      </c>
      <c r="F5" s="3234"/>
      <c r="G5" s="3235" t="s">
        <v>2539</v>
      </c>
      <c r="H5" s="3236"/>
      <c r="I5" s="3235" t="s">
        <v>2540</v>
      </c>
      <c r="J5" s="3236"/>
      <c r="K5" s="609"/>
      <c r="L5" s="1128"/>
      <c r="M5" s="1129"/>
      <c r="N5" s="1129"/>
      <c r="O5" s="1129"/>
      <c r="P5" s="3248"/>
      <c r="Q5" s="3249"/>
      <c r="R5" s="3231"/>
      <c r="S5" s="3232"/>
      <c r="T5" s="3231"/>
      <c r="U5" s="3232"/>
      <c r="V5" s="3254"/>
      <c r="W5" s="3254"/>
      <c r="X5" s="1811"/>
      <c r="Y5" s="3231"/>
      <c r="Z5" s="3232"/>
      <c r="AA5" s="3225"/>
      <c r="AB5" s="3225"/>
      <c r="AC5" s="3225"/>
    </row>
    <row r="6" spans="1:29" ht="15.75" thickBot="1">
      <c r="A6" s="405"/>
      <c r="B6" s="406"/>
      <c r="C6" s="3237" t="s">
        <v>2541</v>
      </c>
      <c r="D6" s="3238"/>
      <c r="E6" s="3239" t="s">
        <v>2541</v>
      </c>
      <c r="F6" s="3240"/>
      <c r="G6" s="3237" t="s">
        <v>2541</v>
      </c>
      <c r="H6" s="3238"/>
      <c r="I6" s="3237" t="s">
        <v>2541</v>
      </c>
      <c r="J6" s="3238"/>
      <c r="K6" s="609" t="s">
        <v>2542</v>
      </c>
      <c r="L6" s="1128"/>
      <c r="M6" s="1129"/>
      <c r="N6" s="1129"/>
      <c r="O6" s="1129"/>
      <c r="P6" s="3250"/>
      <c r="Q6" s="3251"/>
      <c r="R6" s="3231"/>
      <c r="S6" s="3232"/>
      <c r="T6" s="3252"/>
      <c r="U6" s="3253"/>
      <c r="V6" s="3254"/>
      <c r="W6" s="3254"/>
      <c r="X6" s="1811"/>
      <c r="Y6" s="3252"/>
      <c r="Z6" s="3253"/>
      <c r="AA6" s="3226"/>
      <c r="AB6" s="3226"/>
      <c r="AC6" s="3226"/>
    </row>
    <row r="7" spans="1:29" s="117" customFormat="1" ht="15.75" thickBot="1">
      <c r="A7" s="407" t="s">
        <v>2543</v>
      </c>
      <c r="B7" s="408"/>
      <c r="C7" s="409">
        <f>'数据-取费表'!B2</f>
        <v>43391</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27" t="s">
        <v>2544</v>
      </c>
      <c r="Q7" s="3255"/>
      <c r="R7" s="768" t="s">
        <v>17</v>
      </c>
      <c r="S7" s="769">
        <f t="shared" ref="S7:S14" si="0">F7</f>
        <v>0</v>
      </c>
      <c r="T7" s="768" t="s">
        <v>17</v>
      </c>
      <c r="U7" s="769">
        <f t="shared" ref="U7:U14" si="1">H7</f>
        <v>0</v>
      </c>
      <c r="V7" s="768" t="s">
        <v>17</v>
      </c>
      <c r="W7" s="769">
        <f t="shared" ref="W7:W14" si="2">J7</f>
        <v>0</v>
      </c>
      <c r="X7" s="770"/>
      <c r="Y7" s="3227" t="s">
        <v>2544</v>
      </c>
      <c r="Z7" s="3228"/>
      <c r="AA7" s="771" t="e">
        <f>D7/F7</f>
        <v>#DIV/0!</v>
      </c>
      <c r="AB7" s="771" t="e">
        <f>D7/H7</f>
        <v>#DIV/0!</v>
      </c>
      <c r="AC7" s="771"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7" t="s">
        <v>2547</v>
      </c>
      <c r="Q8" s="3228"/>
      <c r="R8" s="768" t="s">
        <v>17</v>
      </c>
      <c r="S8" s="769">
        <f t="shared" si="0"/>
        <v>0</v>
      </c>
      <c r="T8" s="768" t="s">
        <v>17</v>
      </c>
      <c r="U8" s="769">
        <f t="shared" si="1"/>
        <v>0</v>
      </c>
      <c r="V8" s="768" t="s">
        <v>17</v>
      </c>
      <c r="W8" s="769">
        <f t="shared" si="2"/>
        <v>0</v>
      </c>
      <c r="X8" s="770"/>
      <c r="Y8" s="3227" t="s">
        <v>2547</v>
      </c>
      <c r="Z8" s="3228"/>
      <c r="AA8" s="771" t="e">
        <f t="shared" ref="AA8:AA34" si="3">D8/F8</f>
        <v>#DIV/0!</v>
      </c>
      <c r="AB8" s="771" t="e">
        <f t="shared" ref="AB8:AB34" si="4">D8/H8</f>
        <v>#DIV/0!</v>
      </c>
      <c r="AC8" s="771" t="e">
        <f t="shared" ref="AC8:AC34" si="5">D8/J8</f>
        <v>#DIV/0!</v>
      </c>
    </row>
    <row r="9" spans="1:29" s="117"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59" t="s">
        <v>2550</v>
      </c>
      <c r="Q9" s="1793" t="str">
        <f t="shared" ref="Q9:Q14" si="6">B9</f>
        <v>用途</v>
      </c>
      <c r="R9" s="768" t="s">
        <v>17</v>
      </c>
      <c r="S9" s="769">
        <f t="shared" si="0"/>
        <v>100</v>
      </c>
      <c r="T9" s="768" t="s">
        <v>17</v>
      </c>
      <c r="U9" s="769">
        <f t="shared" si="1"/>
        <v>100</v>
      </c>
      <c r="V9" s="768" t="s">
        <v>17</v>
      </c>
      <c r="W9" s="769">
        <f t="shared" si="2"/>
        <v>100</v>
      </c>
      <c r="X9" s="770"/>
      <c r="Y9" s="3074" t="s">
        <v>2551</v>
      </c>
      <c r="Z9" s="55" t="str">
        <f t="shared" ref="Z9:Z14" si="7">Q9</f>
        <v>用途</v>
      </c>
      <c r="AA9" s="771">
        <f t="shared" si="3"/>
        <v>1</v>
      </c>
      <c r="AB9" s="771">
        <f t="shared" si="4"/>
        <v>1</v>
      </c>
      <c r="AC9" s="771">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59"/>
      <c r="Q10" s="1793"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59"/>
      <c r="Q11" s="1793">
        <f t="shared" si="6"/>
        <v>111</v>
      </c>
      <c r="R11" s="768" t="s">
        <v>17</v>
      </c>
      <c r="S11" s="769">
        <f t="shared" si="0"/>
        <v>100</v>
      </c>
      <c r="T11" s="768" t="s">
        <v>17</v>
      </c>
      <c r="U11" s="769">
        <f t="shared" si="1"/>
        <v>100</v>
      </c>
      <c r="V11" s="768" t="s">
        <v>17</v>
      </c>
      <c r="W11" s="769">
        <f t="shared" si="2"/>
        <v>100</v>
      </c>
      <c r="X11" s="770"/>
      <c r="Y11" s="3074"/>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59"/>
      <c r="Q12" s="1793">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59"/>
      <c r="Q13" s="1793">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28.25">
      <c r="A14" s="439" t="s">
        <v>2554</v>
      </c>
      <c r="B14" s="69" t="s">
        <v>2704</v>
      </c>
      <c r="C14" s="2689"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61" t="s">
        <v>2555</v>
      </c>
      <c r="Q14" s="1808" t="str">
        <f t="shared" si="6"/>
        <v>交通便捷度</v>
      </c>
      <c r="R14" s="772" t="s">
        <v>17</v>
      </c>
      <c r="S14" s="773">
        <f t="shared" si="0"/>
        <v>100</v>
      </c>
      <c r="T14" s="772" t="s">
        <v>17</v>
      </c>
      <c r="U14" s="773">
        <f t="shared" si="1"/>
        <v>100</v>
      </c>
      <c r="V14" s="772" t="s">
        <v>17</v>
      </c>
      <c r="W14" s="773">
        <f t="shared" si="2"/>
        <v>100</v>
      </c>
      <c r="X14" s="1811"/>
      <c r="Y14" s="3261" t="s">
        <v>2555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62"/>
      <c r="Q15" s="1808"/>
      <c r="R15" s="772"/>
      <c r="S15" s="773"/>
      <c r="T15" s="772"/>
      <c r="U15" s="773"/>
      <c r="V15" s="772"/>
      <c r="W15" s="773"/>
      <c r="X15" s="1811"/>
      <c r="Y15" s="3262"/>
      <c r="Z15" s="1812"/>
      <c r="AA15" s="1809">
        <v>1</v>
      </c>
      <c r="AB15" s="1809">
        <v>1</v>
      </c>
      <c r="AC15" s="1809">
        <v>1</v>
      </c>
    </row>
    <row r="16" spans="1:29" ht="199.5">
      <c r="A16" s="427"/>
      <c r="B16" s="450" t="s">
        <v>2683</v>
      </c>
      <c r="C16" s="2603"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62"/>
      <c r="Q16" s="1808" t="str">
        <f>B16</f>
        <v>公共配套设施</v>
      </c>
      <c r="R16" s="772" t="s">
        <v>17</v>
      </c>
      <c r="S16" s="773">
        <f>F16</f>
        <v>100</v>
      </c>
      <c r="T16" s="772" t="s">
        <v>17</v>
      </c>
      <c r="U16" s="773">
        <f>H16</f>
        <v>100</v>
      </c>
      <c r="V16" s="772" t="s">
        <v>17</v>
      </c>
      <c r="W16" s="773">
        <f>J16</f>
        <v>100</v>
      </c>
      <c r="X16" s="1811"/>
      <c r="Y16" s="3262"/>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62"/>
      <c r="Q17" s="1808"/>
      <c r="R17" s="772"/>
      <c r="S17" s="773"/>
      <c r="T17" s="772"/>
      <c r="U17" s="773"/>
      <c r="V17" s="772"/>
      <c r="W17" s="773"/>
      <c r="X17" s="1811"/>
      <c r="Y17" s="3262"/>
      <c r="Z17" s="1812"/>
      <c r="AA17" s="1809">
        <v>1</v>
      </c>
      <c r="AB17" s="1809">
        <v>1</v>
      </c>
      <c r="AC17" s="1809">
        <v>1</v>
      </c>
    </row>
    <row r="18" spans="1:29" ht="42.75">
      <c r="A18" s="427"/>
      <c r="B18" s="1382" t="s">
        <v>2684</v>
      </c>
      <c r="C18" s="2603"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62"/>
      <c r="Q18" s="1808" t="str">
        <f>B18</f>
        <v>基础设施水平</v>
      </c>
      <c r="R18" s="772" t="s">
        <v>17</v>
      </c>
      <c r="S18" s="773">
        <f>F18</f>
        <v>100</v>
      </c>
      <c r="T18" s="772" t="s">
        <v>17</v>
      </c>
      <c r="U18" s="773">
        <f>H18</f>
        <v>100</v>
      </c>
      <c r="V18" s="772" t="s">
        <v>17</v>
      </c>
      <c r="W18" s="773">
        <f>J18</f>
        <v>100</v>
      </c>
      <c r="X18" s="1811"/>
      <c r="Y18" s="3262"/>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62"/>
      <c r="Q19" s="1808"/>
      <c r="R19" s="772"/>
      <c r="S19" s="773"/>
      <c r="T19" s="772"/>
      <c r="U19" s="773"/>
      <c r="V19" s="772"/>
      <c r="W19" s="773"/>
      <c r="X19" s="1811"/>
      <c r="Y19" s="3262"/>
      <c r="Z19" s="1812"/>
      <c r="AA19" s="1809">
        <v>1</v>
      </c>
      <c r="AB19" s="1809">
        <v>1</v>
      </c>
      <c r="AC19" s="1809">
        <v>1</v>
      </c>
    </row>
    <row r="20" spans="1:29" ht="85.5">
      <c r="A20" s="427"/>
      <c r="B20" s="450" t="s">
        <v>2705</v>
      </c>
      <c r="C20" s="2603"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62"/>
      <c r="Q20" s="1808" t="str">
        <f>B20</f>
        <v>自然及人文环境</v>
      </c>
      <c r="R20" s="772" t="s">
        <v>17</v>
      </c>
      <c r="S20" s="773">
        <f>F20</f>
        <v>100</v>
      </c>
      <c r="T20" s="772" t="s">
        <v>17</v>
      </c>
      <c r="U20" s="773">
        <f>H20</f>
        <v>100</v>
      </c>
      <c r="V20" s="772" t="s">
        <v>17</v>
      </c>
      <c r="W20" s="773">
        <f>J20</f>
        <v>100</v>
      </c>
      <c r="X20" s="1811"/>
      <c r="Y20" s="326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62"/>
      <c r="Q21" s="1808"/>
      <c r="R21" s="772"/>
      <c r="S21" s="773"/>
      <c r="T21" s="772"/>
      <c r="U21" s="773"/>
      <c r="V21" s="772"/>
      <c r="W21" s="773"/>
      <c r="X21" s="1811"/>
      <c r="Y21" s="3262"/>
      <c r="Z21" s="1812"/>
      <c r="AA21" s="1809">
        <v>1</v>
      </c>
      <c r="AB21" s="1809">
        <v>1</v>
      </c>
      <c r="AC21" s="1809">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62"/>
      <c r="Q22" s="1808" t="str">
        <f>B22</f>
        <v>楼层</v>
      </c>
      <c r="R22" s="772" t="s">
        <v>17</v>
      </c>
      <c r="S22" s="773">
        <f>F22</f>
        <v>100</v>
      </c>
      <c r="T22" s="772" t="s">
        <v>17</v>
      </c>
      <c r="U22" s="773">
        <f>H22</f>
        <v>100</v>
      </c>
      <c r="V22" s="772" t="s">
        <v>17</v>
      </c>
      <c r="W22" s="773">
        <f>J22</f>
        <v>100</v>
      </c>
      <c r="X22" s="1811"/>
      <c r="Y22" s="3262"/>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62"/>
      <c r="Q23" s="1808">
        <f>B23</f>
        <v>111</v>
      </c>
      <c r="R23" s="772" t="s">
        <v>17</v>
      </c>
      <c r="S23" s="773">
        <f>F23</f>
        <v>100</v>
      </c>
      <c r="T23" s="772" t="s">
        <v>17</v>
      </c>
      <c r="U23" s="773">
        <f>H23</f>
        <v>100</v>
      </c>
      <c r="V23" s="772" t="s">
        <v>17</v>
      </c>
      <c r="W23" s="773">
        <f>J23</f>
        <v>100</v>
      </c>
      <c r="X23" s="1811"/>
      <c r="Y23" s="3262"/>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62"/>
      <c r="Q24" s="1808">
        <f t="shared" ref="Q24:Q34" si="11">B24</f>
        <v>111</v>
      </c>
      <c r="R24" s="772" t="s">
        <v>17</v>
      </c>
      <c r="S24" s="773">
        <f>F24</f>
        <v>100</v>
      </c>
      <c r="T24" s="772" t="s">
        <v>17</v>
      </c>
      <c r="U24" s="773">
        <f>H24</f>
        <v>100</v>
      </c>
      <c r="V24" s="772" t="s">
        <v>17</v>
      </c>
      <c r="W24" s="773">
        <f>J24</f>
        <v>100</v>
      </c>
      <c r="X24" s="1811"/>
      <c r="Y24" s="3262"/>
      <c r="Z24" s="1812">
        <f>Q24</f>
        <v>111</v>
      </c>
      <c r="AA24" s="1809">
        <f t="shared" si="3"/>
        <v>1</v>
      </c>
      <c r="AB24" s="1809">
        <f t="shared" si="4"/>
        <v>1</v>
      </c>
      <c r="AC24" s="1809">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62"/>
      <c r="Q25" s="1793">
        <f t="shared" si="11"/>
        <v>111</v>
      </c>
      <c r="R25" s="768" t="s">
        <v>17</v>
      </c>
      <c r="S25" s="769">
        <f>F25</f>
        <v>100</v>
      </c>
      <c r="T25" s="768" t="s">
        <v>17</v>
      </c>
      <c r="U25" s="769">
        <f>H25</f>
        <v>100</v>
      </c>
      <c r="V25" s="768" t="s">
        <v>17</v>
      </c>
      <c r="W25" s="769">
        <f>J25</f>
        <v>100</v>
      </c>
      <c r="X25" s="770"/>
      <c r="Y25" s="3262"/>
      <c r="Z25" s="55">
        <f>Q25</f>
        <v>111</v>
      </c>
      <c r="AA25" s="1809">
        <f>D25/F25</f>
        <v>1</v>
      </c>
      <c r="AB25" s="1809">
        <f>D25/H25</f>
        <v>1</v>
      </c>
      <c r="AC25" s="1809">
        <f>D25/J25</f>
        <v>1</v>
      </c>
    </row>
    <row r="26" spans="1:29" ht="28.5">
      <c r="A26" s="465" t="s">
        <v>2558</v>
      </c>
      <c r="B26" s="71" t="s">
        <v>2709</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285" t="s">
        <v>2560</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6" t="s">
        <v>2560</v>
      </c>
      <c r="Z26" s="1812" t="str">
        <f t="shared" ref="Z26:Z34" si="15">Q26</f>
        <v>公共部分装修</v>
      </c>
      <c r="AA26" s="1809">
        <f t="shared" si="3"/>
        <v>1</v>
      </c>
      <c r="AB26" s="1809">
        <f t="shared" si="4"/>
        <v>1</v>
      </c>
      <c r="AC26" s="1809">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66"/>
      <c r="Q27" s="774" t="str">
        <f t="shared" si="11"/>
        <v>成新率</v>
      </c>
      <c r="R27" s="775" t="s">
        <v>17</v>
      </c>
      <c r="S27" s="776" t="e">
        <f t="shared" si="12"/>
        <v>#N/A</v>
      </c>
      <c r="T27" s="775" t="s">
        <v>17</v>
      </c>
      <c r="U27" s="776" t="e">
        <f t="shared" si="13"/>
        <v>#N/A</v>
      </c>
      <c r="V27" s="775" t="s">
        <v>17</v>
      </c>
      <c r="W27" s="776" t="e">
        <f t="shared" si="14"/>
        <v>#N/A</v>
      </c>
      <c r="X27" s="777"/>
      <c r="Y27" s="3266"/>
      <c r="Z27" s="778" t="str">
        <f t="shared" si="15"/>
        <v>成新率</v>
      </c>
      <c r="AA27" s="1809" t="e">
        <f t="shared" si="3"/>
        <v>#N/A</v>
      </c>
      <c r="AB27" s="1809" t="e">
        <f t="shared" si="4"/>
        <v>#N/A</v>
      </c>
      <c r="AC27" s="1809"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66"/>
      <c r="Q28" s="1808" t="str">
        <f t="shared" si="11"/>
        <v>物业等级</v>
      </c>
      <c r="R28" s="772" t="s">
        <v>17</v>
      </c>
      <c r="S28" s="773">
        <f t="shared" si="12"/>
        <v>100</v>
      </c>
      <c r="T28" s="772" t="s">
        <v>17</v>
      </c>
      <c r="U28" s="773">
        <f t="shared" si="13"/>
        <v>100</v>
      </c>
      <c r="V28" s="772" t="s">
        <v>17</v>
      </c>
      <c r="W28" s="773">
        <f t="shared" si="14"/>
        <v>100</v>
      </c>
      <c r="X28" s="1811"/>
      <c r="Y28" s="3266"/>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66"/>
      <c r="Q29" s="1808" t="str">
        <f t="shared" si="11"/>
        <v>有无电梯</v>
      </c>
      <c r="R29" s="772" t="s">
        <v>17</v>
      </c>
      <c r="S29" s="773">
        <f t="shared" si="12"/>
        <v>100</v>
      </c>
      <c r="T29" s="772" t="s">
        <v>17</v>
      </c>
      <c r="U29" s="773">
        <f t="shared" si="13"/>
        <v>100</v>
      </c>
      <c r="V29" s="772" t="s">
        <v>17</v>
      </c>
      <c r="W29" s="773">
        <f t="shared" si="14"/>
        <v>100</v>
      </c>
      <c r="X29" s="1811"/>
      <c r="Y29" s="3266"/>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66"/>
      <c r="Q30" s="1808" t="str">
        <f t="shared" si="11"/>
        <v>建筑面积</v>
      </c>
      <c r="R30" s="772" t="s">
        <v>17</v>
      </c>
      <c r="S30" s="773" t="e">
        <f t="shared" si="12"/>
        <v>#N/A</v>
      </c>
      <c r="T30" s="772" t="s">
        <v>17</v>
      </c>
      <c r="U30" s="773" t="e">
        <f t="shared" si="13"/>
        <v>#N/A</v>
      </c>
      <c r="V30" s="772" t="s">
        <v>17</v>
      </c>
      <c r="W30" s="773" t="e">
        <f t="shared" si="14"/>
        <v>#N/A</v>
      </c>
      <c r="X30" s="1811"/>
      <c r="Y30" s="3266"/>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66"/>
      <c r="Q31" s="1793" t="str">
        <f t="shared" si="11"/>
        <v>是否封闭</v>
      </c>
      <c r="R31" s="768" t="s">
        <v>17</v>
      </c>
      <c r="S31" s="769">
        <f t="shared" si="12"/>
        <v>100</v>
      </c>
      <c r="T31" s="768" t="s">
        <v>17</v>
      </c>
      <c r="U31" s="769">
        <f t="shared" si="13"/>
        <v>100</v>
      </c>
      <c r="V31" s="768" t="s">
        <v>17</v>
      </c>
      <c r="W31" s="769">
        <f t="shared" si="14"/>
        <v>100</v>
      </c>
      <c r="X31" s="770"/>
      <c r="Y31" s="3266"/>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66" t="s">
        <v>2560</v>
      </c>
      <c r="Q32" s="1808">
        <f t="shared" si="11"/>
        <v>111</v>
      </c>
      <c r="R32" s="772" t="s">
        <v>17</v>
      </c>
      <c r="S32" s="773">
        <f t="shared" si="12"/>
        <v>100</v>
      </c>
      <c r="T32" s="772" t="s">
        <v>17</v>
      </c>
      <c r="U32" s="773">
        <f t="shared" si="13"/>
        <v>100</v>
      </c>
      <c r="V32" s="772" t="s">
        <v>17</v>
      </c>
      <c r="W32" s="773">
        <f t="shared" si="14"/>
        <v>100</v>
      </c>
      <c r="X32" s="1811"/>
      <c r="Y32" s="3266" t="s">
        <v>2560</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66"/>
      <c r="Q33" s="1808">
        <f t="shared" si="11"/>
        <v>111</v>
      </c>
      <c r="R33" s="772" t="s">
        <v>17</v>
      </c>
      <c r="S33" s="773">
        <f t="shared" si="12"/>
        <v>100</v>
      </c>
      <c r="T33" s="772" t="s">
        <v>17</v>
      </c>
      <c r="U33" s="773">
        <f t="shared" si="13"/>
        <v>100</v>
      </c>
      <c r="V33" s="772" t="s">
        <v>17</v>
      </c>
      <c r="W33" s="773">
        <f t="shared" si="14"/>
        <v>100</v>
      </c>
      <c r="X33" s="1811"/>
      <c r="Y33" s="3266"/>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66"/>
      <c r="Q34" s="1808">
        <f t="shared" si="11"/>
        <v>111</v>
      </c>
      <c r="R34" s="772" t="s">
        <v>17</v>
      </c>
      <c r="S34" s="773">
        <f t="shared" si="12"/>
        <v>100</v>
      </c>
      <c r="T34" s="772" t="s">
        <v>17</v>
      </c>
      <c r="U34" s="773">
        <f t="shared" si="13"/>
        <v>100</v>
      </c>
      <c r="V34" s="772" t="s">
        <v>17</v>
      </c>
      <c r="W34" s="773">
        <f t="shared" si="14"/>
        <v>100</v>
      </c>
      <c r="X34" s="1811"/>
      <c r="Y34" s="3266"/>
      <c r="Z34" s="1812">
        <f t="shared" si="15"/>
        <v>111</v>
      </c>
      <c r="AA34" s="1809">
        <f t="shared" si="3"/>
        <v>1</v>
      </c>
      <c r="AB34" s="1809">
        <f t="shared" si="4"/>
        <v>1</v>
      </c>
      <c r="AC34" s="1809">
        <f t="shared" si="5"/>
        <v>1</v>
      </c>
    </row>
    <row r="35" spans="1:29" ht="15">
      <c r="A35" s="478" t="s">
        <v>2572</v>
      </c>
      <c r="B35" s="479"/>
      <c r="C35" s="1405" t="s">
        <v>1</v>
      </c>
      <c r="D35" s="1406"/>
      <c r="E35" s="1407"/>
      <c r="F35" s="1408"/>
      <c r="G35" s="1409"/>
      <c r="H35" s="1410"/>
      <c r="I35" s="1407"/>
      <c r="J35" s="1410"/>
      <c r="K35" s="781"/>
      <c r="L35" s="1141"/>
      <c r="M35" s="1142"/>
      <c r="N35" s="1129"/>
      <c r="O35" s="1142"/>
      <c r="P35" s="3259" t="str">
        <f>A35</f>
        <v>成交单价（元/平方米）</v>
      </c>
      <c r="Q35" s="3259"/>
      <c r="R35" s="3260">
        <f>E35</f>
        <v>0</v>
      </c>
      <c r="S35" s="3260"/>
      <c r="T35" s="3260">
        <f>G35</f>
        <v>0</v>
      </c>
      <c r="U35" s="3260"/>
      <c r="V35" s="3260">
        <f>I35</f>
        <v>0</v>
      </c>
      <c r="W35" s="3260"/>
      <c r="X35" s="757"/>
      <c r="Y35" s="779"/>
      <c r="Z35" s="757"/>
      <c r="AA35" s="757"/>
      <c r="AB35" s="757"/>
      <c r="AC35" s="757"/>
    </row>
    <row r="36" spans="1:29" ht="15.75" thickBot="1">
      <c r="A36" s="485" t="s">
        <v>2664</v>
      </c>
      <c r="B36" s="486"/>
      <c r="C36" s="1411" t="e">
        <f>R37</f>
        <v>#DIV/0!</v>
      </c>
      <c r="D36" s="1412"/>
      <c r="E36" s="1413" t="e">
        <f>R36</f>
        <v>#DIV/0!</v>
      </c>
      <c r="F36" s="1413"/>
      <c r="G36" s="1411" t="e">
        <f>T36</f>
        <v>#DIV/0!</v>
      </c>
      <c r="H36" s="1412"/>
      <c r="I36" s="1413" t="e">
        <f>V36</f>
        <v>#DIV/0!</v>
      </c>
      <c r="J36" s="1412"/>
      <c r="K36" s="782"/>
      <c r="L36" s="1141"/>
      <c r="M36" s="1142"/>
      <c r="N36" s="1129"/>
      <c r="O36" s="1142"/>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7"/>
      <c r="Y36" s="757"/>
      <c r="Z36" s="757"/>
      <c r="AA36" s="757"/>
      <c r="AB36" s="757"/>
      <c r="AC36" s="757"/>
    </row>
    <row r="37" spans="1:29" ht="15.75" thickBot="1">
      <c r="A37" s="491" t="s">
        <v>2665</v>
      </c>
      <c r="B37" s="492"/>
      <c r="C37" s="1415" t="e">
        <f>R37</f>
        <v>#DIV/0!</v>
      </c>
      <c r="D37" s="1415"/>
      <c r="E37" s="1415"/>
      <c r="F37" s="1415"/>
      <c r="G37" s="1415"/>
      <c r="H37" s="1415"/>
      <c r="I37" s="1415"/>
      <c r="J37" s="1415"/>
      <c r="K37" s="783"/>
      <c r="L37" s="1141"/>
      <c r="M37" s="1142"/>
      <c r="N37" s="1142"/>
      <c r="O37" s="1142"/>
      <c r="P37" s="3256" t="str">
        <f>A37</f>
        <v>估价对象XX用房的比较价值（楼面单价，元/平方米）</v>
      </c>
      <c r="Q37" s="3257"/>
      <c r="R37" s="3258" t="e">
        <f>IF(F1="售价",ROUND(AVERAGE(R36:V36),0),ROUND(AVERAGE(R36:V36),1))</f>
        <v>#DIV/0!</v>
      </c>
      <c r="S37" s="3258"/>
      <c r="T37" s="3258"/>
      <c r="U37" s="3258"/>
      <c r="V37" s="3258"/>
      <c r="W37" s="3258"/>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2669</v>
      </c>
      <c r="B45" s="757"/>
      <c r="C45" s="762"/>
      <c r="D45" s="762"/>
      <c r="E45" s="762"/>
      <c r="F45" s="763"/>
      <c r="G45" s="763"/>
      <c r="H45" s="762"/>
      <c r="I45" s="762"/>
      <c r="J45" s="762"/>
      <c r="K45" s="764"/>
      <c r="L45" s="765"/>
      <c r="M45" s="762"/>
      <c r="N45" s="762"/>
      <c r="O45" s="762"/>
      <c r="P45" s="502"/>
      <c r="Q45" s="503"/>
    </row>
    <row r="46" spans="1:29" s="507" customFormat="1" ht="15">
      <c r="A46" s="504" t="s">
        <v>2543</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2583</v>
      </c>
      <c r="B51" s="527" t="s">
        <v>2549</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2558</v>
      </c>
      <c r="B77" s="527" t="s">
        <v>2611</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E48" sqref="E48"/>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2322</v>
      </c>
      <c r="B2" s="670">
        <f>F66</f>
        <v>20567</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2324</v>
      </c>
      <c r="B3" s="608">
        <f>ROUND(IF(D3="",B2*10000/'数据-汇总表'!E3,B2*10000/D3),0)</f>
        <v>3010</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2640</v>
      </c>
      <c r="B4" s="401"/>
      <c r="C4" s="3242" t="s">
        <v>2641</v>
      </c>
      <c r="D4" s="3243"/>
      <c r="E4" s="3244" t="s">
        <v>2642</v>
      </c>
      <c r="F4" s="3245"/>
      <c r="G4" s="3242" t="s">
        <v>2643</v>
      </c>
      <c r="H4" s="3243"/>
      <c r="I4" s="3242" t="s">
        <v>2644</v>
      </c>
      <c r="J4" s="3243"/>
      <c r="K4" s="609" t="s">
        <v>2645</v>
      </c>
      <c r="L4" s="1128"/>
      <c r="M4" s="1129"/>
      <c r="N4" s="1129"/>
      <c r="O4" s="1129"/>
      <c r="P4" s="3246" t="s">
        <v>2646</v>
      </c>
      <c r="Q4" s="3247"/>
      <c r="R4" s="3229" t="s">
        <v>2642</v>
      </c>
      <c r="S4" s="3230"/>
      <c r="T4" s="3229" t="s">
        <v>2643</v>
      </c>
      <c r="U4" s="3230"/>
      <c r="V4" s="3254" t="s">
        <v>2644</v>
      </c>
      <c r="W4" s="3254"/>
      <c r="X4" s="1811"/>
      <c r="Y4" s="3229" t="s">
        <v>2646</v>
      </c>
      <c r="Z4" s="3230"/>
      <c r="AA4" s="3224" t="s">
        <v>2642</v>
      </c>
      <c r="AB4" s="3225" t="s">
        <v>2643</v>
      </c>
      <c r="AC4" s="3224" t="s">
        <v>2644</v>
      </c>
    </row>
    <row r="5" spans="1:30" ht="15">
      <c r="A5" s="403"/>
      <c r="B5" s="404"/>
      <c r="C5" s="3287" t="s">
        <v>3092</v>
      </c>
      <c r="D5" s="3236"/>
      <c r="E5" s="3286" t="s">
        <v>3086</v>
      </c>
      <c r="F5" s="3234"/>
      <c r="G5" s="3235" t="s">
        <v>3085</v>
      </c>
      <c r="H5" s="3236"/>
      <c r="I5" s="3235" t="s">
        <v>2540</v>
      </c>
      <c r="J5" s="3236"/>
      <c r="K5" s="609"/>
      <c r="L5" s="1128"/>
      <c r="M5" s="1129"/>
      <c r="N5" s="1129"/>
      <c r="O5" s="1129"/>
      <c r="P5" s="3248"/>
      <c r="Q5" s="3249"/>
      <c r="R5" s="3231"/>
      <c r="S5" s="3232"/>
      <c r="T5" s="3231"/>
      <c r="U5" s="3232"/>
      <c r="V5" s="3254"/>
      <c r="W5" s="3254"/>
      <c r="X5" s="1811"/>
      <c r="Y5" s="3231"/>
      <c r="Z5" s="3232"/>
      <c r="AA5" s="3225"/>
      <c r="AB5" s="3225"/>
      <c r="AC5" s="3225"/>
    </row>
    <row r="6" spans="1:30" ht="15.75" thickBot="1">
      <c r="A6" s="405"/>
      <c r="B6" s="406"/>
      <c r="C6" s="3237" t="s">
        <v>2541</v>
      </c>
      <c r="D6" s="3238"/>
      <c r="E6" s="3288" t="s">
        <v>3083</v>
      </c>
      <c r="F6" s="3240"/>
      <c r="G6" s="3289" t="s">
        <v>3084</v>
      </c>
      <c r="H6" s="3238"/>
      <c r="I6" s="3289" t="s">
        <v>3087</v>
      </c>
      <c r="J6" s="3238"/>
      <c r="K6" s="609" t="s">
        <v>2542</v>
      </c>
      <c r="L6" s="1128"/>
      <c r="M6" s="1129"/>
      <c r="N6" s="1129"/>
      <c r="O6" s="1129"/>
      <c r="P6" s="3250"/>
      <c r="Q6" s="3251"/>
      <c r="R6" s="3231"/>
      <c r="S6" s="3232"/>
      <c r="T6" s="3252"/>
      <c r="U6" s="3253"/>
      <c r="V6" s="3254"/>
      <c r="W6" s="3254"/>
      <c r="X6" s="1811"/>
      <c r="Y6" s="3252"/>
      <c r="Z6" s="3253"/>
      <c r="AA6" s="3226"/>
      <c r="AB6" s="3226"/>
      <c r="AC6" s="3226"/>
    </row>
    <row r="7" spans="1:30" s="117" customFormat="1" ht="15.75" thickBot="1">
      <c r="A7" s="407" t="s">
        <v>2543</v>
      </c>
      <c r="B7" s="408"/>
      <c r="C7" s="409">
        <f>'数据-取费表'!B2</f>
        <v>43391</v>
      </c>
      <c r="D7" s="410">
        <v>100</v>
      </c>
      <c r="E7" s="411">
        <v>43280</v>
      </c>
      <c r="F7" s="412">
        <f>SUMIF(70:70,YEAR(E7)&amp;"-"&amp;INT((MONTH(E7)+2)/3),71:71)</f>
        <v>98</v>
      </c>
      <c r="G7" s="2692">
        <v>43280</v>
      </c>
      <c r="H7" s="410">
        <f>SUMIF(70:70,YEAR(G7)&amp;"-"&amp;INT((MONTH(G7)+2)/3),71:71)</f>
        <v>98</v>
      </c>
      <c r="I7" s="2692">
        <v>43119</v>
      </c>
      <c r="J7" s="410">
        <f>SUMIF(70:70,YEAR(I7)&amp;"-"&amp;INT((MONTH(I7)+2)/3),71:71)</f>
        <v>97</v>
      </c>
      <c r="K7" s="610"/>
      <c r="L7" s="1130"/>
      <c r="M7" s="1131"/>
      <c r="N7" s="1131"/>
      <c r="O7" s="1131"/>
      <c r="P7" s="3227" t="s">
        <v>2544</v>
      </c>
      <c r="Q7" s="3255"/>
      <c r="R7" s="768" t="s">
        <v>17</v>
      </c>
      <c r="S7" s="769">
        <f t="shared" ref="S7:S15" si="0">F7</f>
        <v>98</v>
      </c>
      <c r="T7" s="768" t="s">
        <v>17</v>
      </c>
      <c r="U7" s="769">
        <f t="shared" ref="U7:U15" si="1">H7</f>
        <v>98</v>
      </c>
      <c r="V7" s="768" t="s">
        <v>17</v>
      </c>
      <c r="W7" s="769">
        <f t="shared" ref="W7:W15" si="2">J7</f>
        <v>97</v>
      </c>
      <c r="X7" s="770"/>
      <c r="Y7" s="3227" t="s">
        <v>2544</v>
      </c>
      <c r="Z7" s="3228"/>
      <c r="AA7" s="771">
        <f>D7/F7</f>
        <v>1.0204081632653061</v>
      </c>
      <c r="AB7" s="771">
        <f>D7/H7</f>
        <v>1.0204081632653061</v>
      </c>
      <c r="AC7" s="771">
        <f>D7/J7</f>
        <v>1.0309278350515463</v>
      </c>
    </row>
    <row r="8" spans="1:30" s="117" customFormat="1" ht="15.75" thickBot="1">
      <c r="A8" s="407" t="s">
        <v>2545</v>
      </c>
      <c r="B8" s="408"/>
      <c r="C8" s="413" t="s">
        <v>2546</v>
      </c>
      <c r="D8" s="410">
        <v>100</v>
      </c>
      <c r="E8" s="413" t="s">
        <v>3088</v>
      </c>
      <c r="F8" s="412">
        <f>SUMIF(73:73,E8,74:74)-SUMIF(73:73,C8,74:74)+100</f>
        <v>100</v>
      </c>
      <c r="G8" s="413" t="s">
        <v>3088</v>
      </c>
      <c r="H8" s="410">
        <f>SUMIF(73:73,G8,74:74)-SUMIF(73:73,C8,74:74)+100</f>
        <v>100</v>
      </c>
      <c r="I8" s="413" t="s">
        <v>3088</v>
      </c>
      <c r="J8" s="410">
        <f>SUMIF(73:73,I8,74:74)-SUMIF(73:73,C8,74:74)+100</f>
        <v>100</v>
      </c>
      <c r="K8" s="610"/>
      <c r="L8" s="1130"/>
      <c r="M8" s="1131"/>
      <c r="N8" s="1131"/>
      <c r="O8" s="1131"/>
      <c r="P8" s="3227" t="s">
        <v>2547</v>
      </c>
      <c r="Q8" s="3228"/>
      <c r="R8" s="768" t="s">
        <v>17</v>
      </c>
      <c r="S8" s="769">
        <f t="shared" si="0"/>
        <v>100</v>
      </c>
      <c r="T8" s="768" t="s">
        <v>17</v>
      </c>
      <c r="U8" s="769">
        <f t="shared" si="1"/>
        <v>100</v>
      </c>
      <c r="V8" s="768" t="s">
        <v>17</v>
      </c>
      <c r="W8" s="769">
        <f t="shared" si="2"/>
        <v>100</v>
      </c>
      <c r="X8" s="770"/>
      <c r="Y8" s="3227" t="s">
        <v>2547</v>
      </c>
      <c r="Z8" s="3228"/>
      <c r="AA8" s="771">
        <f t="shared" ref="AA8:AA45" si="3">D8/F8</f>
        <v>1</v>
      </c>
      <c r="AB8" s="771">
        <f t="shared" ref="AB8:AB45" si="4">D8/H8</f>
        <v>1</v>
      </c>
      <c r="AC8" s="771">
        <f t="shared" ref="AC8:AC45" si="5">D8/J8</f>
        <v>1</v>
      </c>
    </row>
    <row r="9" spans="1:30" s="117" customFormat="1">
      <c r="A9" s="414" t="s">
        <v>2548</v>
      </c>
      <c r="B9" s="71" t="s">
        <v>2549</v>
      </c>
      <c r="C9" s="2695" t="s">
        <v>1373</v>
      </c>
      <c r="D9" s="134">
        <v>100</v>
      </c>
      <c r="E9" s="2695" t="s">
        <v>1373</v>
      </c>
      <c r="F9" s="134">
        <f>SUMIF(75:75,E9,76:76)-SUMIF(75:75,C9,76:76)+100</f>
        <v>100</v>
      </c>
      <c r="G9" s="2695" t="s">
        <v>1373</v>
      </c>
      <c r="H9" s="134">
        <f>SUMIF(75:75,G9,76:76)-SUMIF(75:75,C9,76:76)+100</f>
        <v>100</v>
      </c>
      <c r="I9" s="2695" t="s">
        <v>1373</v>
      </c>
      <c r="J9" s="134">
        <f>SUMIF(75:75,I9,76:76)-SUMIF(75:75,C9,76:76)+100</f>
        <v>100</v>
      </c>
      <c r="K9" s="610"/>
      <c r="L9" s="1130"/>
      <c r="M9" s="1131"/>
      <c r="N9" s="1131"/>
      <c r="O9" s="1132"/>
      <c r="P9" s="3259" t="s">
        <v>2550</v>
      </c>
      <c r="Q9" s="1793" t="str">
        <f t="shared" ref="Q9:Q15" si="6">B9</f>
        <v>用途</v>
      </c>
      <c r="R9" s="768" t="s">
        <v>17</v>
      </c>
      <c r="S9" s="769">
        <f t="shared" si="0"/>
        <v>100</v>
      </c>
      <c r="T9" s="768" t="s">
        <v>17</v>
      </c>
      <c r="U9" s="769">
        <f t="shared" si="1"/>
        <v>100</v>
      </c>
      <c r="V9" s="768" t="s">
        <v>17</v>
      </c>
      <c r="W9" s="769">
        <f t="shared" si="2"/>
        <v>100</v>
      </c>
      <c r="X9" s="770"/>
      <c r="Y9" s="3074" t="s">
        <v>2551</v>
      </c>
      <c r="Z9" s="55" t="str">
        <f t="shared" ref="Z9:Z15" si="7">Q9</f>
        <v>用途</v>
      </c>
      <c r="AA9" s="771">
        <f t="shared" si="3"/>
        <v>1</v>
      </c>
      <c r="AB9" s="771">
        <f t="shared" si="4"/>
        <v>1</v>
      </c>
      <c r="AC9" s="771">
        <f t="shared" si="5"/>
        <v>1</v>
      </c>
    </row>
    <row r="10" spans="1:30" s="426" customFormat="1" ht="27">
      <c r="A10" s="420"/>
      <c r="B10" s="421" t="s">
        <v>2552</v>
      </c>
      <c r="C10" s="2955" t="s">
        <v>3081</v>
      </c>
      <c r="D10" s="135">
        <v>100</v>
      </c>
      <c r="E10" s="464" t="s">
        <v>3082</v>
      </c>
      <c r="F10" s="135">
        <f>ROUND(100/'数据-取费表'!G16,0)</f>
        <v>105</v>
      </c>
      <c r="G10" s="462" t="s">
        <v>3082</v>
      </c>
      <c r="H10" s="135">
        <f>ROUND(100/'数据-取费表'!G16,0)</f>
        <v>105</v>
      </c>
      <c r="I10" s="462" t="s">
        <v>3082</v>
      </c>
      <c r="J10" s="135">
        <f>ROUND(100/'数据-取费表'!G16,0)</f>
        <v>105</v>
      </c>
      <c r="K10" s="671"/>
      <c r="L10" s="1133"/>
      <c r="M10" s="1134"/>
      <c r="N10" s="1134"/>
      <c r="O10" s="1135"/>
      <c r="P10" s="3259"/>
      <c r="Q10" s="1793" t="str">
        <f t="shared" si="6"/>
        <v>土地使用年限（年）</v>
      </c>
      <c r="R10" s="768" t="s">
        <v>17</v>
      </c>
      <c r="S10" s="769">
        <f t="shared" si="0"/>
        <v>105</v>
      </c>
      <c r="T10" s="768" t="s">
        <v>17</v>
      </c>
      <c r="U10" s="769">
        <f t="shared" si="1"/>
        <v>105</v>
      </c>
      <c r="V10" s="768" t="s">
        <v>17</v>
      </c>
      <c r="W10" s="769">
        <f t="shared" si="2"/>
        <v>105</v>
      </c>
      <c r="X10" s="770"/>
      <c r="Y10" s="3074"/>
      <c r="Z10" s="55" t="str">
        <f t="shared" si="7"/>
        <v>土地使用年限（年）</v>
      </c>
      <c r="AA10" s="771">
        <f t="shared" si="3"/>
        <v>0.95238095238095233</v>
      </c>
      <c r="AB10" s="771">
        <f t="shared" si="4"/>
        <v>0.95238095238095233</v>
      </c>
      <c r="AC10" s="771">
        <f t="shared" si="5"/>
        <v>0.95238095238095233</v>
      </c>
    </row>
    <row r="11" spans="1:30" ht="15">
      <c r="A11" s="427"/>
      <c r="B11" s="421" t="s">
        <v>2553</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259"/>
      <c r="Q11" s="1793" t="str">
        <f t="shared" si="6"/>
        <v>容积率</v>
      </c>
      <c r="R11" s="768" t="s">
        <v>17</v>
      </c>
      <c r="S11" s="769">
        <f t="shared" si="0"/>
        <v>95</v>
      </c>
      <c r="T11" s="768" t="s">
        <v>17</v>
      </c>
      <c r="U11" s="769">
        <f t="shared" si="1"/>
        <v>95</v>
      </c>
      <c r="V11" s="768" t="s">
        <v>17</v>
      </c>
      <c r="W11" s="769">
        <f t="shared" si="2"/>
        <v>95</v>
      </c>
      <c r="X11" s="770"/>
      <c r="Y11" s="3074"/>
      <c r="Z11" s="55" t="str">
        <f t="shared" si="7"/>
        <v>容积率</v>
      </c>
      <c r="AA11" s="771">
        <f t="shared" si="3"/>
        <v>1.0526315789473684</v>
      </c>
      <c r="AB11" s="771">
        <f t="shared" si="4"/>
        <v>1.0526315789473684</v>
      </c>
      <c r="AC11" s="771">
        <f t="shared" si="5"/>
        <v>1.0526315789473684</v>
      </c>
    </row>
    <row r="12" spans="1:30" s="117" customFormat="1" ht="15" hidden="1">
      <c r="A12" s="430"/>
      <c r="B12" s="2596" t="s">
        <v>2742</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59"/>
      <c r="Q12" s="1793" t="str">
        <f t="shared" si="6"/>
        <v>配建</v>
      </c>
      <c r="R12" s="768" t="s">
        <v>17</v>
      </c>
      <c r="S12" s="769">
        <f t="shared" si="0"/>
        <v>100</v>
      </c>
      <c r="T12" s="768" t="s">
        <v>17</v>
      </c>
      <c r="U12" s="769">
        <f t="shared" si="1"/>
        <v>100</v>
      </c>
      <c r="V12" s="768" t="s">
        <v>17</v>
      </c>
      <c r="W12" s="769">
        <f t="shared" si="2"/>
        <v>100</v>
      </c>
      <c r="X12" s="770"/>
      <c r="Y12" s="3074"/>
      <c r="Z12" s="55" t="str">
        <f t="shared" si="7"/>
        <v>配建</v>
      </c>
      <c r="AA12" s="771">
        <f>D12/F12</f>
        <v>1</v>
      </c>
      <c r="AB12" s="771">
        <f>D12/H12</f>
        <v>1</v>
      </c>
      <c r="AC12" s="771">
        <f>D12/J12</f>
        <v>1</v>
      </c>
    </row>
    <row r="13" spans="1:30" ht="15" hidden="1">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59"/>
      <c r="Q13" s="1793">
        <f t="shared" si="6"/>
        <v>111</v>
      </c>
      <c r="R13" s="768" t="s">
        <v>17</v>
      </c>
      <c r="S13" s="769">
        <f t="shared" si="0"/>
        <v>100</v>
      </c>
      <c r="T13" s="768" t="s">
        <v>17</v>
      </c>
      <c r="U13" s="769">
        <f t="shared" si="1"/>
        <v>100</v>
      </c>
      <c r="V13" s="768" t="s">
        <v>17</v>
      </c>
      <c r="W13" s="769">
        <f t="shared" si="2"/>
        <v>100</v>
      </c>
      <c r="X13" s="770"/>
      <c r="Y13" s="3074"/>
      <c r="Z13" s="55">
        <f t="shared" si="7"/>
        <v>111</v>
      </c>
      <c r="AA13" s="771">
        <f>D13/F13</f>
        <v>1</v>
      </c>
      <c r="AB13" s="771">
        <f>D13/H13</f>
        <v>1</v>
      </c>
      <c r="AC13" s="771">
        <f>D13/J13</f>
        <v>1</v>
      </c>
    </row>
    <row r="14" spans="1:30" ht="15.75" hidden="1"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59"/>
      <c r="Q14" s="1793">
        <f t="shared" si="6"/>
        <v>111</v>
      </c>
      <c r="R14" s="768" t="s">
        <v>17</v>
      </c>
      <c r="S14" s="769">
        <f t="shared" si="0"/>
        <v>100</v>
      </c>
      <c r="T14" s="768" t="s">
        <v>17</v>
      </c>
      <c r="U14" s="769">
        <f t="shared" si="1"/>
        <v>100</v>
      </c>
      <c r="V14" s="768" t="s">
        <v>17</v>
      </c>
      <c r="W14" s="769">
        <f t="shared" si="2"/>
        <v>100</v>
      </c>
      <c r="X14" s="770"/>
      <c r="Y14" s="3074"/>
      <c r="Z14" s="55">
        <f t="shared" si="7"/>
        <v>111</v>
      </c>
      <c r="AA14" s="771">
        <f>D14/F14</f>
        <v>1</v>
      </c>
      <c r="AB14" s="771">
        <f>D14/H14</f>
        <v>1</v>
      </c>
      <c r="AC14" s="771">
        <f>D14/J14</f>
        <v>1</v>
      </c>
    </row>
    <row r="15" spans="1:30" ht="15" hidden="1">
      <c r="A15" s="439" t="s">
        <v>2554</v>
      </c>
      <c r="B15" s="69" t="s">
        <v>2084</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61" t="s">
        <v>2555</v>
      </c>
      <c r="Q15" s="1808" t="str">
        <f t="shared" si="6"/>
        <v>居住社区成熟度</v>
      </c>
      <c r="R15" s="772" t="s">
        <v>17</v>
      </c>
      <c r="S15" s="773">
        <f t="shared" si="0"/>
        <v>100</v>
      </c>
      <c r="T15" s="772" t="s">
        <v>17</v>
      </c>
      <c r="U15" s="773">
        <f t="shared" si="1"/>
        <v>100</v>
      </c>
      <c r="V15" s="772" t="s">
        <v>17</v>
      </c>
      <c r="W15" s="773">
        <f t="shared" si="2"/>
        <v>100</v>
      </c>
      <c r="X15" s="1811"/>
      <c r="Y15" s="3261" t="s">
        <v>2555</v>
      </c>
      <c r="Z15" s="1812" t="str">
        <f t="shared" si="7"/>
        <v>居住社区成熟度</v>
      </c>
      <c r="AA15" s="1809">
        <f t="shared" si="3"/>
        <v>1</v>
      </c>
      <c r="AB15" s="1809">
        <f t="shared" si="4"/>
        <v>1</v>
      </c>
      <c r="AC15" s="1809">
        <f t="shared" si="5"/>
        <v>1</v>
      </c>
    </row>
    <row r="16" spans="1:30" ht="15" hidden="1">
      <c r="A16" s="427"/>
      <c r="B16" s="445"/>
      <c r="C16" s="446"/>
      <c r="D16" s="447"/>
      <c r="E16" s="2601"/>
      <c r="F16" s="447"/>
      <c r="G16" s="2601"/>
      <c r="H16" s="449"/>
      <c r="I16" s="2600"/>
      <c r="J16" s="447"/>
      <c r="K16" s="671"/>
      <c r="L16" s="1138"/>
      <c r="M16" s="1129"/>
      <c r="N16" s="1129"/>
      <c r="O16" s="1137"/>
      <c r="P16" s="3262"/>
      <c r="Q16" s="1808"/>
      <c r="R16" s="772"/>
      <c r="S16" s="773"/>
      <c r="T16" s="772"/>
      <c r="U16" s="773"/>
      <c r="V16" s="772"/>
      <c r="W16" s="773"/>
      <c r="X16" s="1811"/>
      <c r="Y16" s="3262"/>
      <c r="Z16" s="1812"/>
      <c r="AA16" s="1809">
        <v>1</v>
      </c>
      <c r="AB16" s="1809">
        <v>1</v>
      </c>
      <c r="AC16" s="1809">
        <v>1</v>
      </c>
    </row>
    <row r="17" spans="1:29" ht="85.5">
      <c r="A17" s="427"/>
      <c r="B17" s="450" t="s">
        <v>2648</v>
      </c>
      <c r="C17" s="2660"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v>1</v>
      </c>
      <c r="L17" s="1138"/>
      <c r="M17" s="1129"/>
      <c r="N17" s="1129"/>
      <c r="O17" s="1137"/>
      <c r="P17" s="3262"/>
      <c r="Q17" s="1808" t="str">
        <f>B17</f>
        <v>商业繁华度</v>
      </c>
      <c r="R17" s="772" t="s">
        <v>17</v>
      </c>
      <c r="S17" s="773">
        <f>F17</f>
        <v>100</v>
      </c>
      <c r="T17" s="772" t="s">
        <v>17</v>
      </c>
      <c r="U17" s="773">
        <f>H17</f>
        <v>100</v>
      </c>
      <c r="V17" s="772" t="s">
        <v>17</v>
      </c>
      <c r="W17" s="773">
        <f>J17</f>
        <v>100</v>
      </c>
      <c r="X17" s="1811"/>
      <c r="Y17" s="3262"/>
      <c r="Z17" s="1812" t="str">
        <f>Q17</f>
        <v>商业繁华度</v>
      </c>
      <c r="AA17" s="1809">
        <f t="shared" si="3"/>
        <v>1</v>
      </c>
      <c r="AB17" s="1809">
        <f t="shared" si="4"/>
        <v>1</v>
      </c>
      <c r="AC17" s="1809">
        <f t="shared" si="5"/>
        <v>1</v>
      </c>
    </row>
    <row r="18" spans="1:29" ht="15">
      <c r="A18" s="427"/>
      <c r="B18" s="455"/>
      <c r="C18" s="2604" t="s">
        <v>3090</v>
      </c>
      <c r="D18" s="449"/>
      <c r="E18" s="2606" t="s">
        <v>3090</v>
      </c>
      <c r="F18" s="449"/>
      <c r="G18" s="2606" t="s">
        <v>3090</v>
      </c>
      <c r="H18" s="447"/>
      <c r="I18" s="2605" t="s">
        <v>3090</v>
      </c>
      <c r="J18" s="447"/>
      <c r="K18" s="671"/>
      <c r="L18" s="1138"/>
      <c r="M18" s="1129"/>
      <c r="N18" s="1129"/>
      <c r="O18" s="1137"/>
      <c r="P18" s="3262"/>
      <c r="Q18" s="1808"/>
      <c r="R18" s="772"/>
      <c r="S18" s="773"/>
      <c r="T18" s="772"/>
      <c r="U18" s="773"/>
      <c r="V18" s="772"/>
      <c r="W18" s="773"/>
      <c r="X18" s="1811"/>
      <c r="Y18" s="3262"/>
      <c r="Z18" s="1812"/>
      <c r="AA18" s="1809">
        <v>1</v>
      </c>
      <c r="AB18" s="1809">
        <v>1</v>
      </c>
      <c r="AC18" s="1809">
        <v>1</v>
      </c>
    </row>
    <row r="19" spans="1:29" ht="15" hidden="1">
      <c r="A19" s="427"/>
      <c r="B19" s="450" t="s">
        <v>2682</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62"/>
      <c r="Q19" s="1808" t="str">
        <f>B19</f>
        <v>办公集聚程度</v>
      </c>
      <c r="R19" s="772" t="s">
        <v>17</v>
      </c>
      <c r="S19" s="773">
        <f>F19</f>
        <v>100</v>
      </c>
      <c r="T19" s="772" t="s">
        <v>17</v>
      </c>
      <c r="U19" s="773">
        <f>H19</f>
        <v>100</v>
      </c>
      <c r="V19" s="772" t="s">
        <v>17</v>
      </c>
      <c r="W19" s="773">
        <f>J19</f>
        <v>100</v>
      </c>
      <c r="X19" s="1811"/>
      <c r="Y19" s="3262"/>
      <c r="Z19" s="1812" t="str">
        <f>Q19</f>
        <v>办公集聚程度</v>
      </c>
      <c r="AA19" s="1809">
        <f t="shared" si="3"/>
        <v>1</v>
      </c>
      <c r="AB19" s="1809">
        <f t="shared" si="4"/>
        <v>1</v>
      </c>
      <c r="AC19" s="1809">
        <f t="shared" si="5"/>
        <v>1</v>
      </c>
    </row>
    <row r="20" spans="1:29" ht="15" hidden="1">
      <c r="A20" s="427"/>
      <c r="B20" s="455"/>
      <c r="C20" s="446"/>
      <c r="D20" s="447"/>
      <c r="E20" s="2601"/>
      <c r="F20" s="447"/>
      <c r="G20" s="2601"/>
      <c r="H20" s="447"/>
      <c r="I20" s="2600"/>
      <c r="J20" s="447"/>
      <c r="K20" s="671"/>
      <c r="L20" s="1138"/>
      <c r="M20" s="1129"/>
      <c r="N20" s="1129"/>
      <c r="O20" s="1137"/>
      <c r="P20" s="3262"/>
      <c r="Q20" s="1808"/>
      <c r="R20" s="772"/>
      <c r="S20" s="773"/>
      <c r="T20" s="772"/>
      <c r="U20" s="773"/>
      <c r="V20" s="772"/>
      <c r="W20" s="773"/>
      <c r="X20" s="1811"/>
      <c r="Y20" s="3262"/>
      <c r="Z20" s="1812"/>
      <c r="AA20" s="1809">
        <v>1</v>
      </c>
      <c r="AB20" s="1809">
        <v>1</v>
      </c>
      <c r="AC20" s="1809">
        <v>1</v>
      </c>
    </row>
    <row r="21" spans="1:29" ht="85.5">
      <c r="A21" s="427"/>
      <c r="B21" s="450" t="s">
        <v>2704</v>
      </c>
      <c r="C21" s="2603"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v>1</v>
      </c>
      <c r="L21" s="1138"/>
      <c r="M21" s="1129"/>
      <c r="N21" s="1129"/>
      <c r="O21" s="1137"/>
      <c r="P21" s="3262"/>
      <c r="Q21" s="1808" t="str">
        <f>B21</f>
        <v>交通便捷度</v>
      </c>
      <c r="R21" s="772" t="s">
        <v>17</v>
      </c>
      <c r="S21" s="773">
        <f>F21</f>
        <v>100</v>
      </c>
      <c r="T21" s="772" t="s">
        <v>17</v>
      </c>
      <c r="U21" s="773">
        <f>H21</f>
        <v>100</v>
      </c>
      <c r="V21" s="772" t="s">
        <v>17</v>
      </c>
      <c r="W21" s="773">
        <f>J21</f>
        <v>100</v>
      </c>
      <c r="X21" s="1811"/>
      <c r="Y21" s="3262"/>
      <c r="Z21" s="1812" t="str">
        <f>Q21</f>
        <v>交通便捷度</v>
      </c>
      <c r="AA21" s="1809">
        <f t="shared" si="3"/>
        <v>1</v>
      </c>
      <c r="AB21" s="1809">
        <f t="shared" si="4"/>
        <v>1</v>
      </c>
      <c r="AC21" s="1809">
        <f t="shared" si="5"/>
        <v>1</v>
      </c>
    </row>
    <row r="22" spans="1:29" ht="15">
      <c r="A22" s="427"/>
      <c r="B22" s="1382"/>
      <c r="C22" s="446" t="s">
        <v>3089</v>
      </c>
      <c r="D22" s="449"/>
      <c r="E22" s="2601" t="s">
        <v>3089</v>
      </c>
      <c r="F22" s="447"/>
      <c r="G22" s="2601" t="s">
        <v>3089</v>
      </c>
      <c r="H22" s="447"/>
      <c r="I22" s="2600" t="s">
        <v>3089</v>
      </c>
      <c r="J22" s="447"/>
      <c r="K22" s="671"/>
      <c r="L22" s="1138"/>
      <c r="M22" s="1129"/>
      <c r="N22" s="1129"/>
      <c r="O22" s="1137"/>
      <c r="P22" s="3262"/>
      <c r="Q22" s="1808"/>
      <c r="R22" s="772"/>
      <c r="S22" s="773"/>
      <c r="T22" s="772"/>
      <c r="U22" s="773"/>
      <c r="V22" s="772"/>
      <c r="W22" s="773"/>
      <c r="X22" s="1811"/>
      <c r="Y22" s="3262"/>
      <c r="Z22" s="1812"/>
      <c r="AA22" s="1809">
        <v>1</v>
      </c>
      <c r="AB22" s="1809">
        <v>1</v>
      </c>
      <c r="AC22" s="1809">
        <v>1</v>
      </c>
    </row>
    <row r="23" spans="1:29" ht="15">
      <c r="A23" s="403"/>
      <c r="B23" s="450" t="s">
        <v>2743</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1</v>
      </c>
      <c r="L23" s="1138"/>
      <c r="M23" s="1129"/>
      <c r="N23" s="1129"/>
      <c r="O23" s="1137"/>
      <c r="P23" s="3262"/>
      <c r="Q23" s="1808" t="str">
        <f t="shared" ref="Q23:Q37" si="8">B23</f>
        <v>区域土地利用方向</v>
      </c>
      <c r="R23" s="772" t="s">
        <v>17</v>
      </c>
      <c r="S23" s="773">
        <f>F23</f>
        <v>100</v>
      </c>
      <c r="T23" s="772" t="s">
        <v>17</v>
      </c>
      <c r="U23" s="773">
        <f>H23</f>
        <v>100</v>
      </c>
      <c r="V23" s="772" t="s">
        <v>17</v>
      </c>
      <c r="W23" s="773">
        <f>J23</f>
        <v>100</v>
      </c>
      <c r="X23" s="1811"/>
      <c r="Y23" s="3262"/>
      <c r="Z23" s="1812" t="str">
        <f>Q23</f>
        <v>区域土地利用方向</v>
      </c>
      <c r="AA23" s="1809">
        <f t="shared" si="3"/>
        <v>1</v>
      </c>
      <c r="AB23" s="1809">
        <f t="shared" si="4"/>
        <v>1</v>
      </c>
      <c r="AC23" s="1809">
        <f t="shared" si="5"/>
        <v>1</v>
      </c>
    </row>
    <row r="24" spans="1:29" ht="15">
      <c r="A24" s="403"/>
      <c r="B24" s="455"/>
      <c r="C24" s="615" t="s">
        <v>3089</v>
      </c>
      <c r="D24" s="447"/>
      <c r="E24" s="2601" t="s">
        <v>3089</v>
      </c>
      <c r="F24" s="447"/>
      <c r="G24" s="2600" t="s">
        <v>3089</v>
      </c>
      <c r="H24" s="447"/>
      <c r="I24" s="2600" t="s">
        <v>3089</v>
      </c>
      <c r="J24" s="447"/>
      <c r="K24" s="810"/>
      <c r="L24" s="1138"/>
      <c r="M24" s="1129"/>
      <c r="N24" s="1129"/>
      <c r="O24" s="1137"/>
      <c r="P24" s="3262"/>
      <c r="Q24" s="1808"/>
      <c r="R24" s="772"/>
      <c r="S24" s="773"/>
      <c r="T24" s="772"/>
      <c r="U24" s="773"/>
      <c r="V24" s="772"/>
      <c r="W24" s="773"/>
      <c r="X24" s="1811"/>
      <c r="Y24" s="3262"/>
      <c r="Z24" s="1812"/>
      <c r="AA24" s="1809"/>
      <c r="AB24" s="1809"/>
      <c r="AC24" s="1809"/>
    </row>
    <row r="25" spans="1:29" ht="71.25">
      <c r="A25" s="403"/>
      <c r="B25" s="1382" t="s">
        <v>2744</v>
      </c>
      <c r="C25" s="2660"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v>1</v>
      </c>
      <c r="L25" s="1138"/>
      <c r="M25" s="1129"/>
      <c r="N25" s="1129"/>
      <c r="O25" s="1137"/>
      <c r="P25" s="3262"/>
      <c r="Q25" s="1808" t="str">
        <f t="shared" si="8"/>
        <v>自然及人文环境状况</v>
      </c>
      <c r="R25" s="772" t="s">
        <v>17</v>
      </c>
      <c r="S25" s="773">
        <f>F25</f>
        <v>100</v>
      </c>
      <c r="T25" s="772" t="s">
        <v>17</v>
      </c>
      <c r="U25" s="773">
        <f>H25</f>
        <v>100</v>
      </c>
      <c r="V25" s="772" t="s">
        <v>17</v>
      </c>
      <c r="W25" s="773">
        <f>J25</f>
        <v>100</v>
      </c>
      <c r="X25" s="1811"/>
      <c r="Y25" s="3262"/>
      <c r="Z25" s="1812" t="str">
        <f>Q25</f>
        <v>自然及人文环境状况</v>
      </c>
      <c r="AA25" s="1809">
        <f t="shared" si="3"/>
        <v>1</v>
      </c>
      <c r="AB25" s="1809">
        <f t="shared" si="4"/>
        <v>1</v>
      </c>
      <c r="AC25" s="1809">
        <f t="shared" si="5"/>
        <v>1</v>
      </c>
    </row>
    <row r="26" spans="1:29" ht="15">
      <c r="A26" s="403"/>
      <c r="B26" s="455"/>
      <c r="C26" s="446" t="s">
        <v>3089</v>
      </c>
      <c r="D26" s="447"/>
      <c r="E26" s="2607" t="s">
        <v>3089</v>
      </c>
      <c r="F26" s="447"/>
      <c r="G26" s="2607" t="s">
        <v>3089</v>
      </c>
      <c r="H26" s="447"/>
      <c r="I26" s="446" t="s">
        <v>3089</v>
      </c>
      <c r="J26" s="447"/>
      <c r="K26" s="671"/>
      <c r="L26" s="1138"/>
      <c r="M26" s="1129"/>
      <c r="N26" s="1129"/>
      <c r="O26" s="1137"/>
      <c r="P26" s="3262"/>
      <c r="Q26" s="1808"/>
      <c r="R26" s="772"/>
      <c r="S26" s="773"/>
      <c r="T26" s="772"/>
      <c r="U26" s="773"/>
      <c r="V26" s="772"/>
      <c r="W26" s="773"/>
      <c r="X26" s="1811"/>
      <c r="Y26" s="3262"/>
      <c r="Z26" s="1812"/>
      <c r="AA26" s="1809">
        <v>1</v>
      </c>
      <c r="AB26" s="1809">
        <v>1</v>
      </c>
      <c r="AC26" s="1809">
        <v>1</v>
      </c>
    </row>
    <row r="27" spans="1:29" s="117" customFormat="1" ht="142.5">
      <c r="A27" s="648"/>
      <c r="B27" s="1382" t="s">
        <v>2649</v>
      </c>
      <c r="C27" s="2603"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v>1</v>
      </c>
      <c r="L27" s="1130"/>
      <c r="M27" s="1131"/>
      <c r="N27" s="1131"/>
      <c r="O27" s="1132"/>
      <c r="P27" s="3262"/>
      <c r="Q27" s="1793" t="str">
        <f t="shared" si="8"/>
        <v>公共配套设施</v>
      </c>
      <c r="R27" s="768" t="s">
        <v>17</v>
      </c>
      <c r="S27" s="769">
        <f>F27</f>
        <v>100</v>
      </c>
      <c r="T27" s="768" t="s">
        <v>17</v>
      </c>
      <c r="U27" s="769">
        <f>H27</f>
        <v>100</v>
      </c>
      <c r="V27" s="768" t="s">
        <v>17</v>
      </c>
      <c r="W27" s="769">
        <f>J27</f>
        <v>100</v>
      </c>
      <c r="X27" s="770"/>
      <c r="Y27" s="3262"/>
      <c r="Z27" s="55" t="str">
        <f>Q27</f>
        <v>公共配套设施</v>
      </c>
      <c r="AA27" s="1809">
        <f>D27/F27</f>
        <v>1</v>
      </c>
      <c r="AB27" s="1809">
        <f>D27/H27</f>
        <v>1</v>
      </c>
      <c r="AC27" s="1809">
        <f>D27/J27</f>
        <v>1</v>
      </c>
    </row>
    <row r="28" spans="1:29" s="117" customFormat="1" ht="15">
      <c r="A28" s="648"/>
      <c r="B28" s="455"/>
      <c r="C28" s="2696" t="s">
        <v>3089</v>
      </c>
      <c r="D28" s="447"/>
      <c r="E28" s="2607" t="s">
        <v>3089</v>
      </c>
      <c r="F28" s="447"/>
      <c r="G28" s="2607" t="s">
        <v>3089</v>
      </c>
      <c r="H28" s="447"/>
      <c r="I28" s="446" t="s">
        <v>3089</v>
      </c>
      <c r="J28" s="447"/>
      <c r="K28" s="671"/>
      <c r="L28" s="1130"/>
      <c r="M28" s="1131"/>
      <c r="N28" s="1131"/>
      <c r="O28" s="1132"/>
      <c r="P28" s="3262"/>
      <c r="Q28" s="1793"/>
      <c r="R28" s="768"/>
      <c r="S28" s="769"/>
      <c r="T28" s="768"/>
      <c r="U28" s="769"/>
      <c r="V28" s="768"/>
      <c r="W28" s="769"/>
      <c r="X28" s="770"/>
      <c r="Y28" s="3262"/>
      <c r="Z28" s="55"/>
      <c r="AA28" s="1809">
        <v>1</v>
      </c>
      <c r="AB28" s="1809">
        <v>1</v>
      </c>
      <c r="AC28" s="1809">
        <v>1</v>
      </c>
    </row>
    <row r="29" spans="1:29" s="117" customFormat="1" ht="28.5">
      <c r="A29" s="648"/>
      <c r="B29" s="1382" t="s">
        <v>2650</v>
      </c>
      <c r="C29" s="2603"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62"/>
      <c r="Q29" s="1793" t="str">
        <f t="shared" ref="Q29" si="9">B29</f>
        <v>基础设施水平</v>
      </c>
      <c r="R29" s="768" t="s">
        <v>17</v>
      </c>
      <c r="S29" s="769">
        <f>F29</f>
        <v>100</v>
      </c>
      <c r="T29" s="768" t="s">
        <v>17</v>
      </c>
      <c r="U29" s="769">
        <f>H29</f>
        <v>100</v>
      </c>
      <c r="V29" s="768" t="s">
        <v>17</v>
      </c>
      <c r="W29" s="769">
        <f>J29</f>
        <v>100</v>
      </c>
      <c r="X29" s="770"/>
      <c r="Y29" s="3262"/>
      <c r="Z29" s="55" t="str">
        <f>Q29</f>
        <v>基础设施水平</v>
      </c>
      <c r="AA29" s="1809">
        <f>D29/F29</f>
        <v>1</v>
      </c>
      <c r="AB29" s="1809">
        <f>D29/H29</f>
        <v>1</v>
      </c>
      <c r="AC29" s="1809">
        <f>D29/J29</f>
        <v>1</v>
      </c>
    </row>
    <row r="30" spans="1:29" s="117" customFormat="1" ht="15">
      <c r="A30" s="648"/>
      <c r="B30" s="455"/>
      <c r="C30" s="2696" t="s">
        <v>3093</v>
      </c>
      <c r="D30" s="447"/>
      <c r="E30" s="2697" t="s">
        <v>3093</v>
      </c>
      <c r="F30" s="447"/>
      <c r="G30" s="2697" t="s">
        <v>3093</v>
      </c>
      <c r="H30" s="447"/>
      <c r="I30" s="2697" t="s">
        <v>3093</v>
      </c>
      <c r="J30" s="447"/>
      <c r="K30" s="671"/>
      <c r="L30" s="1130"/>
      <c r="M30" s="1131"/>
      <c r="N30" s="1131"/>
      <c r="O30" s="1132"/>
      <c r="P30" s="3262"/>
      <c r="Q30" s="1793"/>
      <c r="R30" s="768"/>
      <c r="S30" s="769"/>
      <c r="T30" s="768"/>
      <c r="U30" s="769"/>
      <c r="V30" s="768"/>
      <c r="W30" s="769"/>
      <c r="X30" s="770"/>
      <c r="Y30" s="3262"/>
      <c r="Z30" s="55"/>
      <c r="AA30" s="1809">
        <v>1</v>
      </c>
      <c r="AB30" s="1809">
        <v>1</v>
      </c>
      <c r="AC30" s="1809">
        <v>1</v>
      </c>
    </row>
    <row r="31" spans="1:29" ht="15">
      <c r="A31" s="427"/>
      <c r="B31" s="455" t="s">
        <v>2651</v>
      </c>
      <c r="C31" s="2971" t="s">
        <v>3102</v>
      </c>
      <c r="D31" s="434">
        <v>100</v>
      </c>
      <c r="E31" s="633" t="s">
        <v>3091</v>
      </c>
      <c r="F31" s="434">
        <f>SUMIF(104:104,E31,105:105)-SUMIF(104:104,C31,105:105)+100</f>
        <v>97</v>
      </c>
      <c r="G31" s="633" t="s">
        <v>3091</v>
      </c>
      <c r="H31" s="434">
        <f>SUMIF(104:104,G31,105:105)-SUMIF(104:104,C31,105:105)+100</f>
        <v>97</v>
      </c>
      <c r="I31" s="633" t="s">
        <v>3091</v>
      </c>
      <c r="J31" s="434">
        <f>SUMIF(104:104,I31,105:105)-SUMIF(104:104,C31,105:105)+100</f>
        <v>97</v>
      </c>
      <c r="K31" s="672">
        <v>3</v>
      </c>
      <c r="L31" s="1138"/>
      <c r="M31" s="1129"/>
      <c r="N31" s="1129"/>
      <c r="O31" s="1137"/>
      <c r="P31" s="3262"/>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262"/>
      <c r="Z31" s="1812" t="str">
        <f t="shared" ref="Z31:Z45" si="13">Q31</f>
        <v>临街状况</v>
      </c>
      <c r="AA31" s="1809">
        <f t="shared" si="3"/>
        <v>1.0309278350515463</v>
      </c>
      <c r="AB31" s="1809">
        <f t="shared" si="4"/>
        <v>1.0309278350515463</v>
      </c>
      <c r="AC31" s="1809">
        <f t="shared" si="5"/>
        <v>1.0309278350515463</v>
      </c>
    </row>
    <row r="32" spans="1:29" ht="27">
      <c r="A32" s="427"/>
      <c r="B32" s="1382" t="s">
        <v>2686</v>
      </c>
      <c r="C32" s="2957" t="s">
        <v>3100</v>
      </c>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38"/>
      <c r="M32" s="1129"/>
      <c r="N32" s="1129"/>
      <c r="O32" s="1137"/>
      <c r="P32" s="3262"/>
      <c r="Q32" s="1808" t="str">
        <f t="shared" si="8"/>
        <v>毗邻道路的类型与等级</v>
      </c>
      <c r="R32" s="772" t="s">
        <v>17</v>
      </c>
      <c r="S32" s="773">
        <f t="shared" si="10"/>
        <v>100</v>
      </c>
      <c r="T32" s="772" t="s">
        <v>17</v>
      </c>
      <c r="U32" s="773">
        <f t="shared" si="11"/>
        <v>100</v>
      </c>
      <c r="V32" s="772" t="s">
        <v>17</v>
      </c>
      <c r="W32" s="773">
        <f t="shared" si="12"/>
        <v>100</v>
      </c>
      <c r="X32" s="1811"/>
      <c r="Y32" s="3262"/>
      <c r="Z32" s="1812" t="str">
        <f t="shared" si="13"/>
        <v>毗邻道路的类型与等级</v>
      </c>
      <c r="AA32" s="1809">
        <f t="shared" si="3"/>
        <v>1</v>
      </c>
      <c r="AB32" s="1809">
        <f t="shared" si="4"/>
        <v>1</v>
      </c>
      <c r="AC32" s="1809">
        <f t="shared" si="5"/>
        <v>1</v>
      </c>
    </row>
    <row r="33" spans="1:29" ht="15.75" thickBot="1">
      <c r="A33" s="427"/>
      <c r="B33" s="455"/>
      <c r="C33" s="446" t="s">
        <v>3099</v>
      </c>
      <c r="D33" s="447"/>
      <c r="E33" s="2607" t="s">
        <v>3099</v>
      </c>
      <c r="F33" s="447"/>
      <c r="G33" s="2607" t="s">
        <v>3099</v>
      </c>
      <c r="H33" s="447"/>
      <c r="I33" s="446" t="s">
        <v>3099</v>
      </c>
      <c r="J33" s="447"/>
      <c r="K33" s="612"/>
      <c r="L33" s="1138"/>
      <c r="M33" s="1129"/>
      <c r="N33" s="1129"/>
      <c r="O33" s="1137"/>
      <c r="P33" s="3262"/>
      <c r="Q33" s="1808"/>
      <c r="R33" s="772"/>
      <c r="S33" s="773"/>
      <c r="T33" s="772"/>
      <c r="U33" s="773"/>
      <c r="V33" s="772"/>
      <c r="W33" s="773"/>
      <c r="X33" s="1811"/>
      <c r="Y33" s="3262"/>
      <c r="Z33" s="1812"/>
      <c r="AA33" s="1809">
        <v>1</v>
      </c>
      <c r="AB33" s="1809">
        <v>1</v>
      </c>
      <c r="AC33" s="1809">
        <v>1</v>
      </c>
    </row>
    <row r="34" spans="1:29" ht="15" hidden="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62"/>
      <c r="Q34" s="1808" t="str">
        <f t="shared" si="8"/>
        <v>土地级别</v>
      </c>
      <c r="R34" s="772" t="s">
        <v>17</v>
      </c>
      <c r="S34" s="773">
        <f t="shared" si="10"/>
        <v>100</v>
      </c>
      <c r="T34" s="772" t="s">
        <v>17</v>
      </c>
      <c r="U34" s="773">
        <f t="shared" si="11"/>
        <v>100</v>
      </c>
      <c r="V34" s="772" t="s">
        <v>17</v>
      </c>
      <c r="W34" s="773">
        <f t="shared" si="12"/>
        <v>100</v>
      </c>
      <c r="X34" s="1811"/>
      <c r="Y34" s="3262"/>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62"/>
      <c r="Q35" s="1808">
        <f t="shared" si="8"/>
        <v>111</v>
      </c>
      <c r="R35" s="772" t="s">
        <v>17</v>
      </c>
      <c r="S35" s="773">
        <f t="shared" si="10"/>
        <v>100</v>
      </c>
      <c r="T35" s="772" t="s">
        <v>17</v>
      </c>
      <c r="U35" s="773">
        <f t="shared" si="11"/>
        <v>100</v>
      </c>
      <c r="V35" s="772" t="s">
        <v>17</v>
      </c>
      <c r="W35" s="773">
        <f t="shared" si="12"/>
        <v>100</v>
      </c>
      <c r="X35" s="1811"/>
      <c r="Y35" s="3262"/>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85" t="s">
        <v>2560</v>
      </c>
      <c r="Q36" s="1808">
        <f t="shared" si="8"/>
        <v>111</v>
      </c>
      <c r="R36" s="772" t="s">
        <v>17</v>
      </c>
      <c r="S36" s="773">
        <f t="shared" si="10"/>
        <v>100</v>
      </c>
      <c r="T36" s="772" t="s">
        <v>17</v>
      </c>
      <c r="U36" s="773">
        <f t="shared" si="11"/>
        <v>100</v>
      </c>
      <c r="V36" s="772" t="s">
        <v>17</v>
      </c>
      <c r="W36" s="773">
        <f t="shared" si="12"/>
        <v>100</v>
      </c>
      <c r="X36" s="1811"/>
      <c r="Y36" s="3266" t="s">
        <v>2560</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66"/>
      <c r="Q37" s="1808">
        <f t="shared" si="8"/>
        <v>111</v>
      </c>
      <c r="R37" s="775" t="s">
        <v>17</v>
      </c>
      <c r="S37" s="776">
        <f t="shared" si="10"/>
        <v>100</v>
      </c>
      <c r="T37" s="775" t="s">
        <v>17</v>
      </c>
      <c r="U37" s="776">
        <f t="shared" si="11"/>
        <v>100</v>
      </c>
      <c r="V37" s="775" t="s">
        <v>17</v>
      </c>
      <c r="W37" s="776">
        <f t="shared" si="12"/>
        <v>100</v>
      </c>
      <c r="X37" s="777"/>
      <c r="Y37" s="3266"/>
      <c r="Z37" s="778">
        <f t="shared" si="13"/>
        <v>111</v>
      </c>
      <c r="AA37" s="1809">
        <f t="shared" si="3"/>
        <v>1</v>
      </c>
      <c r="AB37" s="1809">
        <f t="shared" si="4"/>
        <v>1</v>
      </c>
      <c r="AC37" s="1809">
        <f t="shared" si="5"/>
        <v>1</v>
      </c>
    </row>
    <row r="38" spans="1:29" ht="15">
      <c r="A38" s="471" t="s">
        <v>2558</v>
      </c>
      <c r="B38" s="455" t="s">
        <v>2746</v>
      </c>
      <c r="C38" s="2970">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266"/>
      <c r="Q38" s="1808" t="str">
        <f>B38</f>
        <v>宗地面积</v>
      </c>
      <c r="R38" s="772" t="s">
        <v>17</v>
      </c>
      <c r="S38" s="773">
        <f t="shared" si="10"/>
        <v>100.5</v>
      </c>
      <c r="T38" s="772" t="s">
        <v>17</v>
      </c>
      <c r="U38" s="773">
        <f t="shared" si="11"/>
        <v>101.5</v>
      </c>
      <c r="V38" s="772" t="s">
        <v>17</v>
      </c>
      <c r="W38" s="773">
        <f t="shared" si="12"/>
        <v>99.5</v>
      </c>
      <c r="X38" s="1811"/>
      <c r="Y38" s="3266"/>
      <c r="Z38" s="1812" t="str">
        <f t="shared" si="13"/>
        <v>宗地面积</v>
      </c>
      <c r="AA38" s="1809">
        <f t="shared" si="3"/>
        <v>0.99502487562189057</v>
      </c>
      <c r="AB38" s="1809">
        <f t="shared" si="4"/>
        <v>0.98522167487684731</v>
      </c>
      <c r="AC38" s="1809">
        <f t="shared" si="5"/>
        <v>1.0050251256281406</v>
      </c>
    </row>
    <row r="39" spans="1:29" ht="15">
      <c r="A39" s="471"/>
      <c r="B39" s="2969" t="s">
        <v>2747</v>
      </c>
      <c r="C39" s="2609" t="s">
        <v>3107</v>
      </c>
      <c r="D39" s="434">
        <v>100</v>
      </c>
      <c r="E39" s="2609" t="s">
        <v>3107</v>
      </c>
      <c r="F39" s="434">
        <f>SUMIF(119:119,E39,120:120)-SUMIF(119:119,C39,120:120)+100</f>
        <v>100</v>
      </c>
      <c r="G39" s="2609" t="s">
        <v>3107</v>
      </c>
      <c r="H39" s="434">
        <f>SUMIF(119:119,G39,120:120)-SUMIF(119:119,C39,120:120)+100</f>
        <v>100</v>
      </c>
      <c r="I39" s="2609" t="s">
        <v>3107</v>
      </c>
      <c r="J39" s="434">
        <f>SUMIF(119:119,I39,120:120)-SUMIF(119:119,C39,120:120)+100</f>
        <v>100</v>
      </c>
      <c r="K39" s="611">
        <v>1</v>
      </c>
      <c r="L39" s="1138"/>
      <c r="M39" s="1129"/>
      <c r="N39" s="1129"/>
      <c r="O39" s="1137"/>
      <c r="P39" s="3266"/>
      <c r="Q39" s="1808" t="str">
        <f t="shared" ref="Q39:Q45" si="14">B39</f>
        <v>宗地形状</v>
      </c>
      <c r="R39" s="772" t="s">
        <v>17</v>
      </c>
      <c r="S39" s="773">
        <f t="shared" si="10"/>
        <v>100</v>
      </c>
      <c r="T39" s="772" t="s">
        <v>17</v>
      </c>
      <c r="U39" s="773">
        <f t="shared" si="11"/>
        <v>100</v>
      </c>
      <c r="V39" s="772" t="s">
        <v>17</v>
      </c>
      <c r="W39" s="773">
        <f t="shared" si="12"/>
        <v>100</v>
      </c>
      <c r="X39" s="1811"/>
      <c r="Y39" s="3266"/>
      <c r="Z39" s="1812" t="str">
        <f t="shared" si="13"/>
        <v>宗地形状</v>
      </c>
      <c r="AA39" s="1809">
        <f t="shared" si="3"/>
        <v>1</v>
      </c>
      <c r="AB39" s="1809">
        <f t="shared" si="4"/>
        <v>1</v>
      </c>
      <c r="AC39" s="1809">
        <f t="shared" si="5"/>
        <v>1</v>
      </c>
    </row>
    <row r="40" spans="1:29" ht="15" hidden="1">
      <c r="A40" s="471"/>
      <c r="B40" s="2969" t="s">
        <v>2748</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66"/>
      <c r="Q40" s="1808" t="str">
        <f t="shared" si="14"/>
        <v>临街宽度及深度</v>
      </c>
      <c r="R40" s="772" t="s">
        <v>17</v>
      </c>
      <c r="S40" s="773">
        <f t="shared" si="10"/>
        <v>100</v>
      </c>
      <c r="T40" s="772" t="s">
        <v>17</v>
      </c>
      <c r="U40" s="773">
        <f t="shared" si="11"/>
        <v>100</v>
      </c>
      <c r="V40" s="772" t="s">
        <v>17</v>
      </c>
      <c r="W40" s="773">
        <f t="shared" si="12"/>
        <v>100</v>
      </c>
      <c r="X40" s="1811"/>
      <c r="Y40" s="3266"/>
      <c r="Z40" s="1812" t="str">
        <f t="shared" si="13"/>
        <v>临街宽度及深度</v>
      </c>
      <c r="AA40" s="1809">
        <f t="shared" si="3"/>
        <v>1</v>
      </c>
      <c r="AB40" s="1809">
        <f t="shared" si="4"/>
        <v>1</v>
      </c>
      <c r="AC40" s="1809">
        <f t="shared" si="5"/>
        <v>1</v>
      </c>
    </row>
    <row r="41" spans="1:29" s="117" customFormat="1" ht="15">
      <c r="A41" s="472"/>
      <c r="B41" s="2969" t="s">
        <v>2749</v>
      </c>
      <c r="C41" s="2698" t="s">
        <v>3089</v>
      </c>
      <c r="D41" s="135">
        <v>100</v>
      </c>
      <c r="E41" s="2698" t="s">
        <v>3089</v>
      </c>
      <c r="F41" s="434">
        <f>SUMIF(123:123,E41,124:124)-SUMIF(123:123,C41,124:124)+100</f>
        <v>100</v>
      </c>
      <c r="G41" s="2698" t="s">
        <v>3089</v>
      </c>
      <c r="H41" s="434">
        <f>SUMIF(123:123,G41,124:124)-SUMIF(123:123,C41,124:124)+100</f>
        <v>100</v>
      </c>
      <c r="I41" s="2698" t="s">
        <v>3089</v>
      </c>
      <c r="J41" s="434">
        <f>SUMIF(123:123,I41,124:124)-SUMIF(123:123,C41,124:124)+100</f>
        <v>100</v>
      </c>
      <c r="K41" s="611">
        <v>1</v>
      </c>
      <c r="L41" s="1130"/>
      <c r="M41" s="1131"/>
      <c r="N41" s="1131"/>
      <c r="O41" s="1132"/>
      <c r="P41" s="3266"/>
      <c r="Q41" s="1808" t="str">
        <f t="shared" si="14"/>
        <v>宗地开发程度</v>
      </c>
      <c r="R41" s="768" t="s">
        <v>17</v>
      </c>
      <c r="S41" s="769">
        <f t="shared" si="10"/>
        <v>100</v>
      </c>
      <c r="T41" s="768" t="s">
        <v>17</v>
      </c>
      <c r="U41" s="769">
        <f t="shared" si="11"/>
        <v>100</v>
      </c>
      <c r="V41" s="768" t="s">
        <v>17</v>
      </c>
      <c r="W41" s="769">
        <f t="shared" si="12"/>
        <v>100</v>
      </c>
      <c r="X41" s="770"/>
      <c r="Y41" s="3266"/>
      <c r="Z41" s="55" t="str">
        <f t="shared" si="13"/>
        <v>宗地开发程度</v>
      </c>
      <c r="AA41" s="771">
        <f t="shared" si="3"/>
        <v>1</v>
      </c>
      <c r="AB41" s="771">
        <f t="shared" si="4"/>
        <v>1</v>
      </c>
      <c r="AC41" s="771">
        <f t="shared" si="5"/>
        <v>1</v>
      </c>
    </row>
    <row r="42" spans="1:29" ht="15.75" thickBot="1">
      <c r="A42" s="471"/>
      <c r="B42" s="2969" t="s">
        <v>2750</v>
      </c>
      <c r="C42" s="2609" t="s">
        <v>3089</v>
      </c>
      <c r="D42" s="434">
        <v>100</v>
      </c>
      <c r="E42" s="2609" t="s">
        <v>3089</v>
      </c>
      <c r="F42" s="434">
        <f>SUMIF(125:125,E42,126:126)-SUMIF(125:125,C42,126:126)+100</f>
        <v>100</v>
      </c>
      <c r="G42" s="2609" t="s">
        <v>3089</v>
      </c>
      <c r="H42" s="434">
        <f>SUMIF(125:125,G42,126:126)-SUMIF(125:125,C42,126:126)+100</f>
        <v>100</v>
      </c>
      <c r="I42" s="2609" t="s">
        <v>3089</v>
      </c>
      <c r="J42" s="434">
        <f>SUMIF(125:125,I42,126:126)-SUMIF(125:125,C42,126:126)+100</f>
        <v>100</v>
      </c>
      <c r="K42" s="611">
        <v>1</v>
      </c>
      <c r="L42" s="1138"/>
      <c r="M42" s="1129"/>
      <c r="N42" s="1129"/>
      <c r="O42" s="1137"/>
      <c r="P42" s="3266" t="s">
        <v>2560</v>
      </c>
      <c r="Q42" s="1808" t="str">
        <f t="shared" si="14"/>
        <v>工程地质条件</v>
      </c>
      <c r="R42" s="772" t="s">
        <v>17</v>
      </c>
      <c r="S42" s="773">
        <f t="shared" si="10"/>
        <v>100</v>
      </c>
      <c r="T42" s="772" t="s">
        <v>17</v>
      </c>
      <c r="U42" s="773">
        <f t="shared" si="11"/>
        <v>100</v>
      </c>
      <c r="V42" s="772" t="s">
        <v>17</v>
      </c>
      <c r="W42" s="773">
        <f t="shared" si="12"/>
        <v>100</v>
      </c>
      <c r="X42" s="1811"/>
      <c r="Y42" s="3266" t="s">
        <v>2560</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66"/>
      <c r="Q43" s="1808">
        <f t="shared" si="14"/>
        <v>111</v>
      </c>
      <c r="R43" s="772" t="s">
        <v>17</v>
      </c>
      <c r="S43" s="773">
        <f t="shared" si="10"/>
        <v>100</v>
      </c>
      <c r="T43" s="772" t="s">
        <v>17</v>
      </c>
      <c r="U43" s="773">
        <f t="shared" si="11"/>
        <v>100</v>
      </c>
      <c r="V43" s="772" t="s">
        <v>17</v>
      </c>
      <c r="W43" s="773">
        <f t="shared" si="12"/>
        <v>100</v>
      </c>
      <c r="X43" s="1811"/>
      <c r="Y43" s="3266"/>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66"/>
      <c r="Q44" s="1808">
        <f t="shared" si="14"/>
        <v>111</v>
      </c>
      <c r="R44" s="772" t="s">
        <v>17</v>
      </c>
      <c r="S44" s="773">
        <f t="shared" si="10"/>
        <v>100</v>
      </c>
      <c r="T44" s="772" t="s">
        <v>17</v>
      </c>
      <c r="U44" s="773">
        <f t="shared" si="11"/>
        <v>100</v>
      </c>
      <c r="V44" s="772" t="s">
        <v>17</v>
      </c>
      <c r="W44" s="773">
        <f t="shared" si="12"/>
        <v>100</v>
      </c>
      <c r="X44" s="1811"/>
      <c r="Y44" s="3266"/>
      <c r="Z44" s="1812">
        <f t="shared" si="13"/>
        <v>111</v>
      </c>
      <c r="AA44" s="1809">
        <f t="shared" si="3"/>
        <v>1</v>
      </c>
      <c r="AB44" s="1809">
        <f t="shared" si="4"/>
        <v>1</v>
      </c>
      <c r="AC44" s="1809">
        <f t="shared" si="5"/>
        <v>1</v>
      </c>
    </row>
    <row r="45" spans="1:29" s="470" customFormat="1" ht="15.75" hidden="1"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66"/>
      <c r="Q45" s="1808">
        <f t="shared" si="14"/>
        <v>111</v>
      </c>
      <c r="R45" s="775" t="s">
        <v>17</v>
      </c>
      <c r="S45" s="776">
        <f t="shared" si="10"/>
        <v>100</v>
      </c>
      <c r="T45" s="775" t="s">
        <v>17</v>
      </c>
      <c r="U45" s="776">
        <f t="shared" si="11"/>
        <v>100</v>
      </c>
      <c r="V45" s="775" t="s">
        <v>17</v>
      </c>
      <c r="W45" s="776">
        <f t="shared" si="12"/>
        <v>100</v>
      </c>
      <c r="X45" s="777"/>
      <c r="Y45" s="3266"/>
      <c r="Z45" s="778">
        <f t="shared" si="13"/>
        <v>111</v>
      </c>
      <c r="AA45" s="1809">
        <f t="shared" si="3"/>
        <v>1</v>
      </c>
      <c r="AB45" s="1809">
        <f t="shared" si="4"/>
        <v>1</v>
      </c>
      <c r="AC45" s="1809">
        <f t="shared" si="5"/>
        <v>1</v>
      </c>
    </row>
    <row r="46" spans="1:29" ht="15">
      <c r="A46" s="478" t="s">
        <v>2715</v>
      </c>
      <c r="B46" s="2700" t="s">
        <v>2751</v>
      </c>
      <c r="C46" s="681" t="s">
        <v>1</v>
      </c>
      <c r="D46" s="480"/>
      <c r="E46" s="481">
        <v>3003</v>
      </c>
      <c r="F46" s="482"/>
      <c r="G46" s="483">
        <v>3003</v>
      </c>
      <c r="H46" s="484"/>
      <c r="I46" s="481">
        <v>2577</v>
      </c>
      <c r="J46" s="484"/>
      <c r="K46" s="781"/>
      <c r="L46" s="1141"/>
      <c r="M46" s="1142"/>
      <c r="N46" s="1129"/>
      <c r="O46" s="1142"/>
      <c r="P46" s="3259" t="str">
        <f>A46</f>
        <v>成交单价</v>
      </c>
      <c r="Q46" s="3259"/>
      <c r="R46" s="3254">
        <f>E46</f>
        <v>3003</v>
      </c>
      <c r="S46" s="3254"/>
      <c r="T46" s="3254">
        <f>G46</f>
        <v>3003</v>
      </c>
      <c r="U46" s="3254"/>
      <c r="V46" s="3254">
        <f>I46</f>
        <v>2577</v>
      </c>
      <c r="W46" s="3254"/>
      <c r="X46" s="757"/>
      <c r="Y46" s="779"/>
      <c r="Z46" s="757"/>
      <c r="AA46" s="757"/>
      <c r="AB46" s="757"/>
      <c r="AC46" s="757"/>
    </row>
    <row r="47" spans="1:29" ht="15.75" thickBot="1">
      <c r="A47" s="485" t="s">
        <v>2664</v>
      </c>
      <c r="B47" s="682"/>
      <c r="C47" s="489">
        <f>R48</f>
        <v>3010</v>
      </c>
      <c r="D47" s="488"/>
      <c r="E47" s="489">
        <f>R47</f>
        <v>3151</v>
      </c>
      <c r="F47" s="490"/>
      <c r="G47" s="487">
        <f>T47</f>
        <v>3120</v>
      </c>
      <c r="H47" s="488"/>
      <c r="I47" s="489">
        <f>V47</f>
        <v>2760</v>
      </c>
      <c r="J47" s="488"/>
      <c r="K47" s="782"/>
      <c r="L47" s="1141"/>
      <c r="M47" s="1142"/>
      <c r="N47" s="1142"/>
      <c r="O47" s="1142"/>
      <c r="P47" s="3259" t="str">
        <f>A47</f>
        <v>比较价值（元/平方米）</v>
      </c>
      <c r="Q47" s="3259"/>
      <c r="R47" s="3290">
        <f>ROUND(PRODUCT(R46,AA7:AA45),0)</f>
        <v>3151</v>
      </c>
      <c r="S47" s="3290"/>
      <c r="T47" s="3290">
        <f>ROUND(PRODUCT(T46,AB7:AB45),0)</f>
        <v>3120</v>
      </c>
      <c r="U47" s="3290"/>
      <c r="V47" s="3290">
        <f>ROUND(PRODUCT(V46,AC7:AC45),0)</f>
        <v>2760</v>
      </c>
      <c r="W47" s="3290"/>
      <c r="X47" s="757"/>
      <c r="Y47" s="757"/>
      <c r="Z47" s="757"/>
      <c r="AA47" s="757"/>
      <c r="AB47" s="757"/>
      <c r="AC47" s="757"/>
    </row>
    <row r="48" spans="1:29" ht="15.75" thickBot="1">
      <c r="A48" s="491" t="s">
        <v>2752</v>
      </c>
      <c r="B48" s="492"/>
      <c r="C48" s="493">
        <f>R48</f>
        <v>3010</v>
      </c>
      <c r="D48" s="493"/>
      <c r="E48" s="493"/>
      <c r="F48" s="493"/>
      <c r="G48" s="493"/>
      <c r="H48" s="493"/>
      <c r="I48" s="493"/>
      <c r="J48" s="493"/>
      <c r="K48" s="783"/>
      <c r="L48" s="1141"/>
      <c r="M48" s="1142"/>
      <c r="N48" s="1142"/>
      <c r="O48" s="1142"/>
      <c r="P48" s="3256" t="str">
        <f>A48</f>
        <v>估价对象XX用房的比较价值（楼面单价，元/平方米）</v>
      </c>
      <c r="Q48" s="3257"/>
      <c r="R48" s="3291">
        <f>ROUND(AVERAGE(R47:V47),0)</f>
        <v>3010</v>
      </c>
      <c r="S48" s="3291"/>
      <c r="T48" s="3291"/>
      <c r="U48" s="3291"/>
      <c r="V48" s="3291"/>
      <c r="W48" s="329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2666</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2667</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2668</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2753</v>
      </c>
      <c r="B55" s="684" t="s">
        <v>2754</v>
      </c>
      <c r="C55" s="2701" t="s">
        <v>2755</v>
      </c>
      <c r="D55" s="2702" t="s">
        <v>2756</v>
      </c>
      <c r="E55" s="685" t="s">
        <v>2757</v>
      </c>
      <c r="F55" s="1105" t="s">
        <v>2758</v>
      </c>
      <c r="G55" s="3242" t="s">
        <v>2759</v>
      </c>
      <c r="H55" s="3292"/>
      <c r="I55" s="143" t="s">
        <v>2760</v>
      </c>
      <c r="J55" s="2703" t="str">
        <f>项目基本情况!F35</f>
        <v>江苏省泰州市泰兴市</v>
      </c>
      <c r="K55" s="2704" t="s">
        <v>2761</v>
      </c>
      <c r="L55" s="1104"/>
      <c r="M55" s="1142"/>
      <c r="N55" s="1142"/>
      <c r="O55" s="1142"/>
    </row>
    <row r="56" spans="1:15" s="691" customFormat="1">
      <c r="A56" s="687" t="s">
        <v>2762</v>
      </c>
      <c r="B56" s="688">
        <f>C48</f>
        <v>3010</v>
      </c>
      <c r="C56" s="689">
        <v>1</v>
      </c>
      <c r="D56" s="1161">
        <v>1</v>
      </c>
      <c r="E56" s="689">
        <f>'数据-汇总表'!E8+'数据-汇总表'!E9</f>
        <v>68327.850000000006</v>
      </c>
      <c r="F56" s="1101">
        <f t="shared" ref="F56:F65" si="15">ROUND(B56*E56/10000,0)</f>
        <v>20567</v>
      </c>
      <c r="G56" s="3241"/>
      <c r="H56" s="3259"/>
      <c r="I56" s="1106">
        <v>1</v>
      </c>
      <c r="J56" s="1109">
        <v>1</v>
      </c>
      <c r="K56" s="1143"/>
      <c r="L56" s="939"/>
      <c r="M56" s="939"/>
      <c r="N56" s="939"/>
      <c r="O56" s="939"/>
    </row>
    <row r="57" spans="1:15" s="691" customFormat="1">
      <c r="A57" s="692" t="s">
        <v>2763</v>
      </c>
      <c r="B57" s="261">
        <f>ROUND($C$48*C57*D57,0)</f>
        <v>0</v>
      </c>
      <c r="C57" s="199">
        <f t="shared" ref="C57:C65" si="16">IF($C$55="北京市系数",I57,J57)</f>
        <v>0</v>
      </c>
      <c r="D57" s="1162">
        <v>0.25</v>
      </c>
      <c r="E57" s="693"/>
      <c r="F57" s="1101">
        <f t="shared" si="15"/>
        <v>0</v>
      </c>
      <c r="G57" s="3293" t="s">
        <v>2764</v>
      </c>
      <c r="H57" s="1102">
        <f>项目基本情况!B37</f>
        <v>0</v>
      </c>
      <c r="I57" s="1106">
        <f>SUMIF(修正!A45:A56,H57,修正!B45:B56)</f>
        <v>0</v>
      </c>
      <c r="J57" s="1110"/>
      <c r="K57" s="1142"/>
      <c r="L57" s="939"/>
      <c r="M57" s="939"/>
      <c r="N57" s="939"/>
      <c r="O57" s="939"/>
    </row>
    <row r="58" spans="1:15" s="691" customFormat="1">
      <c r="A58" s="692" t="s">
        <v>2765</v>
      </c>
      <c r="B58" s="261">
        <f t="shared" ref="B58:B65" si="17">ROUND($C$48*C58*D58,0)</f>
        <v>0</v>
      </c>
      <c r="C58" s="199">
        <f t="shared" si="16"/>
        <v>0</v>
      </c>
      <c r="D58" s="1162">
        <v>0.25</v>
      </c>
      <c r="E58" s="693"/>
      <c r="F58" s="1101">
        <f t="shared" si="15"/>
        <v>0</v>
      </c>
      <c r="G58" s="3293"/>
      <c r="H58" s="1102">
        <f>项目基本情况!B37</f>
        <v>0</v>
      </c>
      <c r="I58" s="1106">
        <f>SUMIF(修正!A45:A56,H58,修正!C45:C56)</f>
        <v>0</v>
      </c>
      <c r="J58" s="1110"/>
      <c r="K58" s="1143"/>
      <c r="L58" s="939"/>
      <c r="M58" s="939"/>
      <c r="N58" s="939"/>
      <c r="O58" s="939"/>
    </row>
    <row r="59" spans="1:15" s="691" customFormat="1">
      <c r="A59" s="692" t="s">
        <v>2766</v>
      </c>
      <c r="B59" s="261">
        <f t="shared" si="17"/>
        <v>0</v>
      </c>
      <c r="C59" s="199">
        <f t="shared" si="16"/>
        <v>0</v>
      </c>
      <c r="D59" s="1162">
        <v>0.25</v>
      </c>
      <c r="E59" s="693"/>
      <c r="F59" s="1101">
        <f t="shared" si="15"/>
        <v>0</v>
      </c>
      <c r="G59" s="3293"/>
      <c r="H59" s="1102">
        <f>项目基本情况!B37</f>
        <v>0</v>
      </c>
      <c r="I59" s="1106">
        <f>SUMIF(修正!A45:A56,H59,修正!D45:D56)</f>
        <v>0</v>
      </c>
      <c r="J59" s="1110"/>
      <c r="K59" s="1142"/>
      <c r="L59" s="939"/>
      <c r="M59" s="939"/>
      <c r="N59" s="939"/>
      <c r="O59" s="939"/>
    </row>
    <row r="60" spans="1:15" s="691" customFormat="1">
      <c r="A60" s="692" t="s">
        <v>2767</v>
      </c>
      <c r="B60" s="261">
        <f t="shared" si="17"/>
        <v>0</v>
      </c>
      <c r="C60" s="199">
        <f t="shared" si="16"/>
        <v>0</v>
      </c>
      <c r="D60" s="1162">
        <v>0.25</v>
      </c>
      <c r="E60" s="693"/>
      <c r="F60" s="1101">
        <f t="shared" si="15"/>
        <v>0</v>
      </c>
      <c r="G60" s="3293"/>
      <c r="H60" s="1102">
        <f>项目基本情况!B37</f>
        <v>0</v>
      </c>
      <c r="I60" s="1106">
        <f>SUMIF(修正!A45:A56,H60,修正!E45:E56)</f>
        <v>0</v>
      </c>
      <c r="J60" s="1110"/>
      <c r="K60" s="1143"/>
      <c r="L60" s="939"/>
      <c r="M60" s="939"/>
      <c r="N60" s="939"/>
      <c r="O60" s="939"/>
    </row>
    <row r="61" spans="1:15" s="691" customFormat="1">
      <c r="A61" s="692" t="s">
        <v>2768</v>
      </c>
      <c r="B61" s="261">
        <f t="shared" si="17"/>
        <v>0</v>
      </c>
      <c r="C61" s="199">
        <f t="shared" si="16"/>
        <v>0</v>
      </c>
      <c r="D61" s="1162">
        <v>0.25</v>
      </c>
      <c r="E61" s="260">
        <f>'数据-汇总表'!E11</f>
        <v>0</v>
      </c>
      <c r="F61" s="1101">
        <f t="shared" si="15"/>
        <v>0</v>
      </c>
      <c r="G61" s="2705" t="s">
        <v>2769</v>
      </c>
      <c r="H61" s="1102">
        <f>项目基本情况!C37</f>
        <v>0</v>
      </c>
      <c r="I61" s="1106">
        <f>SUMIF(修正!A45:A56,H61,修正!F45:F56)</f>
        <v>0</v>
      </c>
      <c r="J61" s="1110"/>
      <c r="K61" s="1142"/>
      <c r="L61" s="939"/>
      <c r="M61" s="939"/>
      <c r="N61" s="939"/>
      <c r="O61" s="939"/>
    </row>
    <row r="62" spans="1:15" s="691" customFormat="1">
      <c r="A62" s="692" t="s">
        <v>2770</v>
      </c>
      <c r="B62" s="261">
        <f t="shared" si="17"/>
        <v>0</v>
      </c>
      <c r="C62" s="199">
        <f t="shared" si="16"/>
        <v>0</v>
      </c>
      <c r="D62" s="1162">
        <v>0.25</v>
      </c>
      <c r="E62" s="260">
        <f>'数据-汇总表'!E12</f>
        <v>0</v>
      </c>
      <c r="F62" s="1101">
        <f t="shared" si="15"/>
        <v>0</v>
      </c>
      <c r="G62" s="1107" t="s">
        <v>2771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2772</v>
      </c>
      <c r="B63" s="261">
        <f t="shared" si="17"/>
        <v>0</v>
      </c>
      <c r="C63" s="199">
        <f t="shared" si="16"/>
        <v>0</v>
      </c>
      <c r="D63" s="1162">
        <v>0.25</v>
      </c>
      <c r="E63" s="260">
        <f>'数据-汇总表'!E13</f>
        <v>0</v>
      </c>
      <c r="F63" s="1101">
        <f t="shared" si="15"/>
        <v>0</v>
      </c>
      <c r="G63" s="1107" t="s">
        <v>2773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2774</v>
      </c>
      <c r="B64" s="261">
        <f t="shared" si="17"/>
        <v>0</v>
      </c>
      <c r="C64" s="199">
        <f t="shared" si="16"/>
        <v>0</v>
      </c>
      <c r="D64" s="1162">
        <v>0.25</v>
      </c>
      <c r="E64" s="260">
        <f>'数据-汇总表'!E14</f>
        <v>0</v>
      </c>
      <c r="F64" s="1101">
        <f t="shared" si="15"/>
        <v>0</v>
      </c>
      <c r="G64" s="2705" t="s">
        <v>2764</v>
      </c>
      <c r="H64" s="1102">
        <f>项目基本情况!B37</f>
        <v>0</v>
      </c>
      <c r="I64" s="1106">
        <f>SUMIF(修正!A45:A56,H64,修正!H45:H56)</f>
        <v>0</v>
      </c>
      <c r="J64" s="1110"/>
      <c r="K64" s="1143"/>
      <c r="L64" s="939"/>
      <c r="M64" s="939"/>
      <c r="N64" s="939"/>
      <c r="O64" s="939"/>
    </row>
    <row r="65" spans="1:17" s="691" customFormat="1" ht="15" thickBot="1">
      <c r="A65" s="692" t="s">
        <v>2775</v>
      </c>
      <c r="B65" s="261">
        <f t="shared" si="17"/>
        <v>0</v>
      </c>
      <c r="C65" s="199">
        <f t="shared" si="16"/>
        <v>0</v>
      </c>
      <c r="D65" s="1162">
        <v>0.25</v>
      </c>
      <c r="E65" s="260">
        <f>'数据-汇总表'!E15</f>
        <v>0</v>
      </c>
      <c r="F65" s="1101">
        <f t="shared" si="15"/>
        <v>0</v>
      </c>
      <c r="G65" s="2706" t="s">
        <v>2769</v>
      </c>
      <c r="H65" s="1112">
        <f>项目基本情况!C37</f>
        <v>0</v>
      </c>
      <c r="I65" s="1108">
        <f>SUMIF(修正!A45:A56,H65,修正!H45:H56)</f>
        <v>0</v>
      </c>
      <c r="J65" s="1111"/>
      <c r="K65" s="1142"/>
      <c r="L65" s="939"/>
      <c r="M65" s="939"/>
      <c r="N65" s="939"/>
      <c r="O65" s="939"/>
    </row>
    <row r="66" spans="1:17" s="691" customFormat="1" ht="13.5" thickBot="1">
      <c r="A66" s="694" t="s">
        <v>2776</v>
      </c>
      <c r="B66" s="695" t="s">
        <v>28</v>
      </c>
      <c r="C66" s="695" t="s">
        <v>29</v>
      </c>
      <c r="D66" s="695" t="s">
        <v>1026</v>
      </c>
      <c r="E66" s="695">
        <f>IF(B46="楼面地价",SUM(E56:E65),'数据-汇总表'!D3)</f>
        <v>68327.850000000006</v>
      </c>
      <c r="F66" s="696">
        <f>IF(B46="楼面地价",SUM(F56:F65),ROUND(C48*E66/10000,0))</f>
        <v>20567</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2669</v>
      </c>
      <c r="B69" s="757"/>
      <c r="C69" s="762"/>
      <c r="D69" s="762"/>
      <c r="E69" s="762"/>
      <c r="F69" s="763"/>
      <c r="G69" s="763"/>
      <c r="H69" s="762"/>
      <c r="I69" s="762"/>
      <c r="J69" s="1157"/>
      <c r="K69" s="1158"/>
      <c r="L69" s="1159"/>
      <c r="M69" s="1157"/>
      <c r="N69" s="1157"/>
      <c r="O69" s="1157"/>
      <c r="P69" s="502"/>
      <c r="Q69" s="503"/>
    </row>
    <row r="70" spans="1:17" s="507" customFormat="1" ht="15">
      <c r="A70" s="2707" t="s">
        <v>2777</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8" t="s">
        <v>2778</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2580</v>
      </c>
      <c r="B72" s="515"/>
      <c r="C72" s="516"/>
      <c r="D72" s="517"/>
      <c r="E72" s="517"/>
      <c r="F72" s="517"/>
      <c r="G72" s="517"/>
      <c r="H72" s="517"/>
      <c r="I72" s="517"/>
      <c r="J72" s="517"/>
      <c r="K72" s="517"/>
      <c r="L72" s="517"/>
      <c r="M72" s="518"/>
      <c r="N72" s="517"/>
      <c r="O72" s="1160"/>
      <c r="P72" s="503"/>
      <c r="Q72" s="503"/>
    </row>
    <row r="73" spans="1:17" s="117" customFormat="1" ht="15">
      <c r="A73" s="520" t="s">
        <v>2545</v>
      </c>
      <c r="B73" s="509"/>
      <c r="C73" s="521" t="s">
        <v>2647</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2583</v>
      </c>
      <c r="B75" s="527" t="s">
        <v>2549</v>
      </c>
      <c r="C75" s="2954" t="s">
        <v>3080</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2552</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2553</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0"/>
      <c r="O90" s="1150"/>
      <c r="P90" s="45"/>
      <c r="Q90" s="503"/>
    </row>
    <row r="91" spans="1:17" ht="15.75" thickBot="1">
      <c r="A91" s="533"/>
      <c r="B91" s="542"/>
      <c r="C91" s="543">
        <v>100</v>
      </c>
      <c r="D91" s="543">
        <f>C91-$K17</f>
        <v>99</v>
      </c>
      <c r="E91" s="543">
        <f>D91-$K17</f>
        <v>98</v>
      </c>
      <c r="F91" s="543">
        <f>E91-$K17</f>
        <v>97</v>
      </c>
      <c r="G91" s="543">
        <f>F91-$K17</f>
        <v>96</v>
      </c>
      <c r="H91" s="543"/>
      <c r="I91" s="543"/>
      <c r="J91" s="543"/>
      <c r="K91" s="543"/>
      <c r="L91" s="543"/>
      <c r="M91" s="544"/>
      <c r="N91" s="1151"/>
      <c r="O91" s="1151"/>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0"/>
      <c r="O94" s="1150"/>
      <c r="P94" s="45"/>
      <c r="Q94" s="503"/>
    </row>
    <row r="95" spans="1:17" ht="15.75" thickBot="1">
      <c r="A95" s="533"/>
      <c r="B95" s="542"/>
      <c r="C95" s="543">
        <v>100</v>
      </c>
      <c r="D95" s="543">
        <f>C95-$K21</f>
        <v>99</v>
      </c>
      <c r="E95" s="543">
        <f>D95-$K21</f>
        <v>98</v>
      </c>
      <c r="F95" s="543">
        <f>E95-$K21</f>
        <v>97</v>
      </c>
      <c r="G95" s="543">
        <f>F95-$K21</f>
        <v>96</v>
      </c>
      <c r="H95" s="543"/>
      <c r="I95" s="543"/>
      <c r="J95" s="543"/>
      <c r="K95" s="543"/>
      <c r="L95" s="543"/>
      <c r="M95" s="544"/>
      <c r="N95" s="1151"/>
      <c r="O95" s="1151"/>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49"/>
      <c r="O96" s="1149"/>
      <c r="P96" s="45"/>
      <c r="Q96" s="503"/>
    </row>
    <row r="97" spans="1:17" s="117" customFormat="1" ht="15.75" thickBot="1">
      <c r="A97" s="578"/>
      <c r="B97" s="542"/>
      <c r="C97" s="581">
        <v>100</v>
      </c>
      <c r="D97" s="543">
        <f>C97-$K23</f>
        <v>99</v>
      </c>
      <c r="E97" s="543">
        <f>D97-$K23</f>
        <v>98</v>
      </c>
      <c r="F97" s="543">
        <f>E97-$K23</f>
        <v>97</v>
      </c>
      <c r="G97" s="543">
        <f>F97-$K23</f>
        <v>96</v>
      </c>
      <c r="H97" s="543"/>
      <c r="I97" s="543"/>
      <c r="J97" s="543"/>
      <c r="K97" s="543"/>
      <c r="L97" s="543"/>
      <c r="M97" s="544"/>
      <c r="N97" s="1151"/>
      <c r="O97" s="1151"/>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49"/>
      <c r="O98" s="1149"/>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1"/>
      <c r="O99" s="1151"/>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2686</v>
      </c>
      <c r="C106" s="2956" t="s">
        <v>3094</v>
      </c>
      <c r="D106" s="2956" t="s">
        <v>3095</v>
      </c>
      <c r="E106" s="2956" t="s">
        <v>3096</v>
      </c>
      <c r="F106" s="2956" t="s">
        <v>3097</v>
      </c>
      <c r="G106" s="2956" t="s">
        <v>3098</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1"/>
      <c r="O107" s="1151"/>
      <c r="P107" s="45"/>
      <c r="Q107" s="503"/>
    </row>
    <row r="108" spans="1:17" ht="15.75" thickTop="1">
      <c r="A108" s="533"/>
      <c r="B108" s="537" t="s">
        <v>2745</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2558</v>
      </c>
      <c r="B116" s="527" t="s">
        <v>2786</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594">
        <v>0</v>
      </c>
      <c r="D117" s="594">
        <v>10000</v>
      </c>
      <c r="E117" s="594">
        <v>20000</v>
      </c>
      <c r="F117" s="594">
        <v>30000</v>
      </c>
      <c r="G117" s="594">
        <v>40000</v>
      </c>
      <c r="H117" s="594">
        <v>50000</v>
      </c>
      <c r="I117" s="594">
        <v>60000</v>
      </c>
      <c r="J117" s="595">
        <v>70000</v>
      </c>
      <c r="K117" s="595"/>
      <c r="L117" s="596"/>
      <c r="M117" s="597"/>
      <c r="N117" s="1150"/>
      <c r="O117" s="1150"/>
      <c r="P117" s="45"/>
      <c r="Q117" s="503"/>
    </row>
    <row r="118" spans="1:17" ht="15.75" thickBot="1">
      <c r="A118" s="533"/>
      <c r="B118" s="542"/>
      <c r="C118" s="569">
        <v>100</v>
      </c>
      <c r="D118" s="590">
        <v>100.5</v>
      </c>
      <c r="E118" s="590">
        <v>101</v>
      </c>
      <c r="F118" s="569">
        <v>101.5</v>
      </c>
      <c r="G118" s="590">
        <v>102</v>
      </c>
      <c r="H118" s="590">
        <v>102.5</v>
      </c>
      <c r="I118" s="569">
        <v>103</v>
      </c>
      <c r="J118" s="590">
        <v>103.5</v>
      </c>
      <c r="K118" s="590"/>
      <c r="L118" s="590"/>
      <c r="M118" s="591"/>
      <c r="N118" s="1151"/>
      <c r="O118" s="1151"/>
      <c r="P118" s="45"/>
      <c r="Q118" s="503"/>
    </row>
    <row r="119" spans="1:17" ht="15" thickTop="1">
      <c r="A119" s="598"/>
      <c r="B119" s="537" t="s">
        <v>2787</v>
      </c>
      <c r="C119" s="2968" t="s">
        <v>3108</v>
      </c>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1"/>
      <c r="O120" s="1151"/>
      <c r="P120" s="45"/>
      <c r="Q120" s="503"/>
    </row>
    <row r="121" spans="1:17" ht="15" thickTop="1">
      <c r="A121" s="598"/>
      <c r="B121" s="537" t="s">
        <v>2788</v>
      </c>
      <c r="C121" s="2956" t="s">
        <v>3109</v>
      </c>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2789</v>
      </c>
      <c r="C123" s="2956" t="s">
        <v>3109</v>
      </c>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2790</v>
      </c>
      <c r="C125" s="2956" t="s">
        <v>3109</v>
      </c>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6" zoomScaleNormal="86" zoomScaleSheetLayoutView="90" workbookViewId="0">
      <selection activeCell="C46" sqref="C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3117</v>
      </c>
      <c r="D1" s="1818" t="s">
        <v>70</v>
      </c>
      <c r="E1" s="1819" t="s">
        <v>1383</v>
      </c>
      <c r="F1" s="1281">
        <f ca="1">J53</f>
        <v>34.159999999999997</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18343</v>
      </c>
      <c r="C2" s="1843" t="s">
        <v>1512</v>
      </c>
      <c r="D2" s="1843"/>
      <c r="E2" s="1844"/>
      <c r="F2" s="1845"/>
      <c r="G2" s="1846"/>
      <c r="H2" s="1838"/>
      <c r="I2" s="1838"/>
      <c r="J2" s="1838"/>
      <c r="K2" s="1839"/>
      <c r="L2" s="1838"/>
      <c r="M2" s="1838"/>
    </row>
    <row r="3" spans="1:37" ht="18" customHeight="1" thickBot="1">
      <c r="A3" s="1847" t="s">
        <v>1513</v>
      </c>
      <c r="B3" s="1848">
        <f ca="1">IF(ISERROR(B2*10000/F43),0,ROUND(B2*10000/F43,0))</f>
        <v>8798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463.9</v>
      </c>
      <c r="D5" s="1820" t="s">
        <v>1398</v>
      </c>
      <c r="E5" s="1291"/>
      <c r="F5" s="1292"/>
      <c r="G5" s="1849"/>
      <c r="H5" s="343">
        <v>1</v>
      </c>
      <c r="I5" s="344" t="s">
        <v>1397</v>
      </c>
      <c r="J5" s="1290">
        <f ca="1">J6+J10+J12</f>
        <v>2610</v>
      </c>
      <c r="K5" s="1820" t="s">
        <v>1398</v>
      </c>
      <c r="L5" s="1291"/>
      <c r="M5" s="1292"/>
    </row>
    <row r="6" spans="1:37" ht="18" customHeight="1">
      <c r="A6" s="1289" t="s">
        <v>1032</v>
      </c>
      <c r="B6" s="3197" t="s">
        <v>1399</v>
      </c>
      <c r="C6" s="1294">
        <f ca="1">ROUND(F6*F8*F7*(1-F9)/10000,1)</f>
        <v>462.7</v>
      </c>
      <c r="D6" s="163" t="s">
        <v>3028</v>
      </c>
      <c r="E6" s="346" t="s">
        <v>1401</v>
      </c>
      <c r="F6" s="347">
        <f ca="1">INDIRECT("'数据-取费表'!u"&amp;$G$1)</f>
        <v>0.76</v>
      </c>
      <c r="G6" s="1849"/>
      <c r="H6" s="1289" t="s">
        <v>1032</v>
      </c>
      <c r="I6" s="3197" t="s">
        <v>1399</v>
      </c>
      <c r="J6" s="345">
        <f ca="1">ROUND(M6*M8*M7*(1-M9)/10000,0)</f>
        <v>2603</v>
      </c>
      <c r="K6" s="163" t="s">
        <v>3027</v>
      </c>
      <c r="L6" s="346" t="s">
        <v>1401</v>
      </c>
      <c r="M6" s="347">
        <f ca="1">INDIRECT("'数据-取费表'!z"&amp;$G$1)</f>
        <v>3.8</v>
      </c>
    </row>
    <row r="7" spans="1:37" ht="18" customHeight="1">
      <c r="A7" s="1293"/>
      <c r="B7" s="3198"/>
      <c r="C7" s="1295"/>
      <c r="D7" s="351"/>
      <c r="E7" s="2975" t="s">
        <v>1402</v>
      </c>
      <c r="F7" s="347">
        <f ca="1">IF(INDIRECT("'数据-取费表'!ah"&amp;$G$1)="",INDIRECT("'数据-取费表'!k"&amp;$G$1),INDIRECT("'数据-取费表'!ah"&amp;$G$1))</f>
        <v>20849.03</v>
      </c>
      <c r="G7" s="1849"/>
      <c r="H7" s="348"/>
      <c r="I7" s="3198"/>
      <c r="J7" s="350"/>
      <c r="K7" s="351"/>
      <c r="L7" s="346" t="s">
        <v>1402</v>
      </c>
      <c r="M7" s="347">
        <f ca="1">F7</f>
        <v>20849.03</v>
      </c>
    </row>
    <row r="8" spans="1:37" ht="18" customHeight="1">
      <c r="A8" s="348"/>
      <c r="B8" s="3198"/>
      <c r="C8" s="350"/>
      <c r="D8" s="351"/>
      <c r="E8" s="346" t="s">
        <v>1403</v>
      </c>
      <c r="F8" s="347">
        <f ca="1">INDIRECT("'数据-取费表'!ai"&amp;$G$1)</f>
        <v>365</v>
      </c>
      <c r="G8" s="1849"/>
      <c r="H8" s="348"/>
      <c r="I8" s="3198"/>
      <c r="J8" s="350"/>
      <c r="K8" s="351"/>
      <c r="L8" s="346" t="s">
        <v>1403</v>
      </c>
      <c r="M8" s="347">
        <f ca="1">INDIRECT("'数据-取费表'!ai"&amp;$G$1)</f>
        <v>365</v>
      </c>
    </row>
    <row r="9" spans="1:37" ht="18" customHeight="1">
      <c r="A9" s="348"/>
      <c r="B9" s="3199"/>
      <c r="C9" s="350"/>
      <c r="D9" s="351"/>
      <c r="E9" s="346" t="s">
        <v>1404</v>
      </c>
      <c r="F9" s="356">
        <f ca="1">INDIRECT("'数据-取费表'!w"&amp;$G$1)</f>
        <v>0.2</v>
      </c>
      <c r="G9" s="1849"/>
      <c r="H9" s="348"/>
      <c r="I9" s="3199"/>
      <c r="J9" s="350"/>
      <c r="K9" s="351"/>
      <c r="L9" s="357" t="s">
        <v>1404</v>
      </c>
      <c r="M9" s="358">
        <f ca="1">INDIRECT("'数据-取费表'!ab"&amp;$G$1)</f>
        <v>0.1</v>
      </c>
    </row>
    <row r="10" spans="1:37" ht="18" customHeight="1">
      <c r="A10" s="1289" t="s">
        <v>1036</v>
      </c>
      <c r="B10" s="1821" t="s">
        <v>1405</v>
      </c>
      <c r="C10" s="360">
        <f ca="1">ROUND(IF(F10="押一",C6/12*F11,IF(F10="押二",C6/12*2*F11,IF(F10="押三",C6/12*3*F11,C11*F11))),1)</f>
        <v>1.2</v>
      </c>
      <c r="D10" s="1822" t="s">
        <v>3036</v>
      </c>
      <c r="E10" s="357" t="s">
        <v>1406</v>
      </c>
      <c r="F10" s="1364" t="s">
        <v>4131</v>
      </c>
      <c r="G10" s="1849"/>
      <c r="H10" s="1289" t="s">
        <v>1036</v>
      </c>
      <c r="I10" s="1821" t="s">
        <v>1405</v>
      </c>
      <c r="J10" s="345">
        <f ca="1">ROUND(IF(M10="押一",J6/12*M11,IF(M10="押二",J6/12*2*M11,IF(M10="押三",J6/12*3*M11,J11*M11))),0)</f>
        <v>7</v>
      </c>
      <c r="K10" s="1822" t="s">
        <v>3036</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9303</v>
      </c>
      <c r="D13" s="1329" t="s">
        <v>1411</v>
      </c>
      <c r="E13" s="1329" t="s">
        <v>1412</v>
      </c>
      <c r="F13" s="1330">
        <f ca="1">INDIRECT("'数据-取费表'!y"&amp;$G$1)</f>
        <v>0.97</v>
      </c>
      <c r="G13" s="1849"/>
      <c r="H13" s="1327">
        <v>2</v>
      </c>
      <c r="I13" s="1328" t="s">
        <v>1410</v>
      </c>
      <c r="J13" s="1288">
        <f ca="1">ROUND(J14*J15,0)</f>
        <v>7865</v>
      </c>
      <c r="K13" s="1335" t="s">
        <v>1411</v>
      </c>
      <c r="L13" s="1850"/>
      <c r="M13" s="1851"/>
    </row>
    <row r="14" spans="1:37" ht="18" customHeight="1">
      <c r="A14" s="1199" t="s">
        <v>1031</v>
      </c>
      <c r="B14" s="346" t="s">
        <v>1413</v>
      </c>
      <c r="C14" s="362">
        <f ca="1">INDIRECT("'数据-取费表'!m"&amp;$G$1)+INDIRECT("'数据-取费表'!t"&amp;$G$1)</f>
        <v>6255</v>
      </c>
      <c r="D14" s="2978" t="s">
        <v>1414</v>
      </c>
      <c r="E14" s="2977"/>
      <c r="F14" s="363"/>
      <c r="G14" s="1849"/>
      <c r="H14" s="1199" t="s">
        <v>1032</v>
      </c>
      <c r="I14" s="346" t="s">
        <v>1415</v>
      </c>
      <c r="J14" s="24">
        <f ca="1">C29</f>
        <v>9591</v>
      </c>
      <c r="K14" s="2974"/>
      <c r="L14" s="977"/>
      <c r="M14" s="978"/>
    </row>
    <row r="15" spans="1:37" s="1856" customFormat="1" ht="18" customHeight="1" thickBot="1">
      <c r="A15" s="1199" t="s">
        <v>1033</v>
      </c>
      <c r="B15" s="346" t="s">
        <v>1416</v>
      </c>
      <c r="C15" s="24">
        <f ca="1">ROUND(C14*F15,0)</f>
        <v>188</v>
      </c>
      <c r="D15" s="364" t="s">
        <v>1417</v>
      </c>
      <c r="E15" s="364" t="s">
        <v>1418</v>
      </c>
      <c r="F15" s="365">
        <f>'数据-取费表'!B33</f>
        <v>0.03</v>
      </c>
      <c r="G15" s="1852"/>
      <c r="H15" s="1337" t="s">
        <v>1036</v>
      </c>
      <c r="I15" s="1338" t="s">
        <v>1412</v>
      </c>
      <c r="J15" s="1347">
        <f ca="1">INDIRECT("'数据-取费表'!ad"&amp;$G$1)</f>
        <v>0.82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658</v>
      </c>
      <c r="K16" s="1335" t="s">
        <v>1421</v>
      </c>
      <c r="L16" s="2980"/>
      <c r="M16" s="1292"/>
    </row>
    <row r="17" spans="1:37" s="1856" customFormat="1" ht="18" customHeight="1">
      <c r="A17" s="1199" t="s">
        <v>1386</v>
      </c>
      <c r="B17" s="346" t="s">
        <v>1422</v>
      </c>
      <c r="C17" s="24">
        <f ca="1">ROUND(F17*(F43+INDIRECT("'数据-取费表'!S"&amp;$G$1))/10000,0)</f>
        <v>417</v>
      </c>
      <c r="D17" s="346" t="s">
        <v>1423</v>
      </c>
      <c r="E17" s="346" t="s">
        <v>1424</v>
      </c>
      <c r="F17" s="26">
        <f>'数据-取费表'!B35</f>
        <v>200</v>
      </c>
      <c r="G17" s="1852"/>
      <c r="H17" s="1199" t="s">
        <v>1032</v>
      </c>
      <c r="I17" s="346" t="s">
        <v>1425</v>
      </c>
      <c r="J17" s="24">
        <f ca="1">ROUND(IF(项目基本情况!B11="自然人",J5*M17,J18+J19+J20),1)</f>
        <v>449.9</v>
      </c>
      <c r="K17" s="2978" t="s">
        <v>1426</v>
      </c>
      <c r="L17" s="2979"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94</v>
      </c>
      <c r="D18" s="346" t="s">
        <v>1417</v>
      </c>
      <c r="E18" s="346" t="s">
        <v>1418</v>
      </c>
      <c r="F18" s="366">
        <f>'数据-取费表'!B36</f>
        <v>1.4999999999999999E-2</v>
      </c>
      <c r="G18" s="1852"/>
      <c r="H18" s="1199" t="s">
        <v>1031</v>
      </c>
      <c r="I18" s="346" t="s">
        <v>1429</v>
      </c>
      <c r="J18" s="24">
        <f ca="1">ROUND(J5*M18/(1+'数据-取费表'!C42),2)</f>
        <v>136.71</v>
      </c>
      <c r="K18" s="2979"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6954</v>
      </c>
      <c r="D19" s="139" t="s">
        <v>1432</v>
      </c>
      <c r="E19" s="2973"/>
      <c r="F19" s="26"/>
      <c r="G19" s="1849"/>
      <c r="H19" s="1199" t="s">
        <v>1033</v>
      </c>
      <c r="I19" s="346" t="s">
        <v>1433</v>
      </c>
      <c r="J19" s="24">
        <f ca="1">IF(K19="按租金收入计税",ROUND(J5*M19,2),ROUND(C29*M19*0.7,2))</f>
        <v>313.2</v>
      </c>
      <c r="K19" s="1826" t="s">
        <v>3106</v>
      </c>
      <c r="L19" s="346" t="s">
        <v>1418</v>
      </c>
      <c r="M19" s="366">
        <f>IF(K19="按租金收入计税",'数据-取费表'!B51,'数据-取费表'!B50)</f>
        <v>0.12</v>
      </c>
    </row>
    <row r="20" spans="1:37" s="1856" customFormat="1" ht="18" customHeight="1">
      <c r="A20" s="1199" t="s">
        <v>1036</v>
      </c>
      <c r="B20" s="346" t="s">
        <v>1435</v>
      </c>
      <c r="C20" s="24">
        <f ca="1">ROUND(C19*F20,0)</f>
        <v>139</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2973"/>
      <c r="F22" s="26"/>
      <c r="G22" s="1849"/>
      <c r="H22" s="1199" t="s">
        <v>1036</v>
      </c>
      <c r="I22" s="346" t="s">
        <v>1445</v>
      </c>
      <c r="J22" s="24">
        <f ca="1">ROUND(J14*M22,1)</f>
        <v>143.9</v>
      </c>
      <c r="K22" s="2979"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337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11.8</v>
      </c>
      <c r="K23" s="2979" t="s">
        <v>1450</v>
      </c>
      <c r="L23" s="346" t="s">
        <v>1418</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1033</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1388</v>
      </c>
      <c r="I24" s="1338" t="s">
        <v>1435</v>
      </c>
      <c r="J24" s="1339">
        <f ca="1">ROUND(J5*M24,1)</f>
        <v>52.2</v>
      </c>
      <c r="K24" s="1340" t="s">
        <v>1455</v>
      </c>
      <c r="L24" s="1338" t="s">
        <v>1418</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2973"/>
      <c r="F25" s="26"/>
      <c r="G25" s="1849"/>
      <c r="H25" s="1327" t="s">
        <v>1028</v>
      </c>
      <c r="I25" s="1342" t="s">
        <v>1459</v>
      </c>
      <c r="J25" s="354">
        <f ca="1">J5-J16</f>
        <v>1952</v>
      </c>
      <c r="K25" s="1343" t="s">
        <v>1460</v>
      </c>
      <c r="L25" s="1344"/>
      <c r="M25" s="1345"/>
    </row>
    <row r="26" spans="1:37">
      <c r="A26" s="1199" t="s">
        <v>1031</v>
      </c>
      <c r="B26" s="346" t="s">
        <v>1461</v>
      </c>
      <c r="C26" s="24">
        <f ca="1">ROUND((C19+C20)*F26,0)</f>
        <v>1419</v>
      </c>
      <c r="D26" s="368" t="s">
        <v>1462</v>
      </c>
      <c r="E26" s="357" t="s">
        <v>1463</v>
      </c>
      <c r="F26" s="356">
        <f ca="1">INDIRECT("'数据-取费表'!q"&amp;$G$1)</f>
        <v>0.2</v>
      </c>
      <c r="G26" s="1849"/>
      <c r="H26" s="343" t="s">
        <v>1029</v>
      </c>
      <c r="I26" s="344" t="s">
        <v>1464</v>
      </c>
      <c r="J26" s="345">
        <f ca="1">IF(J5&lt;&gt;0,ROUND(J25*(1-((1+M28)/(1+M26))^M27)/(M26-M28),0),0)</f>
        <v>29459</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24.059999999999995</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0.02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9591</v>
      </c>
      <c r="D29" s="1340"/>
      <c r="E29" s="1338"/>
      <c r="F29" s="1341"/>
      <c r="G29" s="1852"/>
      <c r="H29" s="379" t="s">
        <v>1030</v>
      </c>
      <c r="I29" s="380" t="s">
        <v>1475</v>
      </c>
      <c r="J29" s="381">
        <f ca="1">ROUND(J26/(1+F40)^F41,0)</f>
        <v>16354</v>
      </c>
      <c r="K29" s="382" t="s">
        <v>1476</v>
      </c>
      <c r="L29" s="383"/>
      <c r="M29" s="384">
        <f ca="1">INDIRECT("'数据-取费表'!k"&amp;$G$1)</f>
        <v>20849.03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247.2</v>
      </c>
      <c r="D30" s="1335" t="s">
        <v>1421</v>
      </c>
      <c r="E30" s="2980"/>
      <c r="F30" s="1292"/>
      <c r="G30" s="1849"/>
      <c r="H30" s="743"/>
      <c r="I30" s="744"/>
      <c r="J30" s="745"/>
      <c r="K30" s="746"/>
      <c r="L30" s="747"/>
      <c r="M30" s="748"/>
    </row>
    <row r="31" spans="1:37" ht="18" customHeight="1">
      <c r="A31" s="1199" t="s">
        <v>1032</v>
      </c>
      <c r="B31" s="346" t="s">
        <v>1425</v>
      </c>
      <c r="C31" s="24">
        <f ca="1">ROUND(IF(项目基本情况!B11="自然人",C5*F31,C32+C33+C34),1)</f>
        <v>80</v>
      </c>
      <c r="D31" s="2978" t="s">
        <v>1426</v>
      </c>
      <c r="E31" s="2979"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24.3</v>
      </c>
      <c r="D32" s="2979"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55.7</v>
      </c>
      <c r="D33" s="2963" t="s">
        <v>3106</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143.9</v>
      </c>
      <c r="D36" s="2979"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14</v>
      </c>
      <c r="D37" s="2979" t="s">
        <v>1450</v>
      </c>
      <c r="E37" s="346" t="s">
        <v>1418</v>
      </c>
      <c r="F37" s="375">
        <f ca="1">INDIRECT("'数据-取费表'!Al"&amp;$G$1)</f>
        <v>1.5E-3</v>
      </c>
      <c r="G37" s="1849"/>
      <c r="H37" s="1857"/>
      <c r="I37" s="1858"/>
      <c r="J37" s="1859"/>
      <c r="K37" s="749"/>
      <c r="L37" s="1857"/>
      <c r="M37" s="1857"/>
    </row>
    <row r="38" spans="1:18" ht="18" customHeight="1" thickBot="1">
      <c r="A38" s="1337" t="s">
        <v>1388</v>
      </c>
      <c r="B38" s="1338" t="s">
        <v>1435</v>
      </c>
      <c r="C38" s="1339">
        <f ca="1">ROUND(C5*F38,1)</f>
        <v>9.3000000000000007</v>
      </c>
      <c r="D38" s="1340" t="s">
        <v>1455</v>
      </c>
      <c r="E38" s="1338" t="s">
        <v>1418</v>
      </c>
      <c r="F38" s="1334">
        <f ca="1">INDIRECT("'数据-取费表'!Am"&amp;$G$1)</f>
        <v>0.02</v>
      </c>
      <c r="G38" s="1849"/>
      <c r="H38" s="1857"/>
      <c r="I38" s="1858"/>
      <c r="J38" s="1859"/>
      <c r="K38" s="1863"/>
      <c r="L38" s="1857"/>
      <c r="M38" s="1857"/>
    </row>
    <row r="39" spans="1:18" ht="24.6" customHeight="1" thickTop="1">
      <c r="A39" s="1327" t="s">
        <v>1028</v>
      </c>
      <c r="B39" s="1342" t="s">
        <v>1459</v>
      </c>
      <c r="C39" s="354">
        <f ca="1">C5-C30</f>
        <v>216.7</v>
      </c>
      <c r="D39" s="1343" t="s">
        <v>1460</v>
      </c>
      <c r="E39" s="1344"/>
      <c r="F39" s="1345"/>
      <c r="G39" s="1849"/>
      <c r="H39" s="1857"/>
      <c r="I39" s="1858"/>
      <c r="J39" s="1859"/>
      <c r="K39" s="1863"/>
      <c r="L39" s="1857"/>
      <c r="M39" s="1857"/>
    </row>
    <row r="40" spans="1:18" ht="18" customHeight="1">
      <c r="A40" s="343" t="s">
        <v>1029</v>
      </c>
      <c r="B40" s="344" t="s">
        <v>1481</v>
      </c>
      <c r="C40" s="345">
        <f ca="1">ROUND(C39*(1-((1+F42)/(1+F40))^F41)/(F40-F42),0)</f>
        <v>1744</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10.1</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836</v>
      </c>
      <c r="D43" s="382" t="s">
        <v>1484</v>
      </c>
      <c r="E43" s="383" t="s">
        <v>1485</v>
      </c>
      <c r="F43" s="384">
        <f ca="1">INDIRECT("'数据-取费表'!k"&amp;$G$1)</f>
        <v>20849.03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13950</v>
      </c>
      <c r="D46" s="1870" t="str">
        <f>C2</f>
        <v>万元</v>
      </c>
      <c r="E46" s="1864"/>
      <c r="F46" s="1864"/>
      <c r="I46" s="1871" t="s">
        <v>1517</v>
      </c>
      <c r="J46" s="1872"/>
      <c r="K46" s="1873"/>
      <c r="L46" s="1874">
        <f ca="1">IF(M47="住宅",0,IF(L48&gt;J51,L60,J60))</f>
        <v>245</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3071</v>
      </c>
      <c r="K47" s="1880" t="s">
        <v>1523</v>
      </c>
      <c r="L47" s="1881">
        <f ca="1">INDIRECT("'数据-取费表'!d"&amp;$G$1)</f>
        <v>40</v>
      </c>
      <c r="M47" s="1836" t="str">
        <f>IF(ISNUMBER(FIND("住宅",C1)),"住宅","非住宅")</f>
        <v>非住宅</v>
      </c>
      <c r="O47" s="1882" t="s">
        <v>1037</v>
      </c>
      <c r="P47" s="1883" t="s">
        <v>1524</v>
      </c>
      <c r="Q47" s="1884">
        <f ca="1">C40+J29</f>
        <v>18098</v>
      </c>
      <c r="R47" s="1884" t="s">
        <v>1525</v>
      </c>
    </row>
    <row r="48" spans="1:18" s="1840" customFormat="1" ht="28.5" thickBot="1">
      <c r="A48" s="1358" t="s">
        <v>1132</v>
      </c>
      <c r="B48" s="344" t="s">
        <v>1397</v>
      </c>
      <c r="C48" s="2972">
        <f ca="1">C49+C53+C55</f>
        <v>2610</v>
      </c>
      <c r="D48" s="1360"/>
      <c r="E48" s="1361"/>
      <c r="F48" s="1179"/>
      <c r="G48" s="790"/>
      <c r="H48" s="791"/>
      <c r="I48" s="1885" t="s">
        <v>1526</v>
      </c>
      <c r="J48" s="1886" t="s">
        <v>3072</v>
      </c>
      <c r="K48" s="1887" t="s">
        <v>1527</v>
      </c>
      <c r="L48" s="1888">
        <f ca="1">INDIRECT("'数据-取费表'!f"&amp;$G$1)</f>
        <v>34.159999999999997</v>
      </c>
      <c r="O48" s="1882" t="s">
        <v>1038</v>
      </c>
      <c r="P48" s="1883" t="s">
        <v>1528</v>
      </c>
      <c r="Q48" s="1884">
        <f ca="1">J60</f>
        <v>245</v>
      </c>
      <c r="R48" s="1884" t="s">
        <v>1529</v>
      </c>
    </row>
    <row r="49" spans="1:18" s="1840" customFormat="1" ht="13.5" thickBot="1">
      <c r="A49" s="1192" t="s">
        <v>1133</v>
      </c>
      <c r="B49" s="1827" t="s">
        <v>1486</v>
      </c>
      <c r="C49" s="1362">
        <f ca="1">ROUND(F49*F51*F50*(1-F52)/10000,0)</f>
        <v>2603</v>
      </c>
      <c r="D49" s="1274" t="s">
        <v>3027</v>
      </c>
      <c r="E49" s="1828" t="s">
        <v>1487</v>
      </c>
      <c r="F49" s="1279">
        <v>3.8</v>
      </c>
      <c r="G49" s="1889"/>
      <c r="H49" s="791"/>
      <c r="I49" s="1885" t="s">
        <v>1530</v>
      </c>
      <c r="J49" s="2950">
        <v>2017</v>
      </c>
      <c r="K49" s="1887" t="s">
        <v>1531</v>
      </c>
      <c r="L49" s="1891"/>
      <c r="O49" s="1892" t="s">
        <v>1039</v>
      </c>
      <c r="P49" s="1883" t="s">
        <v>1532</v>
      </c>
      <c r="Q49" s="1884">
        <f ca="1">C29</f>
        <v>9591</v>
      </c>
      <c r="R49" s="1884" t="s">
        <v>1525</v>
      </c>
    </row>
    <row r="50" spans="1:18" s="1840" customFormat="1" ht="13.5" thickBot="1">
      <c r="A50" s="1193"/>
      <c r="B50" s="1196"/>
      <c r="C50" s="1366"/>
      <c r="D50" s="1170"/>
      <c r="E50" s="1275" t="s">
        <v>1402</v>
      </c>
      <c r="F50" s="1276">
        <f ca="1">F7</f>
        <v>20849.03</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-8051</v>
      </c>
      <c r="M51" s="1900"/>
      <c r="O51" s="1892" t="s">
        <v>1041</v>
      </c>
      <c r="P51" s="1883" t="s">
        <v>1538</v>
      </c>
      <c r="Q51" s="1895">
        <f>J52</f>
        <v>8.5000000000000006E-2</v>
      </c>
      <c r="R51" s="1884"/>
    </row>
    <row r="52" spans="1:18" s="1840" customFormat="1" ht="13.5" thickBot="1">
      <c r="A52" s="1194"/>
      <c r="B52" s="1196"/>
      <c r="C52" s="1197"/>
      <c r="D52" s="1170"/>
      <c r="E52" s="1198" t="s">
        <v>1404</v>
      </c>
      <c r="F52" s="1273">
        <v>0.1</v>
      </c>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7</v>
      </c>
      <c r="D53" s="1822" t="s">
        <v>3036</v>
      </c>
      <c r="E53" s="357" t="s">
        <v>1406</v>
      </c>
      <c r="F53" s="1364" t="s">
        <v>4131</v>
      </c>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200" t="s">
        <v>1544</v>
      </c>
      <c r="L53" s="3201"/>
      <c r="O53" s="1882" t="s">
        <v>1043</v>
      </c>
      <c r="P53" s="1883" t="s">
        <v>1545</v>
      </c>
      <c r="Q53" s="1884">
        <f ca="1">Q47+Q48</f>
        <v>18343</v>
      </c>
      <c r="R53" s="1884" t="s">
        <v>1044</v>
      </c>
    </row>
    <row r="54" spans="1:18" s="1840" customFormat="1" ht="13.5" thickBot="1">
      <c r="A54" s="1404"/>
      <c r="B54" s="1823" t="s">
        <v>1384</v>
      </c>
      <c r="C54" s="1176"/>
      <c r="D54" s="1822"/>
      <c r="E54" s="2976"/>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76"/>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9303</v>
      </c>
      <c r="D56" s="1912"/>
      <c r="E56" s="1913"/>
      <c r="F56" s="1905"/>
      <c r="I56" s="1914" t="s">
        <v>1550</v>
      </c>
      <c r="J56" s="1915" t="s">
        <v>3060</v>
      </c>
      <c r="K56" s="1885" t="s">
        <v>1551</v>
      </c>
      <c r="L56" s="1888" t="str">
        <f ca="1">IF(L48&lt;J51,"——",L48-J53)</f>
        <v>——</v>
      </c>
      <c r="O56" s="1882" t="s">
        <v>1037</v>
      </c>
      <c r="P56" s="1883" t="s">
        <v>1524</v>
      </c>
      <c r="Q56" s="1884">
        <f ca="1">C40+J29</f>
        <v>18098</v>
      </c>
      <c r="R56" s="1884" t="s">
        <v>1525</v>
      </c>
    </row>
    <row r="57" spans="1:18" s="1840" customFormat="1" ht="24.75" thickBot="1">
      <c r="A57" s="1916"/>
      <c r="B57" s="1167" t="s">
        <v>1474</v>
      </c>
      <c r="C57" s="281">
        <f ca="1">C29</f>
        <v>9591</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660</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449.9</v>
      </c>
      <c r="D59" s="1180" t="s">
        <v>1426</v>
      </c>
      <c r="E59" s="1181" t="s">
        <v>1427</v>
      </c>
      <c r="F59" s="367" t="str">
        <f ca="1">IF(项目基本情况!B11="企业","",IF(INDIRECT("'数据-取费表'!c"&amp;$G$1)="住宅",5%,IF(F49*F50*F51/12/(1+'数据-取费表'!C42)&gt;20000,12%,7%)))</f>
        <v/>
      </c>
      <c r="I59" s="1920" t="s">
        <v>1559</v>
      </c>
      <c r="J59" s="1921">
        <f ca="1">IF(OR(M47="住宅",J51&lt;L48,J56="是"),"——",ROUND(C29*J58,0))</f>
        <v>3971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136.71</v>
      </c>
      <c r="D60" s="1181" t="s">
        <v>1430</v>
      </c>
      <c r="E60" s="1167" t="s">
        <v>1418</v>
      </c>
      <c r="F60" s="376">
        <f t="shared" ref="F60:F66" si="0">F32</f>
        <v>5.5000000000000007E-2</v>
      </c>
      <c r="I60" s="1923" t="s">
        <v>1561</v>
      </c>
      <c r="J60" s="1924">
        <f ca="1">IF(OR(M47="住宅",J51&lt;L48,J56="是"),"0",ROUND(J59/(1+J52)^J53,0))</f>
        <v>245</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1433</v>
      </c>
      <c r="C61" s="24">
        <f ca="1">IF(项目基本情况!B11="自然人","——",IF(D61="按租金收入计税",ROUND(C48*F61,2),IF(D61="按房产原值计税",ROUND(C57*F61*0.7,2),INDIRECT("'数据-取费表'!Aj"&amp;$G$1))))</f>
        <v>313.2</v>
      </c>
      <c r="D61" s="1826" t="s">
        <v>3106</v>
      </c>
      <c r="E61" s="1167" t="s">
        <v>1418</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1437</v>
      </c>
      <c r="C62" s="25">
        <f ca="1">IF(项目基本情况!B11="自然人","——",ROUND(F62*F63/10000,2))</f>
        <v>0</v>
      </c>
      <c r="D62" s="1182" t="s">
        <v>1438</v>
      </c>
      <c r="E62" s="1167" t="s">
        <v>1439</v>
      </c>
      <c r="F62" s="370">
        <f t="shared" si="0"/>
        <v>0</v>
      </c>
      <c r="I62" s="1927" t="s">
        <v>1566</v>
      </c>
      <c r="J62" s="1928" t="s">
        <v>1567</v>
      </c>
      <c r="K62" s="1928" t="s">
        <v>1568</v>
      </c>
      <c r="L62" s="1928" t="s">
        <v>1569</v>
      </c>
      <c r="M62" s="1929" t="s">
        <v>1570</v>
      </c>
      <c r="O62" s="1882" t="s">
        <v>1043</v>
      </c>
      <c r="P62" s="1883" t="s">
        <v>1545</v>
      </c>
      <c r="Q62" s="1884">
        <f ca="1">Q56+Q57</f>
        <v>18098</v>
      </c>
      <c r="R62" s="1884" t="s">
        <v>1044</v>
      </c>
    </row>
    <row r="63" spans="1:18" s="1840" customFormat="1" ht="13.5" thickBot="1">
      <c r="A63" s="371"/>
      <c r="B63" s="1173"/>
      <c r="C63" s="29"/>
      <c r="D63" s="1183"/>
      <c r="E63" s="1167" t="s">
        <v>1443</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1036</v>
      </c>
      <c r="B64" s="1167" t="s">
        <v>1445</v>
      </c>
      <c r="C64" s="24">
        <f ca="1">ROUND(C57*F64,1)</f>
        <v>143.9</v>
      </c>
      <c r="D64" s="1181" t="s">
        <v>1478</v>
      </c>
      <c r="E64" s="1167" t="s">
        <v>1418</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14</v>
      </c>
      <c r="D65" s="1181" t="s">
        <v>1450</v>
      </c>
      <c r="E65" s="1167" t="s">
        <v>1418</v>
      </c>
      <c r="F65" s="375">
        <f t="shared" ca="1" si="0"/>
        <v>1.5E-3</v>
      </c>
      <c r="I65" s="1927" t="s">
        <v>1575</v>
      </c>
      <c r="J65" s="1928">
        <v>40</v>
      </c>
      <c r="K65" s="1928">
        <v>30</v>
      </c>
      <c r="L65" s="1928">
        <v>50</v>
      </c>
      <c r="M65" s="1930">
        <v>0.02</v>
      </c>
      <c r="O65" s="1882" t="s">
        <v>1037</v>
      </c>
      <c r="P65" s="1883" t="s">
        <v>1524</v>
      </c>
      <c r="Q65" s="1884">
        <f ca="1">C40+J29</f>
        <v>18098</v>
      </c>
      <c r="R65" s="1884" t="s">
        <v>1525</v>
      </c>
    </row>
    <row r="66" spans="1:18" s="1840" customFormat="1" ht="16.5" thickBot="1">
      <c r="A66" s="1199" t="s">
        <v>1500</v>
      </c>
      <c r="B66" s="1167" t="s">
        <v>1435</v>
      </c>
      <c r="C66" s="24">
        <f ca="1">ROUND(C48*F66,1)</f>
        <v>52.2</v>
      </c>
      <c r="D66" s="1181" t="s">
        <v>1455</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1950</v>
      </c>
      <c r="D67" s="1180" t="s">
        <v>1460</v>
      </c>
      <c r="E67" s="1185"/>
      <c r="F67" s="1186"/>
      <c r="O67" s="1892" t="s">
        <v>1039</v>
      </c>
      <c r="P67" s="1883" t="s">
        <v>1558</v>
      </c>
      <c r="Q67" s="1931">
        <f ca="1">L51</f>
        <v>-8051</v>
      </c>
      <c r="R67" s="1884" t="s">
        <v>1578</v>
      </c>
    </row>
    <row r="68" spans="1:18" s="1840" customFormat="1" ht="16.5" thickBot="1">
      <c r="A68" s="1164" t="s">
        <v>1029</v>
      </c>
      <c r="B68" s="1165" t="s">
        <v>1481</v>
      </c>
      <c r="C68" s="345">
        <f ca="1">ROUND(C67*(1-((1+F70)/(1+F68))^F69)/(F68-F70),0)</f>
        <v>15694</v>
      </c>
      <c r="D68" s="1182" t="s">
        <v>1465</v>
      </c>
      <c r="E68" s="1167" t="s">
        <v>1466</v>
      </c>
      <c r="F68" s="356">
        <f ca="1">F40</f>
        <v>0.06</v>
      </c>
      <c r="O68" s="1892" t="s">
        <v>1040</v>
      </c>
      <c r="P68" s="1932" t="s">
        <v>1579</v>
      </c>
      <c r="Q68" s="1884">
        <f ca="1">ROUND(Q69-Q70*Q71,0)</f>
        <v>-528</v>
      </c>
      <c r="R68" s="1884" t="s">
        <v>1048</v>
      </c>
    </row>
    <row r="69" spans="1:18" s="1840" customFormat="1" ht="13.5" thickBot="1">
      <c r="A69" s="1168"/>
      <c r="B69" s="1169"/>
      <c r="C69" s="350"/>
      <c r="D69" s="1187" t="s">
        <v>1469</v>
      </c>
      <c r="E69" s="1167" t="s">
        <v>1470</v>
      </c>
      <c r="F69" s="378">
        <f ca="1">F41</f>
        <v>10.1</v>
      </c>
      <c r="O69" s="1892" t="s">
        <v>1045</v>
      </c>
      <c r="P69" s="1932" t="s">
        <v>1580</v>
      </c>
      <c r="Q69" s="1884">
        <f ca="1">C39</f>
        <v>216.7</v>
      </c>
      <c r="R69" s="1884" t="s">
        <v>1525</v>
      </c>
    </row>
    <row r="70" spans="1:18" s="1840" customFormat="1" ht="13.5" thickBot="1">
      <c r="A70" s="1171"/>
      <c r="B70" s="1172"/>
      <c r="C70" s="354"/>
      <c r="D70" s="1183"/>
      <c r="E70" s="1167" t="s">
        <v>1473</v>
      </c>
      <c r="F70" s="1273">
        <v>0.02</v>
      </c>
      <c r="O70" s="1892" t="s">
        <v>1046</v>
      </c>
      <c r="P70" s="1932" t="s">
        <v>1581</v>
      </c>
      <c r="Q70" s="1884">
        <f ca="1">C13</f>
        <v>9303</v>
      </c>
      <c r="R70" s="1884" t="s">
        <v>1525</v>
      </c>
    </row>
    <row r="71" spans="1:18" s="1840" customFormat="1" ht="13.5" thickBot="1">
      <c r="A71" s="1188" t="s">
        <v>1030</v>
      </c>
      <c r="B71" s="1189" t="s">
        <v>1483</v>
      </c>
      <c r="C71" s="381">
        <f ca="1">ROUND(C68*10000/F71,0)</f>
        <v>7527</v>
      </c>
      <c r="D71" s="1190" t="s">
        <v>1484</v>
      </c>
      <c r="E71" s="1191" t="s">
        <v>1485</v>
      </c>
      <c r="F71" s="384">
        <f ca="1">F43</f>
        <v>20849.03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744</v>
      </c>
      <c r="D75" s="1840"/>
      <c r="E75" s="1840"/>
      <c r="F75" s="1840"/>
      <c r="K75" s="1866"/>
      <c r="L75" s="1840"/>
      <c r="O75" s="1882" t="s">
        <v>1043</v>
      </c>
      <c r="P75" s="1883" t="s">
        <v>1545</v>
      </c>
      <c r="Q75" s="1884">
        <f ca="1">Q65+Q66</f>
        <v>18098</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-2.4329999999999998</v>
      </c>
    </row>
    <row r="80" spans="1:18">
      <c r="B80" s="385" t="s">
        <v>1507</v>
      </c>
      <c r="C80" s="317">
        <f ca="1">ROUND(C75/C39,3)</f>
        <v>3.4329999999999998</v>
      </c>
    </row>
    <row r="81" spans="2:3">
      <c r="B81" s="313" t="s">
        <v>1508</v>
      </c>
      <c r="C81" s="281"/>
    </row>
    <row r="82" spans="2:3">
      <c r="B82" s="316" t="s">
        <v>1509</v>
      </c>
      <c r="C82" s="318">
        <f ca="1">1-C83</f>
        <v>-4.3339999999999996</v>
      </c>
    </row>
    <row r="83" spans="2:3">
      <c r="B83" s="316" t="s">
        <v>1510</v>
      </c>
      <c r="C83" s="317">
        <f ca="1">ROUND(C13/C40,3)</f>
        <v>5.3339999999999996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6" zoomScaleNormal="86" zoomScaleSheetLayoutView="90" workbookViewId="0">
      <selection activeCell="F70" sqref="F7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3112</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82113</v>
      </c>
      <c r="C2" s="1843" t="s">
        <v>1512</v>
      </c>
      <c r="D2" s="1843"/>
      <c r="E2" s="1844"/>
      <c r="F2" s="1845"/>
      <c r="G2" s="1846"/>
      <c r="H2" s="1838"/>
      <c r="I2" s="1838"/>
      <c r="J2" s="1838"/>
      <c r="K2" s="1839"/>
      <c r="L2" s="1838"/>
      <c r="M2" s="1838"/>
    </row>
    <row r="3" spans="1:37" ht="18" customHeight="1" thickBot="1">
      <c r="A3" s="1847" t="s">
        <v>1513</v>
      </c>
      <c r="B3" s="1848">
        <f ca="1">IF(ISERROR(B2*10000/F43),0,ROUND(B2*10000/F43,0))</f>
        <v>17295</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5968.9</v>
      </c>
      <c r="D5" s="1820" t="s">
        <v>1398</v>
      </c>
      <c r="E5" s="1291"/>
      <c r="F5" s="1292"/>
      <c r="G5" s="1849"/>
      <c r="H5" s="343">
        <v>1</v>
      </c>
      <c r="I5" s="344" t="s">
        <v>1397</v>
      </c>
      <c r="J5" s="1290">
        <f ca="1">J6+J10+J12</f>
        <v>0</v>
      </c>
      <c r="K5" s="1820" t="s">
        <v>1398</v>
      </c>
      <c r="L5" s="1291"/>
      <c r="M5" s="1292"/>
    </row>
    <row r="6" spans="1:37" ht="18" customHeight="1">
      <c r="A6" s="1289" t="s">
        <v>1032</v>
      </c>
      <c r="B6" s="3197" t="s">
        <v>1399</v>
      </c>
      <c r="C6" s="1294">
        <f ca="1">ROUND(F6*F8*F7*(1-F9)/10000,1)</f>
        <v>5961.4</v>
      </c>
      <c r="D6" s="163" t="s">
        <v>3028</v>
      </c>
      <c r="E6" s="346" t="s">
        <v>1401</v>
      </c>
      <c r="F6" s="347">
        <f ca="1">INDIRECT("'数据-取费表'!u"&amp;$G$1)</f>
        <v>4.3</v>
      </c>
      <c r="G6" s="1849"/>
      <c r="H6" s="1289" t="s">
        <v>1032</v>
      </c>
      <c r="I6" s="3197" t="s">
        <v>1399</v>
      </c>
      <c r="J6" s="345">
        <f ca="1">ROUND(M6*M8*M7*(1-M9)/10000,0)</f>
        <v>0</v>
      </c>
      <c r="K6" s="163" t="s">
        <v>3027</v>
      </c>
      <c r="L6" s="346" t="s">
        <v>1401</v>
      </c>
      <c r="M6" s="347">
        <f ca="1">INDIRECT("'数据-取费表'!z"&amp;$G$1)</f>
        <v>0</v>
      </c>
    </row>
    <row r="7" spans="1:37" ht="18" customHeight="1">
      <c r="A7" s="1293"/>
      <c r="B7" s="3198"/>
      <c r="C7" s="1295"/>
      <c r="D7" s="351"/>
      <c r="E7" s="1296" t="s">
        <v>1402</v>
      </c>
      <c r="F7" s="347">
        <f ca="1">IF(INDIRECT("'数据-取费表'!ah"&amp;$G$1)="",INDIRECT("'数据-取费表'!k"&amp;$G$1),INDIRECT("'数据-取费表'!ah"&amp;$G$1))</f>
        <v>47478.82</v>
      </c>
      <c r="G7" s="1849"/>
      <c r="H7" s="348"/>
      <c r="I7" s="3198"/>
      <c r="J7" s="350"/>
      <c r="K7" s="351"/>
      <c r="L7" s="346" t="s">
        <v>1402</v>
      </c>
      <c r="M7" s="347">
        <f ca="1">F7</f>
        <v>47478.82</v>
      </c>
    </row>
    <row r="8" spans="1:37" ht="18" customHeight="1">
      <c r="A8" s="348"/>
      <c r="B8" s="3198"/>
      <c r="C8" s="350"/>
      <c r="D8" s="351"/>
      <c r="E8" s="346" t="s">
        <v>1403</v>
      </c>
      <c r="F8" s="347">
        <f ca="1">INDIRECT("'数据-取费表'!ai"&amp;$G$1)</f>
        <v>365</v>
      </c>
      <c r="G8" s="1849"/>
      <c r="H8" s="348"/>
      <c r="I8" s="3198"/>
      <c r="J8" s="350"/>
      <c r="K8" s="351"/>
      <c r="L8" s="346" t="s">
        <v>1403</v>
      </c>
      <c r="M8" s="347">
        <f ca="1">INDIRECT("'数据-取费表'!ai"&amp;$G$1)</f>
        <v>365</v>
      </c>
    </row>
    <row r="9" spans="1:37" ht="18" customHeight="1">
      <c r="A9" s="348"/>
      <c r="B9" s="3199"/>
      <c r="C9" s="350"/>
      <c r="D9" s="351"/>
      <c r="E9" s="346" t="s">
        <v>1404</v>
      </c>
      <c r="F9" s="356">
        <f ca="1">INDIRECT("'数据-取费表'!w"&amp;$G$1)</f>
        <v>0.2</v>
      </c>
      <c r="G9" s="1849"/>
      <c r="H9" s="348"/>
      <c r="I9" s="3199"/>
      <c r="J9" s="350"/>
      <c r="K9" s="351"/>
      <c r="L9" s="357" t="s">
        <v>1404</v>
      </c>
      <c r="M9" s="358">
        <f ca="1">INDIRECT("'数据-取费表'!ab"&amp;$G$1)</f>
        <v>0</v>
      </c>
    </row>
    <row r="10" spans="1:37" ht="18" customHeight="1">
      <c r="A10" s="1289" t="s">
        <v>1036</v>
      </c>
      <c r="B10" s="1821" t="s">
        <v>1405</v>
      </c>
      <c r="C10" s="360">
        <f ca="1">ROUND(IF(F10="押一",C6/12*F11,IF(F10="押二",C6/12*2*F11,IF(F10="押三",C6/12*3*F11,C11*F11))),1)</f>
        <v>7.5</v>
      </c>
      <c r="D10" s="1822" t="s">
        <v>3037</v>
      </c>
      <c r="E10" s="357" t="s">
        <v>1406</v>
      </c>
      <c r="F10" s="1364" t="s">
        <v>3070</v>
      </c>
      <c r="G10" s="1849"/>
      <c r="H10" s="1289" t="s">
        <v>1036</v>
      </c>
      <c r="I10" s="1821" t="s">
        <v>1405</v>
      </c>
      <c r="J10" s="345">
        <f ca="1">ROUND(IF(M10="押一",J6/12*M11,IF(M10="押二",J6/12*2*M11,IF(M10="押三",J6/12*3*M11,J11*M11))),0)</f>
        <v>0</v>
      </c>
      <c r="K10" s="1822" t="s">
        <v>3036</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21184</v>
      </c>
      <c r="D13" s="1329" t="s">
        <v>1411</v>
      </c>
      <c r="E13" s="1329" t="s">
        <v>1412</v>
      </c>
      <c r="F13" s="1330">
        <f ca="1">INDIRECT("'数据-取费表'!y"&amp;$G$1)</f>
        <v>0.97</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14244</v>
      </c>
      <c r="D14" s="1798" t="s">
        <v>1414</v>
      </c>
      <c r="E14" s="1792"/>
      <c r="F14" s="363"/>
      <c r="G14" s="1849"/>
      <c r="H14" s="1199" t="s">
        <v>1032</v>
      </c>
      <c r="I14" s="346" t="s">
        <v>1415</v>
      </c>
      <c r="J14" s="24">
        <f ca="1">C29</f>
        <v>21839</v>
      </c>
      <c r="K14" s="15"/>
      <c r="L14" s="977"/>
      <c r="M14" s="978"/>
    </row>
    <row r="15" spans="1:37" s="1856" customFormat="1" ht="18" customHeight="1" thickBot="1">
      <c r="A15" s="1199" t="s">
        <v>1033</v>
      </c>
      <c r="B15" s="346" t="s">
        <v>1416</v>
      </c>
      <c r="C15" s="24">
        <f ca="1">ROUND(C14*F15,0)</f>
        <v>427</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511</v>
      </c>
      <c r="K16" s="1335" t="s">
        <v>1421</v>
      </c>
      <c r="L16" s="1336"/>
      <c r="M16" s="1292"/>
    </row>
    <row r="17" spans="1:37" s="1856" customFormat="1" ht="18" customHeight="1">
      <c r="A17" s="1199" t="s">
        <v>1386</v>
      </c>
      <c r="B17" s="346" t="s">
        <v>1422</v>
      </c>
      <c r="C17" s="24">
        <f ca="1">ROUND(F17*(F43+INDIRECT("'数据-取费表'!S"&amp;$G$1))/10000,0)</f>
        <v>950</v>
      </c>
      <c r="D17" s="346" t="s">
        <v>1423</v>
      </c>
      <c r="E17" s="346" t="s">
        <v>1424</v>
      </c>
      <c r="F17" s="26">
        <f>'数据-取费表'!B35</f>
        <v>200</v>
      </c>
      <c r="G17" s="1852"/>
      <c r="H17" s="1199" t="s">
        <v>1032</v>
      </c>
      <c r="I17" s="346" t="s">
        <v>1425</v>
      </c>
      <c r="J17" s="24">
        <f ca="1">ROUND(IF(项目基本情况!B11="自然人",J5*M17,J18+J19+J20),1)</f>
        <v>183.5</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214</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15835</v>
      </c>
      <c r="D19" s="139" t="s">
        <v>1432</v>
      </c>
      <c r="E19" s="1816"/>
      <c r="F19" s="26"/>
      <c r="G19" s="1849"/>
      <c r="H19" s="1199" t="s">
        <v>1033</v>
      </c>
      <c r="I19" s="346" t="s">
        <v>1433</v>
      </c>
      <c r="J19" s="24">
        <f ca="1">IF(K19="按租金收入计税",ROUND(J5*M19,2),ROUND(C29*M19*0.7,2))</f>
        <v>183.45</v>
      </c>
      <c r="K19" s="1826" t="s">
        <v>1434</v>
      </c>
      <c r="L19" s="346" t="s">
        <v>1418</v>
      </c>
      <c r="M19" s="366">
        <f>IF(K19="按租金收入计税",'数据-取费表'!B51,'数据-取费表'!B50)</f>
        <v>1.2E-2</v>
      </c>
    </row>
    <row r="20" spans="1:37" s="1856" customFormat="1" ht="18" customHeight="1">
      <c r="A20" s="1199" t="s">
        <v>1036</v>
      </c>
      <c r="B20" s="346" t="s">
        <v>1435</v>
      </c>
      <c r="C20" s="24">
        <f ca="1">ROUND(C19*F20,0)</f>
        <v>317</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327.60000000000002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767</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-511</v>
      </c>
      <c r="K25" s="1343" t="s">
        <v>1460</v>
      </c>
      <c r="L25" s="1344"/>
      <c r="M25" s="1345"/>
    </row>
    <row r="26" spans="1:37">
      <c r="A26" s="1199" t="s">
        <v>1031</v>
      </c>
      <c r="B26" s="346" t="s">
        <v>1461</v>
      </c>
      <c r="C26" s="24">
        <f ca="1">ROUND((C19+C20)*F26,0)</f>
        <v>3230</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21839</v>
      </c>
      <c r="D29" s="1340"/>
      <c r="E29" s="1338"/>
      <c r="F29" s="1341"/>
      <c r="G29" s="1852"/>
      <c r="H29" s="379" t="s">
        <v>1030</v>
      </c>
      <c r="I29" s="380" t="s">
        <v>1475</v>
      </c>
      <c r="J29" s="381">
        <f ca="1">ROUND(J26/(1+F40)^F41,0)</f>
        <v>0</v>
      </c>
      <c r="K29" s="382" t="s">
        <v>1476</v>
      </c>
      <c r="L29" s="383"/>
      <c r="M29" s="384">
        <f ca="1">INDIRECT("'数据-取费表'!k"&amp;$G$1)</f>
        <v>47478.82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ROUND(C31+C36+C37+C38,1)</f>
        <v>1507.8</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1029</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IF(项目基本情况!B11="自然人","——",ROUND(C5*F32/(1+'数据-取费表'!C42),1))</f>
        <v>312.7</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IF(项目基本情况!B11="自然人","——",IF(D33="按租金收入计税",ROUND(C5*F33,1),IF(D33="按房产原值计税",ROUND(C29*F33*0.7,1),INDIRECT("'数据-取费表'!Aj"&amp;$G$1))))</f>
        <v>716.3</v>
      </c>
      <c r="D33" s="2963" t="s">
        <v>3106</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327.60000000000002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31.8</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119.4</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4461.0999999999995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81556</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17177</v>
      </c>
      <c r="D43" s="382" t="s">
        <v>1484</v>
      </c>
      <c r="E43" s="383" t="s">
        <v>1485</v>
      </c>
      <c r="F43" s="384">
        <f ca="1">INDIRECT("'数据-取费表'!k"&amp;$G$1)</f>
        <v>47478.82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-113126</v>
      </c>
      <c r="D46" s="1870" t="str">
        <f>C2</f>
        <v>万元</v>
      </c>
      <c r="E46" s="1864"/>
      <c r="F46" s="1864"/>
      <c r="I46" s="1871" t="s">
        <v>1517</v>
      </c>
      <c r="J46" s="1872"/>
      <c r="K46" s="1873"/>
      <c r="L46" s="1874">
        <f ca="1">IF(M47="住宅",0,IF(L48&gt;J51,L60,J60))</f>
        <v>557</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3071</v>
      </c>
      <c r="K47" s="1880" t="s">
        <v>1523</v>
      </c>
      <c r="L47" s="1881">
        <f ca="1">INDIRECT("'数据-取费表'!d"&amp;$G$1)</f>
        <v>40</v>
      </c>
      <c r="M47" s="1836" t="str">
        <f>IF(ISNUMBER(FIND("住宅",C1)),"住宅","非住宅")</f>
        <v>非住宅</v>
      </c>
      <c r="O47" s="1882" t="s">
        <v>1037</v>
      </c>
      <c r="P47" s="1883" t="s">
        <v>1524</v>
      </c>
      <c r="Q47" s="1884">
        <f ca="1">C40+J29</f>
        <v>81556</v>
      </c>
      <c r="R47" s="1884" t="s">
        <v>1525</v>
      </c>
    </row>
    <row r="48" spans="1:18" s="1840" customFormat="1" ht="28.5" thickBot="1">
      <c r="A48" s="1358" t="s">
        <v>1132</v>
      </c>
      <c r="B48" s="344" t="s">
        <v>1397</v>
      </c>
      <c r="C48" s="1815">
        <f ca="1">C49+C53+C55</f>
        <v>0</v>
      </c>
      <c r="D48" s="1360"/>
      <c r="E48" s="1361"/>
      <c r="F48" s="1179"/>
      <c r="G48" s="790"/>
      <c r="H48" s="791"/>
      <c r="I48" s="1885" t="s">
        <v>1526</v>
      </c>
      <c r="J48" s="1886" t="s">
        <v>3072</v>
      </c>
      <c r="K48" s="1887" t="s">
        <v>1527</v>
      </c>
      <c r="L48" s="1888">
        <f ca="1">INDIRECT("'数据-取费表'!f"&amp;$G$1)</f>
        <v>34.159999999999997</v>
      </c>
      <c r="O48" s="1882" t="s">
        <v>1038</v>
      </c>
      <c r="P48" s="1883" t="s">
        <v>1528</v>
      </c>
      <c r="Q48" s="1884">
        <f ca="1">J60</f>
        <v>557</v>
      </c>
      <c r="R48" s="1884" t="s">
        <v>1529</v>
      </c>
    </row>
    <row r="49" spans="1:18" s="1840" customFormat="1" ht="13.5" thickBot="1">
      <c r="A49" s="1192" t="s">
        <v>1133</v>
      </c>
      <c r="B49" s="1827" t="s">
        <v>1486</v>
      </c>
      <c r="C49" s="1362">
        <f ca="1">ROUND(F49*F51*F50*(1-F52)/10000,0)</f>
        <v>0</v>
      </c>
      <c r="D49" s="1274" t="s">
        <v>3029</v>
      </c>
      <c r="E49" s="1828" t="s">
        <v>1487</v>
      </c>
      <c r="F49" s="1279"/>
      <c r="G49" s="1889"/>
      <c r="H49" s="791"/>
      <c r="I49" s="1885" t="s">
        <v>1530</v>
      </c>
      <c r="J49" s="2950">
        <v>2017</v>
      </c>
      <c r="K49" s="1887" t="s">
        <v>1531</v>
      </c>
      <c r="L49" s="1891"/>
      <c r="O49" s="1892" t="s">
        <v>1039</v>
      </c>
      <c r="P49" s="1883" t="s">
        <v>1532</v>
      </c>
      <c r="Q49" s="1884">
        <f ca="1">C29</f>
        <v>21839</v>
      </c>
      <c r="R49" s="1884" t="s">
        <v>1525</v>
      </c>
    </row>
    <row r="50" spans="1:18" s="1840" customFormat="1" ht="13.5" thickBot="1">
      <c r="A50" s="1193"/>
      <c r="B50" s="1196"/>
      <c r="C50" s="1366"/>
      <c r="D50" s="1170"/>
      <c r="E50" s="1275" t="s">
        <v>1402</v>
      </c>
      <c r="F50" s="1276">
        <f ca="1">F7</f>
        <v>47478.82</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42221</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3036</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200" t="s">
        <v>1544</v>
      </c>
      <c r="L53" s="3201"/>
      <c r="O53" s="1882" t="s">
        <v>1043</v>
      </c>
      <c r="P53" s="1883" t="s">
        <v>1545</v>
      </c>
      <c r="Q53" s="1884">
        <f ca="1">Q47+Q48</f>
        <v>82113</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21184</v>
      </c>
      <c r="D56" s="1912"/>
      <c r="E56" s="1913"/>
      <c r="F56" s="1905"/>
      <c r="I56" s="1914" t="s">
        <v>1550</v>
      </c>
      <c r="J56" s="1915" t="s">
        <v>3060</v>
      </c>
      <c r="K56" s="1885" t="s">
        <v>1551</v>
      </c>
      <c r="L56" s="1888" t="str">
        <f ca="1">IF(L48&lt;J51,"——",L48-J53)</f>
        <v>——</v>
      </c>
      <c r="O56" s="1882" t="s">
        <v>1037</v>
      </c>
      <c r="P56" s="1883" t="s">
        <v>1524</v>
      </c>
      <c r="Q56" s="1884">
        <f ca="1">C40+J29</f>
        <v>81556</v>
      </c>
      <c r="R56" s="1884" t="s">
        <v>1525</v>
      </c>
    </row>
    <row r="57" spans="1:18" s="1840" customFormat="1" ht="24.75" thickBot="1">
      <c r="A57" s="1916"/>
      <c r="B57" s="1167" t="s">
        <v>1474</v>
      </c>
      <c r="C57" s="281">
        <f ca="1">C29</f>
        <v>21839</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2194</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1834.5</v>
      </c>
      <c r="D59" s="1180" t="s">
        <v>1426</v>
      </c>
      <c r="E59" s="1181" t="s">
        <v>1427</v>
      </c>
      <c r="F59" s="367" t="str">
        <f ca="1">IF(项目基本情况!B11="企业","",IF(INDIRECT("'数据-取费表'!c"&amp;$G$1)="住宅",5%,IF(F49*F50*F51/12/(1+'数据-取费表'!C42)&gt;20000,12%,7%)))</f>
        <v/>
      </c>
      <c r="I59" s="1920" t="s">
        <v>1559</v>
      </c>
      <c r="J59" s="1921">
        <f ca="1">IF(OR(M47="住宅",J51&lt;L48,J56="是"),"——",ROUND(C29*J58,0))</f>
        <v>9041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557</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1834.48</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81556</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327.60000000000002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31.8</v>
      </c>
      <c r="D65" s="1181" t="s">
        <v>1450</v>
      </c>
      <c r="E65" s="1167" t="s">
        <v>1451</v>
      </c>
      <c r="F65" s="375">
        <f t="shared" ca="1" si="0"/>
        <v>1.5E-3</v>
      </c>
      <c r="I65" s="1927" t="s">
        <v>1575</v>
      </c>
      <c r="J65" s="1928">
        <v>40</v>
      </c>
      <c r="K65" s="1928">
        <v>30</v>
      </c>
      <c r="L65" s="1928">
        <v>50</v>
      </c>
      <c r="M65" s="1930">
        <v>0.02</v>
      </c>
      <c r="O65" s="1882" t="s">
        <v>1037</v>
      </c>
      <c r="P65" s="1883" t="s">
        <v>1576</v>
      </c>
      <c r="Q65" s="1884">
        <f ca="1">C40+J29</f>
        <v>81556</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-2194</v>
      </c>
      <c r="D67" s="1180" t="s">
        <v>1460</v>
      </c>
      <c r="E67" s="1185"/>
      <c r="F67" s="1186"/>
      <c r="O67" s="1892" t="s">
        <v>1039</v>
      </c>
      <c r="P67" s="1883" t="s">
        <v>1558</v>
      </c>
      <c r="Q67" s="1931">
        <f ca="1">L51</f>
        <v>42221</v>
      </c>
      <c r="R67" s="1884" t="s">
        <v>1578</v>
      </c>
    </row>
    <row r="68" spans="1:18" s="1840" customFormat="1" ht="16.5" thickBot="1">
      <c r="A68" s="1164" t="s">
        <v>1029</v>
      </c>
      <c r="B68" s="1165" t="s">
        <v>1481</v>
      </c>
      <c r="C68" s="345">
        <f ca="1">ROUND(C67*(1-((1+F70)/(1+F68))^F69)/(F68-F70),0)</f>
        <v>-31570</v>
      </c>
      <c r="D68" s="1182" t="s">
        <v>1465</v>
      </c>
      <c r="E68" s="1167" t="s">
        <v>1466</v>
      </c>
      <c r="F68" s="356">
        <f ca="1">F40</f>
        <v>0.06</v>
      </c>
      <c r="O68" s="1892" t="s">
        <v>1040</v>
      </c>
      <c r="P68" s="1932" t="s">
        <v>1579</v>
      </c>
      <c r="Q68" s="1884">
        <f ca="1">ROUND(Q69-Q70*Q71,0)</f>
        <v>2766</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4461.0999999999995</v>
      </c>
      <c r="R69" s="1884" t="s">
        <v>1525</v>
      </c>
    </row>
    <row r="70" spans="1:18" s="1840" customFormat="1" ht="13.5" thickBot="1">
      <c r="A70" s="1171"/>
      <c r="B70" s="1172"/>
      <c r="C70" s="354"/>
      <c r="D70" s="1183"/>
      <c r="E70" s="1167" t="s">
        <v>1473</v>
      </c>
      <c r="F70" s="1273"/>
      <c r="O70" s="1892" t="s">
        <v>1046</v>
      </c>
      <c r="P70" s="1932" t="s">
        <v>1581</v>
      </c>
      <c r="Q70" s="1884">
        <f ca="1">C13</f>
        <v>21184</v>
      </c>
      <c r="R70" s="1884" t="s">
        <v>1525</v>
      </c>
    </row>
    <row r="71" spans="1:18" s="1840" customFormat="1" ht="13.5" thickBot="1">
      <c r="A71" s="1188" t="s">
        <v>1030</v>
      </c>
      <c r="B71" s="1189" t="s">
        <v>1483</v>
      </c>
      <c r="C71" s="381">
        <f ca="1">ROUND(C68*10000/F71,0)</f>
        <v>-6649</v>
      </c>
      <c r="D71" s="1190" t="s">
        <v>1484</v>
      </c>
      <c r="E71" s="1191" t="s">
        <v>1485</v>
      </c>
      <c r="F71" s="384">
        <f ca="1">F43</f>
        <v>47478.82</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1695</v>
      </c>
      <c r="D75" s="1840"/>
      <c r="E75" s="1840"/>
      <c r="F75" s="1840"/>
      <c r="K75" s="1866"/>
      <c r="L75" s="1840"/>
      <c r="O75" s="1882" t="s">
        <v>1043</v>
      </c>
      <c r="P75" s="1883" t="s">
        <v>1545</v>
      </c>
      <c r="Q75" s="1884">
        <f ca="1">Q65+Q66</f>
        <v>81556</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0.62</v>
      </c>
    </row>
    <row r="80" spans="1:18">
      <c r="B80" s="385" t="s">
        <v>1507</v>
      </c>
      <c r="C80" s="317">
        <f ca="1">ROUND(C75/C39,3)</f>
        <v>0.38</v>
      </c>
    </row>
    <row r="81" spans="2:3">
      <c r="B81" s="313" t="s">
        <v>1508</v>
      </c>
      <c r="C81" s="281"/>
    </row>
    <row r="82" spans="2:3">
      <c r="B82" s="316" t="s">
        <v>1509</v>
      </c>
      <c r="C82" s="318">
        <f ca="1">1-C83</f>
        <v>0.74</v>
      </c>
    </row>
    <row r="83" spans="2:3">
      <c r="B83" s="316" t="s">
        <v>1510</v>
      </c>
      <c r="C83" s="317">
        <f ca="1">ROUND(C13/C40,3)</f>
        <v>0.26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2322</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ROUND(IF(D3="",B2*10000/'数据-汇总表'!E3,B2*10000/D3),0)</f>
        <v>#DIV/0!</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242" t="s">
        <v>2641</v>
      </c>
      <c r="D4" s="3243"/>
      <c r="E4" s="3244" t="s">
        <v>2642</v>
      </c>
      <c r="F4" s="3245"/>
      <c r="G4" s="3242" t="s">
        <v>2643</v>
      </c>
      <c r="H4" s="3243"/>
      <c r="I4" s="3242" t="s">
        <v>2644</v>
      </c>
      <c r="J4" s="3243"/>
      <c r="K4" s="609" t="s">
        <v>2645</v>
      </c>
      <c r="L4" s="1128"/>
      <c r="M4" s="1129"/>
      <c r="N4" s="1129"/>
      <c r="O4" s="1129"/>
      <c r="P4" s="3246" t="s">
        <v>2646</v>
      </c>
      <c r="Q4" s="3247"/>
      <c r="R4" s="3229" t="s">
        <v>2642</v>
      </c>
      <c r="S4" s="3230"/>
      <c r="T4" s="3229" t="s">
        <v>2643</v>
      </c>
      <c r="U4" s="3230"/>
      <c r="V4" s="3254" t="s">
        <v>2644</v>
      </c>
      <c r="W4" s="3254"/>
      <c r="X4" s="1811"/>
      <c r="Y4" s="3229" t="s">
        <v>2646</v>
      </c>
      <c r="Z4" s="3230"/>
      <c r="AA4" s="3224" t="s">
        <v>2642</v>
      </c>
      <c r="AB4" s="3225" t="s">
        <v>2643</v>
      </c>
      <c r="AC4" s="3224" t="s">
        <v>2644</v>
      </c>
    </row>
    <row r="5" spans="1:29" ht="15">
      <c r="A5" s="403"/>
      <c r="B5" s="404"/>
      <c r="C5" s="3235" t="s">
        <v>2537</v>
      </c>
      <c r="D5" s="3236"/>
      <c r="E5" s="3233" t="s">
        <v>2538</v>
      </c>
      <c r="F5" s="3234"/>
      <c r="G5" s="3235" t="s">
        <v>2539</v>
      </c>
      <c r="H5" s="3236"/>
      <c r="I5" s="3235" t="s">
        <v>2540</v>
      </c>
      <c r="J5" s="3236"/>
      <c r="K5" s="609"/>
      <c r="L5" s="1128"/>
      <c r="M5" s="1129"/>
      <c r="N5" s="1129"/>
      <c r="O5" s="1129"/>
      <c r="P5" s="3248"/>
      <c r="Q5" s="3249"/>
      <c r="R5" s="3231"/>
      <c r="S5" s="3232"/>
      <c r="T5" s="3231"/>
      <c r="U5" s="3232"/>
      <c r="V5" s="3254"/>
      <c r="W5" s="3254"/>
      <c r="X5" s="1811"/>
      <c r="Y5" s="3231"/>
      <c r="Z5" s="3232"/>
      <c r="AA5" s="3225"/>
      <c r="AB5" s="3225"/>
      <c r="AC5" s="3225"/>
    </row>
    <row r="6" spans="1:29" ht="15.75" thickBot="1">
      <c r="A6" s="405"/>
      <c r="B6" s="406"/>
      <c r="C6" s="3294" t="s">
        <v>2792</v>
      </c>
      <c r="D6" s="3295"/>
      <c r="E6" s="3296" t="s">
        <v>2792</v>
      </c>
      <c r="F6" s="3297"/>
      <c r="G6" s="3294" t="s">
        <v>2792</v>
      </c>
      <c r="H6" s="3295"/>
      <c r="I6" s="3294" t="s">
        <v>2792</v>
      </c>
      <c r="J6" s="3295"/>
      <c r="K6" s="609" t="s">
        <v>2542</v>
      </c>
      <c r="L6" s="1128"/>
      <c r="M6" s="1129"/>
      <c r="N6" s="1129"/>
      <c r="O6" s="1129"/>
      <c r="P6" s="3250"/>
      <c r="Q6" s="3251"/>
      <c r="R6" s="3231"/>
      <c r="S6" s="3232"/>
      <c r="T6" s="3252"/>
      <c r="U6" s="3253"/>
      <c r="V6" s="3254"/>
      <c r="W6" s="3254"/>
      <c r="X6" s="1811"/>
      <c r="Y6" s="3252"/>
      <c r="Z6" s="3253"/>
      <c r="AA6" s="3226"/>
      <c r="AB6" s="3226"/>
      <c r="AC6" s="3226"/>
    </row>
    <row r="7" spans="1:29" s="117" customFormat="1" ht="15.75" thickBot="1">
      <c r="A7" s="407" t="s">
        <v>2543</v>
      </c>
      <c r="B7" s="408"/>
      <c r="C7" s="409">
        <f>'数据-取费表'!B2</f>
        <v>43391</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27" t="s">
        <v>2544</v>
      </c>
      <c r="Q7" s="3255"/>
      <c r="R7" s="768" t="s">
        <v>17</v>
      </c>
      <c r="S7" s="769">
        <f t="shared" ref="S7:S15" si="0">F7</f>
        <v>0</v>
      </c>
      <c r="T7" s="768" t="s">
        <v>17</v>
      </c>
      <c r="U7" s="769">
        <f t="shared" ref="U7:U15" si="1">H7</f>
        <v>0</v>
      </c>
      <c r="V7" s="768" t="s">
        <v>17</v>
      </c>
      <c r="W7" s="769">
        <f t="shared" ref="W7:W15" si="2">J7</f>
        <v>0</v>
      </c>
      <c r="X7" s="770"/>
      <c r="Y7" s="3227" t="s">
        <v>2544</v>
      </c>
      <c r="Z7" s="3228"/>
      <c r="AA7" s="771" t="e">
        <f>D7/F7</f>
        <v>#DIV/0!</v>
      </c>
      <c r="AB7" s="771" t="e">
        <f>D7/H7</f>
        <v>#DIV/0!</v>
      </c>
      <c r="AC7" s="771"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7" t="s">
        <v>2547</v>
      </c>
      <c r="Q8" s="3228"/>
      <c r="R8" s="768" t="s">
        <v>17</v>
      </c>
      <c r="S8" s="769">
        <f t="shared" si="0"/>
        <v>0</v>
      </c>
      <c r="T8" s="768" t="s">
        <v>17</v>
      </c>
      <c r="U8" s="769">
        <f t="shared" si="1"/>
        <v>0</v>
      </c>
      <c r="V8" s="768" t="s">
        <v>17</v>
      </c>
      <c r="W8" s="769">
        <f t="shared" si="2"/>
        <v>0</v>
      </c>
      <c r="X8" s="770"/>
      <c r="Y8" s="3227" t="s">
        <v>2547</v>
      </c>
      <c r="Z8" s="3228"/>
      <c r="AA8" s="771" t="e">
        <f t="shared" ref="AA8:AA40" si="3">D8/F8</f>
        <v>#DIV/0!</v>
      </c>
      <c r="AB8" s="771" t="e">
        <f t="shared" ref="AB8:AB40" si="4">D8/H8</f>
        <v>#DIV/0!</v>
      </c>
      <c r="AC8" s="771" t="e">
        <f t="shared" ref="AC8:AC40" si="5">D8/J8</f>
        <v>#DIV/0!</v>
      </c>
    </row>
    <row r="9" spans="1:29" s="117" customFormat="1">
      <c r="A9" s="414" t="s">
        <v>2548</v>
      </c>
      <c r="B9" s="71" t="s">
        <v>2549</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59" t="s">
        <v>2550</v>
      </c>
      <c r="Q9" s="1793" t="str">
        <f t="shared" ref="Q9:Q15" si="6">B9</f>
        <v>用途</v>
      </c>
      <c r="R9" s="768" t="s">
        <v>17</v>
      </c>
      <c r="S9" s="769">
        <f t="shared" si="0"/>
        <v>100</v>
      </c>
      <c r="T9" s="768" t="s">
        <v>17</v>
      </c>
      <c r="U9" s="769">
        <f t="shared" si="1"/>
        <v>100</v>
      </c>
      <c r="V9" s="768" t="s">
        <v>17</v>
      </c>
      <c r="W9" s="769">
        <f t="shared" si="2"/>
        <v>100</v>
      </c>
      <c r="X9" s="770"/>
      <c r="Y9" s="3074" t="s">
        <v>2551</v>
      </c>
      <c r="Z9" s="55" t="str">
        <f t="shared" ref="Z9:Z15" si="7">Q9</f>
        <v>用途</v>
      </c>
      <c r="AA9" s="771">
        <f t="shared" si="3"/>
        <v>1</v>
      </c>
      <c r="AB9" s="771">
        <f t="shared" si="4"/>
        <v>1</v>
      </c>
      <c r="AC9" s="771">
        <f t="shared" si="5"/>
        <v>1</v>
      </c>
    </row>
    <row r="10" spans="1:29" s="426" customFormat="1" ht="27">
      <c r="A10" s="420"/>
      <c r="B10" s="421" t="s">
        <v>2552</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59"/>
      <c r="Q10" s="1793" t="str">
        <f t="shared" si="6"/>
        <v>土地使用年限（年）</v>
      </c>
      <c r="R10" s="768" t="s">
        <v>17</v>
      </c>
      <c r="S10" s="769">
        <f t="shared" si="0"/>
        <v>105</v>
      </c>
      <c r="T10" s="768" t="s">
        <v>17</v>
      </c>
      <c r="U10" s="769">
        <f t="shared" si="1"/>
        <v>105</v>
      </c>
      <c r="V10" s="768" t="s">
        <v>17</v>
      </c>
      <c r="W10" s="769">
        <f t="shared" si="2"/>
        <v>105</v>
      </c>
      <c r="X10" s="770"/>
      <c r="Y10" s="3074"/>
      <c r="Z10" s="55" t="str">
        <f t="shared" si="7"/>
        <v>土地使用年限（年）</v>
      </c>
      <c r="AA10" s="771">
        <f t="shared" si="3"/>
        <v>0.95238095238095233</v>
      </c>
      <c r="AB10" s="771">
        <f t="shared" si="4"/>
        <v>0.95238095238095233</v>
      </c>
      <c r="AC10" s="771">
        <f t="shared" si="5"/>
        <v>0.95238095238095233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59"/>
      <c r="Q11" s="1793"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59"/>
      <c r="Q12" s="1793">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59"/>
      <c r="Q13" s="1793">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59"/>
      <c r="Q14" s="1793">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771">
        <f t="shared" si="5"/>
        <v>1</v>
      </c>
    </row>
    <row r="15" spans="1:29" ht="57">
      <c r="A15" s="439" t="s">
        <v>2554</v>
      </c>
      <c r="B15" s="628" t="s">
        <v>2793</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61" t="s">
        <v>2555</v>
      </c>
      <c r="Q15" s="1808" t="str">
        <f t="shared" si="6"/>
        <v>产业集聚程度</v>
      </c>
      <c r="R15" s="772" t="s">
        <v>17</v>
      </c>
      <c r="S15" s="773">
        <f t="shared" si="0"/>
        <v>100</v>
      </c>
      <c r="T15" s="772" t="s">
        <v>17</v>
      </c>
      <c r="U15" s="773">
        <f t="shared" si="1"/>
        <v>100</v>
      </c>
      <c r="V15" s="772" t="s">
        <v>17</v>
      </c>
      <c r="W15" s="773">
        <f t="shared" si="2"/>
        <v>100</v>
      </c>
      <c r="X15" s="1811"/>
      <c r="Y15" s="3261" t="s">
        <v>2555</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62"/>
      <c r="Q16" s="1808"/>
      <c r="R16" s="772"/>
      <c r="S16" s="773"/>
      <c r="T16" s="772"/>
      <c r="U16" s="773"/>
      <c r="V16" s="772"/>
      <c r="W16" s="773"/>
      <c r="X16" s="1811"/>
      <c r="Y16" s="3262"/>
      <c r="Z16" s="1812"/>
      <c r="AA16" s="1809">
        <v>1</v>
      </c>
      <c r="AB16" s="1809">
        <v>1</v>
      </c>
      <c r="AC16" s="1809">
        <v>1</v>
      </c>
    </row>
    <row r="17" spans="1:29" ht="85.5">
      <c r="A17" s="427"/>
      <c r="B17" s="630" t="s">
        <v>2704</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62"/>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62"/>
      <c r="Q18" s="1808"/>
      <c r="R18" s="772"/>
      <c r="S18" s="773"/>
      <c r="T18" s="772"/>
      <c r="U18" s="773"/>
      <c r="V18" s="772"/>
      <c r="W18" s="773"/>
      <c r="X18" s="1811"/>
      <c r="Y18" s="3262"/>
      <c r="Z18" s="1812"/>
      <c r="AA18" s="1809">
        <v>1</v>
      </c>
      <c r="AB18" s="1809">
        <v>1</v>
      </c>
      <c r="AC18" s="1809">
        <v>1</v>
      </c>
    </row>
    <row r="19" spans="1:29" ht="15">
      <c r="A19" s="427"/>
      <c r="B19" s="630" t="s">
        <v>2743</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62"/>
      <c r="Q19" s="1808" t="str">
        <f t="shared" ref="Q19:Q33" si="8">B19</f>
        <v>区域土地利用方向</v>
      </c>
      <c r="R19" s="772" t="s">
        <v>17</v>
      </c>
      <c r="S19" s="773">
        <f>F19</f>
        <v>100</v>
      </c>
      <c r="T19" s="772" t="s">
        <v>17</v>
      </c>
      <c r="U19" s="773">
        <f>H19</f>
        <v>100</v>
      </c>
      <c r="V19" s="772" t="s">
        <v>17</v>
      </c>
      <c r="W19" s="773">
        <f>J19</f>
        <v>100</v>
      </c>
      <c r="X19" s="1811"/>
      <c r="Y19" s="3262"/>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10"/>
      <c r="L20" s="1138"/>
      <c r="M20" s="1129"/>
      <c r="N20" s="1129"/>
      <c r="O20" s="1137"/>
      <c r="P20" s="3262"/>
      <c r="Q20" s="1808"/>
      <c r="R20" s="772"/>
      <c r="S20" s="773"/>
      <c r="T20" s="772"/>
      <c r="U20" s="773"/>
      <c r="V20" s="772"/>
      <c r="W20" s="773"/>
      <c r="X20" s="1811"/>
      <c r="Y20" s="3262"/>
      <c r="Z20" s="1812"/>
      <c r="AA20" s="1809"/>
      <c r="AB20" s="1809"/>
      <c r="AC20" s="1809"/>
    </row>
    <row r="21" spans="1:29" ht="71.25">
      <c r="A21" s="403"/>
      <c r="B21" s="630" t="s">
        <v>2794</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62"/>
      <c r="Q21" s="1808" t="str">
        <f t="shared" si="8"/>
        <v>环境状况</v>
      </c>
      <c r="R21" s="772" t="s">
        <v>17</v>
      </c>
      <c r="S21" s="773">
        <f>F21</f>
        <v>100</v>
      </c>
      <c r="T21" s="772" t="s">
        <v>17</v>
      </c>
      <c r="U21" s="773">
        <f>H21</f>
        <v>100</v>
      </c>
      <c r="V21" s="772" t="s">
        <v>17</v>
      </c>
      <c r="W21" s="773">
        <f>J21</f>
        <v>100</v>
      </c>
      <c r="X21" s="1811"/>
      <c r="Y21" s="3262"/>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62"/>
      <c r="Q22" s="1808"/>
      <c r="R22" s="772"/>
      <c r="S22" s="773"/>
      <c r="T22" s="772"/>
      <c r="U22" s="773"/>
      <c r="V22" s="772"/>
      <c r="W22" s="773"/>
      <c r="X22" s="1811"/>
      <c r="Y22" s="3262"/>
      <c r="Z22" s="1812"/>
      <c r="AA22" s="1809">
        <v>1</v>
      </c>
      <c r="AB22" s="1809">
        <v>1</v>
      </c>
      <c r="AC22" s="1809">
        <v>1</v>
      </c>
    </row>
    <row r="23" spans="1:29" s="117" customFormat="1" ht="42.75">
      <c r="A23" s="648"/>
      <c r="B23" s="632" t="s">
        <v>2649</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62"/>
      <c r="Q23" s="1793" t="str">
        <f t="shared" si="8"/>
        <v>公共配套设施</v>
      </c>
      <c r="R23" s="768" t="s">
        <v>17</v>
      </c>
      <c r="S23" s="769">
        <f>F23</f>
        <v>100</v>
      </c>
      <c r="T23" s="768" t="s">
        <v>17</v>
      </c>
      <c r="U23" s="769">
        <f>H23</f>
        <v>100</v>
      </c>
      <c r="V23" s="768" t="s">
        <v>17</v>
      </c>
      <c r="W23" s="769">
        <f>J23</f>
        <v>100</v>
      </c>
      <c r="X23" s="770"/>
      <c r="Y23" s="3262"/>
      <c r="Z23" s="55" t="str">
        <f>Q23</f>
        <v>公共配套设施</v>
      </c>
      <c r="AA23" s="1809">
        <f>D23/F23</f>
        <v>1</v>
      </c>
      <c r="AB23" s="1809">
        <f>D23/H23</f>
        <v>1</v>
      </c>
      <c r="AC23" s="1809">
        <f>D23/J23</f>
        <v>1</v>
      </c>
    </row>
    <row r="24" spans="1:29" s="117" customFormat="1" ht="15">
      <c r="A24" s="648"/>
      <c r="B24" s="631"/>
      <c r="C24" s="2696"/>
      <c r="D24" s="447"/>
      <c r="E24" s="2607"/>
      <c r="F24" s="447"/>
      <c r="G24" s="2607"/>
      <c r="H24" s="447"/>
      <c r="I24" s="446"/>
      <c r="J24" s="447"/>
      <c r="K24" s="671"/>
      <c r="L24" s="1130"/>
      <c r="M24" s="1131"/>
      <c r="N24" s="1131"/>
      <c r="O24" s="1132"/>
      <c r="P24" s="3262"/>
      <c r="Q24" s="1793"/>
      <c r="R24" s="768"/>
      <c r="S24" s="769"/>
      <c r="T24" s="768"/>
      <c r="U24" s="769"/>
      <c r="V24" s="768"/>
      <c r="W24" s="769"/>
      <c r="X24" s="770"/>
      <c r="Y24" s="3262"/>
      <c r="Z24" s="55"/>
      <c r="AA24" s="771">
        <v>1</v>
      </c>
      <c r="AB24" s="771">
        <v>1</v>
      </c>
      <c r="AC24" s="771">
        <v>1</v>
      </c>
    </row>
    <row r="25" spans="1:29" s="117" customFormat="1" ht="28.5">
      <c r="A25" s="648"/>
      <c r="B25" s="632" t="s">
        <v>2650</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62"/>
      <c r="Q25" s="1793" t="str">
        <f t="shared" ref="Q25" si="9">B25</f>
        <v>基础设施水平</v>
      </c>
      <c r="R25" s="768" t="s">
        <v>17</v>
      </c>
      <c r="S25" s="769">
        <f>F25</f>
        <v>100</v>
      </c>
      <c r="T25" s="768" t="s">
        <v>17</v>
      </c>
      <c r="U25" s="769">
        <f>H25</f>
        <v>100</v>
      </c>
      <c r="V25" s="768" t="s">
        <v>17</v>
      </c>
      <c r="W25" s="769">
        <f>J25</f>
        <v>100</v>
      </c>
      <c r="X25" s="770"/>
      <c r="Y25" s="3262"/>
      <c r="Z25" s="55" t="str">
        <f>Q25</f>
        <v>基础设施水平</v>
      </c>
      <c r="AA25" s="1809">
        <f>D25/F25</f>
        <v>1</v>
      </c>
      <c r="AB25" s="1809">
        <f>D25/H25</f>
        <v>1</v>
      </c>
      <c r="AC25" s="1809">
        <f>D25/J25</f>
        <v>1</v>
      </c>
    </row>
    <row r="26" spans="1:29" s="117" customFormat="1" ht="15">
      <c r="A26" s="648"/>
      <c r="B26" s="631"/>
      <c r="C26" s="2696"/>
      <c r="D26" s="447"/>
      <c r="E26" s="2697"/>
      <c r="F26" s="447"/>
      <c r="G26" s="2697"/>
      <c r="H26" s="447"/>
      <c r="I26" s="2697"/>
      <c r="J26" s="447"/>
      <c r="K26" s="671"/>
      <c r="L26" s="1130"/>
      <c r="M26" s="1131"/>
      <c r="N26" s="1131"/>
      <c r="O26" s="1132"/>
      <c r="P26" s="3262"/>
      <c r="Q26" s="1793"/>
      <c r="R26" s="768"/>
      <c r="S26" s="769"/>
      <c r="T26" s="768"/>
      <c r="U26" s="769"/>
      <c r="V26" s="768"/>
      <c r="W26" s="769"/>
      <c r="X26" s="770"/>
      <c r="Y26" s="3262"/>
      <c r="Z26" s="55"/>
      <c r="AA26" s="771">
        <v>1</v>
      </c>
      <c r="AB26" s="771">
        <v>1</v>
      </c>
      <c r="AC26" s="771">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6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62"/>
      <c r="Z27" s="1812" t="str">
        <f t="shared" ref="Z27:Z40" si="13">Q27</f>
        <v>临街状况</v>
      </c>
      <c r="AA27" s="1809">
        <f t="shared" si="3"/>
        <v>1</v>
      </c>
      <c r="AB27" s="1809">
        <f t="shared" si="4"/>
        <v>1</v>
      </c>
      <c r="AC27" s="1809">
        <f t="shared" si="5"/>
        <v>1</v>
      </c>
    </row>
    <row r="28" spans="1:29" ht="27">
      <c r="A28" s="427"/>
      <c r="B28" s="632" t="s">
        <v>2686</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62"/>
      <c r="Q28" s="1808" t="str">
        <f t="shared" si="8"/>
        <v>毗邻道路的类型与等级</v>
      </c>
      <c r="R28" s="772" t="s">
        <v>17</v>
      </c>
      <c r="S28" s="773">
        <f t="shared" si="10"/>
        <v>100</v>
      </c>
      <c r="T28" s="772" t="s">
        <v>17</v>
      </c>
      <c r="U28" s="773">
        <f t="shared" si="11"/>
        <v>100</v>
      </c>
      <c r="V28" s="772" t="s">
        <v>17</v>
      </c>
      <c r="W28" s="773">
        <f t="shared" si="12"/>
        <v>100</v>
      </c>
      <c r="X28" s="1811"/>
      <c r="Y28" s="3262"/>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62"/>
      <c r="Q29" s="1808"/>
      <c r="R29" s="772"/>
      <c r="S29" s="773"/>
      <c r="T29" s="772"/>
      <c r="U29" s="773"/>
      <c r="V29" s="772"/>
      <c r="W29" s="773"/>
      <c r="X29" s="1811"/>
      <c r="Y29" s="3262"/>
      <c r="Z29" s="1812"/>
      <c r="AA29" s="1809">
        <v>1</v>
      </c>
      <c r="AB29" s="1809">
        <v>1</v>
      </c>
      <c r="AC29" s="1809">
        <v>1</v>
      </c>
    </row>
    <row r="30" spans="1:29" ht="15">
      <c r="A30" s="427"/>
      <c r="B30" s="653" t="s">
        <v>2745</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62"/>
      <c r="Q30" s="1808" t="str">
        <f t="shared" si="8"/>
        <v>土地级别</v>
      </c>
      <c r="R30" s="772" t="s">
        <v>17</v>
      </c>
      <c r="S30" s="773">
        <f t="shared" si="10"/>
        <v>100</v>
      </c>
      <c r="T30" s="772" t="s">
        <v>17</v>
      </c>
      <c r="U30" s="773">
        <f t="shared" si="11"/>
        <v>100</v>
      </c>
      <c r="V30" s="772" t="s">
        <v>17</v>
      </c>
      <c r="W30" s="773">
        <f t="shared" si="12"/>
        <v>100</v>
      </c>
      <c r="X30" s="1811"/>
      <c r="Y30" s="3262"/>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62"/>
      <c r="Q31" s="1808">
        <f t="shared" si="8"/>
        <v>111</v>
      </c>
      <c r="R31" s="772" t="s">
        <v>17</v>
      </c>
      <c r="S31" s="773">
        <f t="shared" si="10"/>
        <v>100</v>
      </c>
      <c r="T31" s="772" t="s">
        <v>17</v>
      </c>
      <c r="U31" s="773">
        <f t="shared" si="11"/>
        <v>100</v>
      </c>
      <c r="V31" s="772" t="s">
        <v>17</v>
      </c>
      <c r="W31" s="773">
        <f t="shared" si="12"/>
        <v>100</v>
      </c>
      <c r="X31" s="1811"/>
      <c r="Y31" s="3262"/>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85" t="s">
        <v>2560</v>
      </c>
      <c r="Q32" s="1808">
        <f t="shared" si="8"/>
        <v>111</v>
      </c>
      <c r="R32" s="772" t="s">
        <v>17</v>
      </c>
      <c r="S32" s="773">
        <f t="shared" si="10"/>
        <v>100</v>
      </c>
      <c r="T32" s="772" t="s">
        <v>17</v>
      </c>
      <c r="U32" s="773">
        <f t="shared" si="11"/>
        <v>100</v>
      </c>
      <c r="V32" s="772" t="s">
        <v>17</v>
      </c>
      <c r="W32" s="773">
        <f t="shared" si="12"/>
        <v>100</v>
      </c>
      <c r="X32" s="1811"/>
      <c r="Y32" s="3266" t="s">
        <v>2560</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66"/>
      <c r="Q33" s="1808">
        <f t="shared" si="8"/>
        <v>111</v>
      </c>
      <c r="R33" s="775" t="s">
        <v>17</v>
      </c>
      <c r="S33" s="776">
        <f t="shared" si="10"/>
        <v>100</v>
      </c>
      <c r="T33" s="775" t="s">
        <v>17</v>
      </c>
      <c r="U33" s="776">
        <f t="shared" si="11"/>
        <v>100</v>
      </c>
      <c r="V33" s="775" t="s">
        <v>17</v>
      </c>
      <c r="W33" s="776">
        <f t="shared" si="12"/>
        <v>100</v>
      </c>
      <c r="X33" s="777"/>
      <c r="Y33" s="3266"/>
      <c r="Z33" s="778">
        <f t="shared" si="13"/>
        <v>111</v>
      </c>
      <c r="AA33" s="1809">
        <f t="shared" si="3"/>
        <v>1</v>
      </c>
      <c r="AB33" s="1809">
        <f t="shared" si="4"/>
        <v>1</v>
      </c>
      <c r="AC33" s="1809">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66"/>
      <c r="Q34" s="1808" t="str">
        <f>B34</f>
        <v>宗地面积</v>
      </c>
      <c r="R34" s="772" t="s">
        <v>17</v>
      </c>
      <c r="S34" s="773" t="e">
        <f t="shared" si="10"/>
        <v>#N/A</v>
      </c>
      <c r="T34" s="772" t="s">
        <v>17</v>
      </c>
      <c r="U34" s="773" t="e">
        <f t="shared" si="11"/>
        <v>#N/A</v>
      </c>
      <c r="V34" s="772" t="s">
        <v>17</v>
      </c>
      <c r="W34" s="773" t="e">
        <f t="shared" si="12"/>
        <v>#N/A</v>
      </c>
      <c r="X34" s="1811"/>
      <c r="Y34" s="3266"/>
      <c r="Z34" s="1812" t="str">
        <f t="shared" si="13"/>
        <v>宗地面积</v>
      </c>
      <c r="AA34" s="1809" t="e">
        <f t="shared" si="3"/>
        <v>#N/A</v>
      </c>
      <c r="AB34" s="1809" t="e">
        <f t="shared" si="4"/>
        <v>#N/A</v>
      </c>
      <c r="AC34" s="1809" t="e">
        <f t="shared" si="5"/>
        <v>#N/A</v>
      </c>
    </row>
    <row r="35" spans="1:29" ht="15">
      <c r="A35" s="471"/>
      <c r="B35" s="421" t="s">
        <v>2747</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66"/>
      <c r="Q35" s="1808" t="str">
        <f t="shared" ref="Q35:Q40" si="14">B35</f>
        <v>宗地形状</v>
      </c>
      <c r="R35" s="772" t="s">
        <v>17</v>
      </c>
      <c r="S35" s="773">
        <f t="shared" si="10"/>
        <v>100</v>
      </c>
      <c r="T35" s="772" t="s">
        <v>17</v>
      </c>
      <c r="U35" s="773">
        <f t="shared" si="11"/>
        <v>100</v>
      </c>
      <c r="V35" s="772" t="s">
        <v>17</v>
      </c>
      <c r="W35" s="773">
        <f t="shared" si="12"/>
        <v>100</v>
      </c>
      <c r="X35" s="1811"/>
      <c r="Y35" s="3266"/>
      <c r="Z35" s="1812" t="str">
        <f t="shared" si="13"/>
        <v>宗地形状</v>
      </c>
      <c r="AA35" s="1809">
        <f t="shared" si="3"/>
        <v>1</v>
      </c>
      <c r="AB35" s="1809">
        <f t="shared" si="4"/>
        <v>1</v>
      </c>
      <c r="AC35" s="1809">
        <f t="shared" si="5"/>
        <v>1</v>
      </c>
    </row>
    <row r="36" spans="1:29" s="117" customFormat="1" ht="15">
      <c r="A36" s="472"/>
      <c r="B36" s="421" t="s">
        <v>2749</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66"/>
      <c r="Q36" s="1808" t="str">
        <f t="shared" si="14"/>
        <v>宗地开发程度</v>
      </c>
      <c r="R36" s="768" t="s">
        <v>17</v>
      </c>
      <c r="S36" s="769">
        <f t="shared" si="10"/>
        <v>100</v>
      </c>
      <c r="T36" s="768" t="s">
        <v>17</v>
      </c>
      <c r="U36" s="769">
        <f t="shared" si="11"/>
        <v>100</v>
      </c>
      <c r="V36" s="768" t="s">
        <v>17</v>
      </c>
      <c r="W36" s="769">
        <f t="shared" si="12"/>
        <v>100</v>
      </c>
      <c r="X36" s="770"/>
      <c r="Y36" s="3266"/>
      <c r="Z36" s="55" t="str">
        <f t="shared" si="13"/>
        <v>宗地开发程度</v>
      </c>
      <c r="AA36" s="771">
        <f t="shared" si="3"/>
        <v>1</v>
      </c>
      <c r="AB36" s="771">
        <f t="shared" si="4"/>
        <v>1</v>
      </c>
      <c r="AC36" s="771">
        <f t="shared" si="5"/>
        <v>1</v>
      </c>
    </row>
    <row r="37" spans="1:29" ht="15">
      <c r="A37" s="471"/>
      <c r="B37" s="421" t="s">
        <v>2750</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66" t="s">
        <v>2560</v>
      </c>
      <c r="Q37" s="1808" t="str">
        <f t="shared" si="14"/>
        <v>工程地质条件</v>
      </c>
      <c r="R37" s="772" t="s">
        <v>17</v>
      </c>
      <c r="S37" s="773">
        <f t="shared" si="10"/>
        <v>100</v>
      </c>
      <c r="T37" s="772" t="s">
        <v>17</v>
      </c>
      <c r="U37" s="773">
        <f t="shared" si="11"/>
        <v>100</v>
      </c>
      <c r="V37" s="772" t="s">
        <v>17</v>
      </c>
      <c r="W37" s="773">
        <f t="shared" si="12"/>
        <v>100</v>
      </c>
      <c r="X37" s="1811"/>
      <c r="Y37" s="3266" t="s">
        <v>2560</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66"/>
      <c r="Q38" s="1808">
        <f t="shared" si="14"/>
        <v>111</v>
      </c>
      <c r="R38" s="772" t="s">
        <v>17</v>
      </c>
      <c r="S38" s="773">
        <f t="shared" si="10"/>
        <v>100</v>
      </c>
      <c r="T38" s="772" t="s">
        <v>17</v>
      </c>
      <c r="U38" s="773">
        <f t="shared" si="11"/>
        <v>100</v>
      </c>
      <c r="V38" s="772" t="s">
        <v>17</v>
      </c>
      <c r="W38" s="773">
        <f t="shared" si="12"/>
        <v>100</v>
      </c>
      <c r="X38" s="1811"/>
      <c r="Y38" s="3266"/>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66"/>
      <c r="Q39" s="1808">
        <f t="shared" si="14"/>
        <v>111</v>
      </c>
      <c r="R39" s="772" t="s">
        <v>17</v>
      </c>
      <c r="S39" s="773">
        <f t="shared" si="10"/>
        <v>100</v>
      </c>
      <c r="T39" s="772" t="s">
        <v>17</v>
      </c>
      <c r="U39" s="773">
        <f t="shared" si="11"/>
        <v>100</v>
      </c>
      <c r="V39" s="772" t="s">
        <v>17</v>
      </c>
      <c r="W39" s="773">
        <f t="shared" si="12"/>
        <v>100</v>
      </c>
      <c r="X39" s="1811"/>
      <c r="Y39" s="3266"/>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66"/>
      <c r="Q40" s="1808">
        <f t="shared" si="14"/>
        <v>111</v>
      </c>
      <c r="R40" s="775" t="s">
        <v>17</v>
      </c>
      <c r="S40" s="776">
        <f t="shared" si="10"/>
        <v>100</v>
      </c>
      <c r="T40" s="775" t="s">
        <v>17</v>
      </c>
      <c r="U40" s="776">
        <f t="shared" si="11"/>
        <v>100</v>
      </c>
      <c r="V40" s="775" t="s">
        <v>17</v>
      </c>
      <c r="W40" s="776">
        <f t="shared" si="12"/>
        <v>100</v>
      </c>
      <c r="X40" s="777"/>
      <c r="Y40" s="3266"/>
      <c r="Z40" s="778">
        <f t="shared" si="13"/>
        <v>111</v>
      </c>
      <c r="AA40" s="1809">
        <f t="shared" si="3"/>
        <v>1</v>
      </c>
      <c r="AB40" s="1809">
        <f t="shared" si="4"/>
        <v>1</v>
      </c>
      <c r="AC40" s="1809">
        <f t="shared" si="5"/>
        <v>1</v>
      </c>
    </row>
    <row r="41" spans="1:29" ht="15">
      <c r="A41" s="478" t="s">
        <v>2715</v>
      </c>
      <c r="B41" s="2700" t="s">
        <v>2795</v>
      </c>
      <c r="C41" s="681" t="s">
        <v>1</v>
      </c>
      <c r="D41" s="480"/>
      <c r="E41" s="481"/>
      <c r="F41" s="482"/>
      <c r="G41" s="483"/>
      <c r="H41" s="484"/>
      <c r="I41" s="481"/>
      <c r="J41" s="484"/>
      <c r="K41" s="781"/>
      <c r="L41" s="1141"/>
      <c r="M41" s="1129"/>
      <c r="N41" s="1129"/>
      <c r="O41" s="1142"/>
      <c r="P41" s="3259" t="str">
        <f>A41</f>
        <v>成交单价</v>
      </c>
      <c r="Q41" s="3259"/>
      <c r="R41" s="3254">
        <f>E41</f>
        <v>0</v>
      </c>
      <c r="S41" s="3254"/>
      <c r="T41" s="3254">
        <f>G41</f>
        <v>0</v>
      </c>
      <c r="U41" s="3254"/>
      <c r="V41" s="3254">
        <f>I41</f>
        <v>0</v>
      </c>
      <c r="W41" s="3254"/>
      <c r="X41" s="757"/>
      <c r="Y41" s="779"/>
      <c r="Z41" s="757"/>
      <c r="AA41" s="757"/>
      <c r="AB41" s="757"/>
      <c r="AC41" s="757"/>
    </row>
    <row r="42" spans="1:29" ht="15.75" thickBot="1">
      <c r="A42" s="485" t="s">
        <v>2664</v>
      </c>
      <c r="B42" s="682"/>
      <c r="C42" s="489" t="e">
        <f>R43</f>
        <v>#DIV/0!</v>
      </c>
      <c r="D42" s="488"/>
      <c r="E42" s="489" t="e">
        <f>R42</f>
        <v>#DIV/0!</v>
      </c>
      <c r="F42" s="490"/>
      <c r="G42" s="487" t="e">
        <f>T42</f>
        <v>#DIV/0!</v>
      </c>
      <c r="H42" s="488"/>
      <c r="I42" s="489" t="e">
        <f>V42</f>
        <v>#DIV/0!</v>
      </c>
      <c r="J42" s="488"/>
      <c r="K42" s="782"/>
      <c r="L42" s="1141"/>
      <c r="M42" s="1129"/>
      <c r="N42" s="1129"/>
      <c r="O42" s="1142"/>
      <c r="P42" s="3259" t="str">
        <f>A42</f>
        <v>比较价值（元/平方米）</v>
      </c>
      <c r="Q42" s="3259"/>
      <c r="R42" s="3290" t="e">
        <f>ROUND(PRODUCT(R41,AA7:AA40),0)</f>
        <v>#DIV/0!</v>
      </c>
      <c r="S42" s="3290"/>
      <c r="T42" s="3290" t="e">
        <f>ROUND(PRODUCT(T41,AB7:AB40),0)</f>
        <v>#DIV/0!</v>
      </c>
      <c r="U42" s="3290"/>
      <c r="V42" s="3290" t="e">
        <f>ROUND(PRODUCT(V41,AC7:AC40),0)</f>
        <v>#DIV/0!</v>
      </c>
      <c r="W42" s="3290"/>
      <c r="X42" s="757"/>
      <c r="Y42" s="757"/>
      <c r="Z42" s="757"/>
      <c r="AA42" s="757"/>
      <c r="AB42" s="757"/>
      <c r="AC42" s="757"/>
    </row>
    <row r="43" spans="1:29" ht="15.75" thickBot="1">
      <c r="A43" s="491" t="s">
        <v>2665</v>
      </c>
      <c r="B43" s="492"/>
      <c r="C43" s="493" t="e">
        <f>R43</f>
        <v>#DIV/0!</v>
      </c>
      <c r="D43" s="493"/>
      <c r="E43" s="493"/>
      <c r="F43" s="493"/>
      <c r="G43" s="493"/>
      <c r="H43" s="493"/>
      <c r="I43" s="493"/>
      <c r="J43" s="493"/>
      <c r="K43" s="783"/>
      <c r="L43" s="1141"/>
      <c r="M43" s="1129"/>
      <c r="N43" s="1129"/>
      <c r="O43" s="1142"/>
      <c r="P43" s="3256" t="str">
        <f>A43</f>
        <v>估价对象XX用房的比较价值（楼面单价，元/平方米）</v>
      </c>
      <c r="Q43" s="3257"/>
      <c r="R43" s="3291" t="e">
        <f>ROUND(AVERAGE(R42:V42),0)</f>
        <v>#DIV/0!</v>
      </c>
      <c r="S43" s="3291"/>
      <c r="T43" s="3291"/>
      <c r="U43" s="3291"/>
      <c r="V43" s="3291"/>
      <c r="W43" s="329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2753</v>
      </c>
      <c r="B50" s="684" t="s">
        <v>2754</v>
      </c>
      <c r="C50" s="2701" t="s">
        <v>2755</v>
      </c>
      <c r="D50" s="2702" t="s">
        <v>2756</v>
      </c>
      <c r="E50" s="685" t="s">
        <v>2757</v>
      </c>
      <c r="F50" s="686" t="s">
        <v>2758</v>
      </c>
      <c r="G50" s="3242" t="s">
        <v>2759</v>
      </c>
      <c r="H50" s="3292"/>
      <c r="I50" s="1812" t="s">
        <v>2796</v>
      </c>
      <c r="J50" s="1812" t="str">
        <f>项目基本情况!F35</f>
        <v>江苏省泰州市泰兴市</v>
      </c>
      <c r="K50" s="2704" t="s">
        <v>2761</v>
      </c>
      <c r="L50" s="1104"/>
      <c r="M50" s="1142"/>
      <c r="N50" s="1142"/>
      <c r="O50" s="1142"/>
    </row>
    <row r="51" spans="1:17" s="691" customFormat="1">
      <c r="A51" s="687" t="s">
        <v>2762</v>
      </c>
      <c r="B51" s="688" t="e">
        <f>C43</f>
        <v>#DIV/0!</v>
      </c>
      <c r="C51" s="689">
        <v>1</v>
      </c>
      <c r="D51" s="1161">
        <v>1</v>
      </c>
      <c r="E51" s="689">
        <f>'数据-汇总表'!E8+'数据-汇总表'!E9</f>
        <v>68327.850000000006</v>
      </c>
      <c r="F51" s="690" t="e">
        <f t="shared" ref="F51:F60" si="15">ROUND(B51*E51/10000,0)</f>
        <v>#DIV/0!</v>
      </c>
      <c r="G51" s="3241"/>
      <c r="H51" s="3259"/>
      <c r="I51" s="940">
        <v>1</v>
      </c>
      <c r="J51" s="940">
        <v>1</v>
      </c>
      <c r="K51" s="1143"/>
      <c r="L51" s="939"/>
      <c r="M51" s="939"/>
      <c r="N51" s="939"/>
      <c r="O51" s="939"/>
    </row>
    <row r="52" spans="1:17" s="691" customFormat="1">
      <c r="A52" s="692" t="s">
        <v>2763</v>
      </c>
      <c r="B52" s="261" t="e">
        <f>ROUND($C$43*C52*D52,0)</f>
        <v>#DIV/0!</v>
      </c>
      <c r="C52" s="199">
        <f t="shared" ref="C52:C60" si="16">IF($C$50="北京市系数",I52,J52)</f>
        <v>0</v>
      </c>
      <c r="D52" s="1162">
        <v>0.25</v>
      </c>
      <c r="E52" s="693"/>
      <c r="F52" s="690" t="e">
        <f t="shared" si="15"/>
        <v>#DIV/0!</v>
      </c>
      <c r="G52" s="3293" t="s">
        <v>2764</v>
      </c>
      <c r="H52" s="1102">
        <f>项目基本情况!B37</f>
        <v>0</v>
      </c>
      <c r="I52" s="940">
        <f>SUMIF(修正!A45:A56,H52,修正!B45:B56)</f>
        <v>0</v>
      </c>
      <c r="J52" s="941"/>
      <c r="K52" s="1142"/>
      <c r="L52" s="939"/>
      <c r="M52" s="939"/>
      <c r="N52" s="939"/>
      <c r="O52" s="939"/>
    </row>
    <row r="53" spans="1:17" s="691" customFormat="1">
      <c r="A53" s="692" t="s">
        <v>2765</v>
      </c>
      <c r="B53" s="261" t="e">
        <f t="shared" ref="B53:B60" si="17">ROUND($C$43*C53*D53,0)</f>
        <v>#DIV/0!</v>
      </c>
      <c r="C53" s="199">
        <f t="shared" si="16"/>
        <v>0</v>
      </c>
      <c r="D53" s="1162">
        <v>0.25</v>
      </c>
      <c r="E53" s="693"/>
      <c r="F53" s="690" t="e">
        <f t="shared" si="15"/>
        <v>#DIV/0!</v>
      </c>
      <c r="G53" s="3293"/>
      <c r="H53" s="1102">
        <f>项目基本情况!B37</f>
        <v>0</v>
      </c>
      <c r="I53" s="940">
        <f>SUMIF(修正!A45:A56,H53,修正!C45:C56)</f>
        <v>0</v>
      </c>
      <c r="J53" s="941"/>
      <c r="K53" s="1143"/>
      <c r="L53" s="939"/>
      <c r="M53" s="939"/>
      <c r="N53" s="939"/>
      <c r="O53" s="939"/>
    </row>
    <row r="54" spans="1:17" s="691" customFormat="1">
      <c r="A54" s="692" t="s">
        <v>2766</v>
      </c>
      <c r="B54" s="261" t="e">
        <f t="shared" si="17"/>
        <v>#DIV/0!</v>
      </c>
      <c r="C54" s="199">
        <f t="shared" si="16"/>
        <v>0</v>
      </c>
      <c r="D54" s="1162">
        <v>0.25</v>
      </c>
      <c r="E54" s="693"/>
      <c r="F54" s="690" t="e">
        <f t="shared" si="15"/>
        <v>#DIV/0!</v>
      </c>
      <c r="G54" s="3293"/>
      <c r="H54" s="1102">
        <f>项目基本情况!B37</f>
        <v>0</v>
      </c>
      <c r="I54" s="940">
        <f>SUMIF(修正!A45:A56,H54,修正!D45:D56)</f>
        <v>0</v>
      </c>
      <c r="J54" s="941"/>
      <c r="K54" s="1142"/>
      <c r="L54" s="939"/>
      <c r="M54" s="939"/>
      <c r="N54" s="939"/>
      <c r="O54" s="939"/>
    </row>
    <row r="55" spans="1:17" s="691" customFormat="1">
      <c r="A55" s="692" t="s">
        <v>2767</v>
      </c>
      <c r="B55" s="261" t="e">
        <f t="shared" si="17"/>
        <v>#DIV/0!</v>
      </c>
      <c r="C55" s="199">
        <f t="shared" si="16"/>
        <v>0</v>
      </c>
      <c r="D55" s="1162">
        <v>0.25</v>
      </c>
      <c r="E55" s="693"/>
      <c r="F55" s="690" t="e">
        <f t="shared" si="15"/>
        <v>#DIV/0!</v>
      </c>
      <c r="G55" s="3293"/>
      <c r="H55" s="1102">
        <f>项目基本情况!B37</f>
        <v>0</v>
      </c>
      <c r="I55" s="940">
        <f>SUMIF(修正!A45:A56,H55,修正!E45:E56)</f>
        <v>0</v>
      </c>
      <c r="J55" s="941"/>
      <c r="K55" s="1143"/>
      <c r="L55" s="939"/>
      <c r="M55" s="939"/>
      <c r="N55" s="939"/>
      <c r="O55" s="939"/>
    </row>
    <row r="56" spans="1:17" s="691" customFormat="1">
      <c r="A56" s="692" t="s">
        <v>2768</v>
      </c>
      <c r="B56" s="261" t="e">
        <f t="shared" si="17"/>
        <v>#DIV/0!</v>
      </c>
      <c r="C56" s="199">
        <f t="shared" si="16"/>
        <v>0</v>
      </c>
      <c r="D56" s="1162">
        <v>0.25</v>
      </c>
      <c r="E56" s="260">
        <f>'数据-汇总表'!E11</f>
        <v>0</v>
      </c>
      <c r="F56" s="690" t="e">
        <f t="shared" si="15"/>
        <v>#DIV/0!</v>
      </c>
      <c r="G56" s="2705" t="s">
        <v>2769</v>
      </c>
      <c r="H56" s="1102">
        <f>项目基本情况!C37</f>
        <v>0</v>
      </c>
      <c r="I56" s="940">
        <f>SUMIF(修正!A45:A56,H56,修正!F45:F56)</f>
        <v>0</v>
      </c>
      <c r="J56" s="941"/>
      <c r="K56" s="1142"/>
      <c r="L56" s="939"/>
      <c r="M56" s="939"/>
      <c r="N56" s="939"/>
      <c r="O56" s="939"/>
    </row>
    <row r="57" spans="1:17" s="691" customFormat="1">
      <c r="A57" s="692" t="s">
        <v>2770</v>
      </c>
      <c r="B57" s="261" t="e">
        <f t="shared" si="17"/>
        <v>#DIV/0!</v>
      </c>
      <c r="C57" s="199">
        <f t="shared" si="16"/>
        <v>0</v>
      </c>
      <c r="D57" s="1162">
        <v>0.25</v>
      </c>
      <c r="E57" s="260">
        <f>'数据-汇总表'!E12</f>
        <v>0</v>
      </c>
      <c r="F57" s="690" t="e">
        <f t="shared" si="15"/>
        <v>#DIV/0!</v>
      </c>
      <c r="G57" s="1107" t="s">
        <v>2771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2772</v>
      </c>
      <c r="B58" s="261" t="e">
        <f t="shared" si="17"/>
        <v>#DIV/0!</v>
      </c>
      <c r="C58" s="199">
        <f t="shared" si="16"/>
        <v>0</v>
      </c>
      <c r="D58" s="1162">
        <v>0.25</v>
      </c>
      <c r="E58" s="260">
        <f>'数据-汇总表'!E13</f>
        <v>0</v>
      </c>
      <c r="F58" s="690" t="e">
        <f t="shared" si="15"/>
        <v>#DIV/0!</v>
      </c>
      <c r="G58" s="1107" t="s">
        <v>2773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2774</v>
      </c>
      <c r="B59" s="261" t="e">
        <f t="shared" si="17"/>
        <v>#DIV/0!</v>
      </c>
      <c r="C59" s="199">
        <f t="shared" si="16"/>
        <v>0</v>
      </c>
      <c r="D59" s="1162">
        <v>0.25</v>
      </c>
      <c r="E59" s="260">
        <f>'数据-汇总表'!E14</f>
        <v>0</v>
      </c>
      <c r="F59" s="690" t="e">
        <f t="shared" si="15"/>
        <v>#DIV/0!</v>
      </c>
      <c r="G59" s="2705" t="s">
        <v>2764</v>
      </c>
      <c r="H59" s="1102">
        <f>项目基本情况!B37</f>
        <v>0</v>
      </c>
      <c r="I59" s="940">
        <f>SUMIF(修正!A45:A56,H59,修正!H45:H56)</f>
        <v>0</v>
      </c>
      <c r="J59" s="941"/>
      <c r="K59" s="1143"/>
      <c r="L59" s="939"/>
      <c r="M59" s="939"/>
      <c r="N59" s="939"/>
      <c r="O59" s="939"/>
    </row>
    <row r="60" spans="1:17" s="691" customFormat="1" ht="15" thickBot="1">
      <c r="A60" s="692" t="s">
        <v>2775</v>
      </c>
      <c r="B60" s="261" t="e">
        <f t="shared" si="17"/>
        <v>#DIV/0!</v>
      </c>
      <c r="C60" s="199">
        <f t="shared" si="16"/>
        <v>0</v>
      </c>
      <c r="D60" s="1162">
        <v>0.25</v>
      </c>
      <c r="E60" s="260">
        <f>'数据-汇总表'!E15</f>
        <v>0</v>
      </c>
      <c r="F60" s="690" t="e">
        <f t="shared" si="15"/>
        <v>#DIV/0!</v>
      </c>
      <c r="G60" s="2706" t="s">
        <v>2769</v>
      </c>
      <c r="H60" s="1112">
        <f>项目基本情况!C37</f>
        <v>0</v>
      </c>
      <c r="I60" s="940">
        <f>SUMIF(修正!A45:A56,H60,修正!H45:H56)</f>
        <v>0</v>
      </c>
      <c r="J60" s="941"/>
      <c r="K60" s="1142"/>
      <c r="L60" s="939"/>
      <c r="M60" s="939"/>
      <c r="N60" s="939"/>
      <c r="O60" s="939"/>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2669</v>
      </c>
      <c r="B64" s="757"/>
      <c r="C64" s="762"/>
      <c r="D64" s="762"/>
      <c r="E64" s="762"/>
      <c r="F64" s="763"/>
      <c r="G64" s="763"/>
      <c r="H64" s="762"/>
      <c r="I64" s="762"/>
      <c r="J64" s="762"/>
      <c r="K64" s="764"/>
      <c r="L64" s="765"/>
      <c r="M64" s="762"/>
      <c r="N64" s="762"/>
      <c r="O64" s="1157"/>
      <c r="P64" s="502"/>
      <c r="Q64" s="503"/>
    </row>
    <row r="65" spans="1:17" s="507" customFormat="1" ht="15">
      <c r="A65" s="2707" t="s">
        <v>2777</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2" t="s">
        <v>2797</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2583</v>
      </c>
      <c r="B70" s="527" t="s">
        <v>2549</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2552</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2686</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2745</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2787</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2789</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2790</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0" customWidth="1"/>
    <col min="33" max="36" width="9.375" style="2784" customWidth="1"/>
    <col min="37" max="38" width="9.375" style="2716" customWidth="1"/>
    <col min="39" max="16384" width="12" style="2716"/>
  </cols>
  <sheetData>
    <row r="1" spans="1:36" ht="28.5">
      <c r="A1" s="239" t="s">
        <v>2799</v>
      </c>
      <c r="B1" s="240"/>
      <c r="C1" s="244" t="s">
        <v>2800</v>
      </c>
      <c r="D1" s="387">
        <f>SUM(D29:D30,D33:D39)</f>
        <v>0</v>
      </c>
      <c r="E1" s="2713"/>
      <c r="F1" s="2713"/>
      <c r="G1" s="2713"/>
      <c r="H1" s="2713"/>
      <c r="I1" s="2713"/>
      <c r="J1" s="2713"/>
      <c r="K1" s="1368"/>
      <c r="L1" s="2714" t="s">
        <v>2801</v>
      </c>
      <c r="M1" s="1078">
        <f>SUMPRODUCT((区片价!B5:B9=I2)*(区片价!C3:F3=E2)*(区片价!C5:F9))</f>
        <v>0</v>
      </c>
      <c r="N1" s="1081">
        <f>SUMPRODUCT((因素修正幅度!B5:B9=I2)*(因素修正幅度!C3:F3=E2)*(因素修正幅度!C5:F9))</f>
        <v>0</v>
      </c>
      <c r="O1" s="2715"/>
      <c r="P1" s="2715"/>
      <c r="Q1" s="1368"/>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75">
      <c r="A2" s="244" t="s">
        <v>2807</v>
      </c>
      <c r="B2" s="247"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68"/>
      <c r="L2" s="2722" t="s">
        <v>2812</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2813</v>
      </c>
      <c r="B3" s="247" t="e">
        <f>ROUND(B2*10000/D1,0)</f>
        <v>#DIV/0!</v>
      </c>
      <c r="C3" s="2717" t="s">
        <v>2814</v>
      </c>
      <c r="D3" s="2718" t="s">
        <v>2815</v>
      </c>
      <c r="E3" s="2723"/>
      <c r="F3" s="2724" t="s">
        <v>2816</v>
      </c>
      <c r="G3" s="914" t="e">
        <f>IF(F3="宗地容积率",'数据-汇总表'!I4,IF(F3="估价对象容积率",'数据-汇总表'!I6,'数据-汇总表'!I7))</f>
        <v>#DIV/0!</v>
      </c>
      <c r="H3" s="197" t="s">
        <v>2817</v>
      </c>
      <c r="I3" s="942"/>
      <c r="J3" s="2721" t="s">
        <v>2818</v>
      </c>
      <c r="K3" s="1368"/>
      <c r="L3" s="2722" t="s">
        <v>2819</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4"/>
      <c r="B4" s="3315"/>
      <c r="C4" s="3315"/>
      <c r="D4" s="3316"/>
      <c r="E4" s="3316"/>
      <c r="F4" s="3316"/>
      <c r="G4" s="3316"/>
      <c r="H4" s="3316"/>
      <c r="I4" s="3316"/>
      <c r="J4" s="3317"/>
      <c r="K4" s="1368"/>
      <c r="L4" s="2722" t="s">
        <v>2820</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2821</v>
      </c>
      <c r="C5" s="915" t="e">
        <f>ROUND(IF(E2="商业",C6*C7+C16,(IF(E2="住宅",C6*C12+C16,C6+C16))),0)</f>
        <v>#DIV/0!</v>
      </c>
      <c r="D5" s="1785" t="e">
        <f>ROUND(IF(F17="增加",C6+C16,C6-C16),0)</f>
        <v>#DIV/0!</v>
      </c>
      <c r="E5" s="1785"/>
      <c r="F5" s="2727"/>
      <c r="G5" s="2728"/>
      <c r="H5" s="2728"/>
      <c r="I5" s="2728"/>
      <c r="J5" s="2729"/>
      <c r="K5" s="2730"/>
      <c r="L5" s="2722" t="s">
        <v>2822</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1"/>
      <c r="AD5" s="2732"/>
      <c r="AE5" s="2732"/>
      <c r="AF5" s="2732"/>
      <c r="AG5" s="2732"/>
      <c r="AH5" s="2732"/>
      <c r="AI5" s="2732"/>
      <c r="AJ5" s="2733"/>
    </row>
    <row r="6" spans="1:36" ht="15.75" thickBot="1">
      <c r="A6" s="2735" t="s">
        <v>2823</v>
      </c>
      <c r="B6" s="2736" t="s">
        <v>2824</v>
      </c>
      <c r="C6" s="916">
        <f>SUMIF(L1:L12,G2,M1:M12)</f>
        <v>0</v>
      </c>
      <c r="D6" s="2737" t="s">
        <v>2825</v>
      </c>
      <c r="E6" s="2738"/>
      <c r="F6" s="2738"/>
      <c r="G6" s="2739"/>
      <c r="H6" s="2739"/>
      <c r="I6" s="2739"/>
      <c r="J6" s="2740"/>
      <c r="K6" s="1840"/>
      <c r="L6" s="2722" t="s">
        <v>2826</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1"/>
      <c r="AD6" s="2732"/>
      <c r="AE6" s="2732"/>
      <c r="AF6" s="2732"/>
      <c r="AG6" s="2732"/>
      <c r="AH6" s="2732"/>
      <c r="AI6" s="2732"/>
      <c r="AJ6" s="2733"/>
    </row>
    <row r="7" spans="1:36" ht="24">
      <c r="A7" s="3298" t="str">
        <f>IF(E2="商业",IF(C8="不临58条商业街","",2),"")</f>
        <v/>
      </c>
      <c r="B7" s="2741" t="s">
        <v>2827</v>
      </c>
      <c r="C7" s="917" t="e">
        <f>IF(C8="不临58条商业街",1,ROUND(1+(1.6*E8+1.2*E9+0.8*E10+0.4*E11)*C9,4))</f>
        <v>#DIV/0!</v>
      </c>
      <c r="D7" s="2742" t="s">
        <v>2828</v>
      </c>
      <c r="E7" s="943"/>
      <c r="F7" s="2743"/>
      <c r="G7" s="2744"/>
      <c r="H7" s="2744"/>
      <c r="I7" s="2744"/>
      <c r="J7" s="2745"/>
      <c r="K7" s="1840"/>
      <c r="L7" s="2722" t="s">
        <v>2829</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2830</v>
      </c>
      <c r="X7" s="1602">
        <f>G2</f>
        <v>0</v>
      </c>
      <c r="Y7" s="1602" t="s">
        <v>2831</v>
      </c>
      <c r="Z7" s="1603" t="e">
        <f>G3</f>
        <v>#DIV/0!</v>
      </c>
      <c r="AA7" s="1604"/>
      <c r="AB7" s="1604"/>
      <c r="AC7" s="1605"/>
      <c r="AD7" s="1606"/>
      <c r="AE7" s="1606"/>
      <c r="AF7" s="1606"/>
      <c r="AG7" s="1606"/>
      <c r="AH7" s="1606"/>
      <c r="AI7" s="1606"/>
      <c r="AJ7" s="1607"/>
    </row>
    <row r="8" spans="1:36" ht="15">
      <c r="A8" s="3318"/>
      <c r="B8" s="197" t="s">
        <v>2832</v>
      </c>
      <c r="C8" s="2746"/>
      <c r="D8" s="918" t="s">
        <v>139</v>
      </c>
      <c r="E8" s="919" t="e">
        <f>ROUND(C11/E7,4)</f>
        <v>#DIV/0!</v>
      </c>
      <c r="F8" s="2747" t="s">
        <v>2833</v>
      </c>
      <c r="G8" s="2748"/>
      <c r="H8" s="2748"/>
      <c r="I8" s="2748"/>
      <c r="J8" s="2749"/>
      <c r="K8" s="1368"/>
      <c r="L8" s="2722" t="s">
        <v>2834</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11" t="s">
        <v>2835</v>
      </c>
      <c r="X8" s="3312"/>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318"/>
      <c r="B9" s="197" t="s">
        <v>2848</v>
      </c>
      <c r="C9" s="920">
        <f>SUMIF(修正!C59:C119,C8,修正!E59:E119)</f>
        <v>0</v>
      </c>
      <c r="D9" s="199" t="s">
        <v>140</v>
      </c>
      <c r="E9" s="199" t="e">
        <f>ROUND(C11/E7,4)</f>
        <v>#DIV/0!</v>
      </c>
      <c r="F9" s="2747" t="s">
        <v>2849</v>
      </c>
      <c r="G9" s="2748"/>
      <c r="H9" s="2748"/>
      <c r="I9" s="2748"/>
      <c r="J9" s="2749"/>
      <c r="K9" s="1368"/>
      <c r="L9" s="2722" t="s">
        <v>2850</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3"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8"/>
      <c r="B10" s="197" t="s">
        <v>2853</v>
      </c>
      <c r="C10" s="199">
        <f>SUMIF(修正!C59:C119,C8,修正!F59:F119)</f>
        <v>0</v>
      </c>
      <c r="D10" s="199" t="s">
        <v>141</v>
      </c>
      <c r="E10" s="199" t="e">
        <f>ROUND(C11/E7,4)</f>
        <v>#DIV/0!</v>
      </c>
      <c r="F10" s="2747" t="s">
        <v>2854</v>
      </c>
      <c r="G10" s="2748"/>
      <c r="H10" s="2748"/>
      <c r="I10" s="2748"/>
      <c r="J10" s="2749"/>
      <c r="K10" s="1368"/>
      <c r="L10" s="2722" t="s">
        <v>2855</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8"/>
      <c r="B11" s="2750" t="s">
        <v>2856</v>
      </c>
      <c r="C11" s="921">
        <f>C10/4</f>
        <v>0</v>
      </c>
      <c r="D11" s="921" t="s">
        <v>142</v>
      </c>
      <c r="E11" s="921" t="e">
        <f>ROUND(C11/E7,4)</f>
        <v>#DIV/0!</v>
      </c>
      <c r="F11" s="2751" t="s">
        <v>2857</v>
      </c>
      <c r="G11" s="2752"/>
      <c r="H11" s="2752"/>
      <c r="I11" s="2752"/>
      <c r="J11" s="2753"/>
      <c r="K11" s="1368"/>
      <c r="L11" s="2722" t="s">
        <v>2858</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3" t="s">
        <v>2859</v>
      </c>
      <c r="X11" s="1612" t="s">
        <v>2860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98" t="s">
        <v>2861</v>
      </c>
      <c r="B12" s="2754" t="s">
        <v>2862</v>
      </c>
      <c r="C12" s="917">
        <f>ROUND(C15*D15*E15*F15*G15*H15*I15*J15,4)</f>
        <v>1</v>
      </c>
      <c r="D12" s="2755" t="s">
        <v>2863</v>
      </c>
      <c r="E12" s="2756"/>
      <c r="F12" s="2756"/>
      <c r="G12" s="2757"/>
      <c r="H12" s="2757"/>
      <c r="I12" s="2757"/>
      <c r="J12" s="2758"/>
      <c r="K12" s="1368"/>
      <c r="L12" s="2759" t="s">
        <v>2864</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3"/>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9"/>
      <c r="B13" s="2760" t="s">
        <v>2866</v>
      </c>
      <c r="C13" s="2761" t="s">
        <v>2867</v>
      </c>
      <c r="D13" s="1806" t="s">
        <v>2868</v>
      </c>
      <c r="E13" s="1806" t="s">
        <v>2869</v>
      </c>
      <c r="F13" s="30" t="s">
        <v>2870</v>
      </c>
      <c r="G13" s="2762" t="s">
        <v>2871</v>
      </c>
      <c r="H13" s="2762" t="s">
        <v>2871</v>
      </c>
      <c r="I13" s="2762" t="s">
        <v>2871</v>
      </c>
      <c r="J13" s="2763" t="s">
        <v>2871</v>
      </c>
      <c r="K13" s="1368"/>
      <c r="L13" s="1368"/>
      <c r="M13" s="1368"/>
      <c r="N13" s="1368"/>
      <c r="O13" s="1368"/>
      <c r="P13" s="1368"/>
      <c r="Q13" s="1368"/>
      <c r="R13" s="1600">
        <v>12</v>
      </c>
      <c r="S13" s="1601"/>
      <c r="T13" s="1600" t="e">
        <f t="shared" si="0"/>
        <v>#DIV/0!</v>
      </c>
      <c r="U13" s="1601"/>
      <c r="V13" s="1600" t="e">
        <f t="shared" si="1"/>
        <v>#DIV/0!</v>
      </c>
      <c r="W13" s="3313"/>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319"/>
      <c r="B14" s="2764"/>
      <c r="C14" s="2765"/>
      <c r="D14" s="2766"/>
      <c r="E14" s="2766"/>
      <c r="F14" s="2767"/>
      <c r="G14" s="2768" t="s">
        <v>2872</v>
      </c>
      <c r="H14" s="2769"/>
      <c r="I14" s="2770"/>
      <c r="J14" s="2771"/>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0"/>
      <c r="B15" s="2772" t="s">
        <v>2873</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8" t="s">
        <v>2878</v>
      </c>
      <c r="B16" s="2741" t="s">
        <v>2879</v>
      </c>
      <c r="C16" s="2931" t="e">
        <f>ROUND(IF(F17="与级别开发程度一致",0,(G17-E17)/C17),0)</f>
        <v>#DIV/0!</v>
      </c>
      <c r="D16" s="3309" t="s">
        <v>2883</v>
      </c>
      <c r="E16" s="3310"/>
      <c r="F16" s="3309" t="s">
        <v>2880</v>
      </c>
      <c r="G16" s="3310"/>
      <c r="H16" s="2775"/>
      <c r="I16" s="2775"/>
      <c r="J16" s="2935"/>
      <c r="K16" s="2775"/>
      <c r="L16" s="2775"/>
      <c r="M16" s="2775"/>
      <c r="N16" s="2775"/>
      <c r="O16" s="2776"/>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9"/>
      <c r="B17" s="2942" t="s">
        <v>2882</v>
      </c>
      <c r="C17" s="2943">
        <f>SUMPRODUCT((修正!A2:A5=E2)*(修正!B1:M1=G2)*(修正!B2:M5))</f>
        <v>0</v>
      </c>
      <c r="D17" s="228"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79"/>
      <c r="AF17" s="2779"/>
      <c r="AG17" s="2716"/>
      <c r="AH17" s="2716"/>
      <c r="AI17" s="2716"/>
      <c r="AJ17" s="2716"/>
    </row>
    <row r="18" spans="1:37" s="2734" customFormat="1" ht="15.75" thickBot="1">
      <c r="A18" s="2936" t="s">
        <v>808</v>
      </c>
      <c r="B18" s="2937" t="s">
        <v>2885</v>
      </c>
      <c r="C18" s="2938">
        <f>SUMIF(修正!C18:C39,E3,修正!E18:E39)</f>
        <v>0</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4"/>
      <c r="AH18" s="2784"/>
      <c r="AI18" s="2784"/>
    </row>
    <row r="19" spans="1:37" s="2734" customFormat="1" ht="27.75" thickBot="1">
      <c r="A19" s="2780" t="s">
        <v>809</v>
      </c>
      <c r="B19" s="2781" t="s">
        <v>2886</v>
      </c>
      <c r="C19" s="922" t="e">
        <f>ROUND(IF(H19="按公示增长率计算",SUMPRODUCT((地价!A3:A26=YEAR(G19)&amp;"-"&amp;ROUNDUP(MONTH(G19)/3,0))*(地价!X2:AB2=E2)*(地价!X3:AB26)),IF(H19="地价指数",M20/M19,(1+I19)^O19)),4)</f>
        <v>#DIV/0!</v>
      </c>
      <c r="D19" s="2785" t="s">
        <v>2887</v>
      </c>
      <c r="E19" s="923">
        <v>41640</v>
      </c>
      <c r="F19" s="2785" t="s">
        <v>2888</v>
      </c>
      <c r="G19" s="924">
        <f>'数据-取费表'!B2</f>
        <v>43391</v>
      </c>
      <c r="H19" s="2786" t="s">
        <v>2889</v>
      </c>
      <c r="I19" s="925" t="str">
        <f>IF(H19="季度增幅（自定义）",SUMIF(N21:N24,E2,O21:O24),"")</f>
        <v/>
      </c>
      <c r="J19" s="2783"/>
      <c r="K19" s="1375"/>
      <c r="L19" s="2787" t="s">
        <v>2890</v>
      </c>
      <c r="M19" s="1732">
        <f>ROUND(SUMIF(地价!B2:F2,E2,地价!B26:F26),0)</f>
        <v>0</v>
      </c>
      <c r="N19" s="2788" t="s">
        <v>2891</v>
      </c>
      <c r="O19" s="926">
        <f>ROUNDDOWN(DATEDIF(E19,G19,"M")/3,0)</f>
        <v>19</v>
      </c>
      <c r="P19" s="1372"/>
      <c r="Q19" s="1374"/>
      <c r="R19" s="1374"/>
      <c r="S19" s="1374"/>
      <c r="T19" s="1369"/>
      <c r="U19" s="1369"/>
      <c r="V19" s="1369"/>
      <c r="W19" s="1368"/>
      <c r="X19" s="1368"/>
      <c r="Y19" s="1368"/>
      <c r="Z19" s="1375"/>
      <c r="AA19" s="1376"/>
      <c r="AB19" s="1376"/>
      <c r="AC19" s="1376"/>
      <c r="AD19" s="1376"/>
      <c r="AE19" s="1376"/>
      <c r="AF19" s="2789"/>
      <c r="AG19" s="2790"/>
      <c r="AH19" s="2784"/>
      <c r="AI19" s="2791"/>
      <c r="AJ19" s="2791"/>
      <c r="AK19" s="2791"/>
    </row>
    <row r="20" spans="1:37" s="2734" customFormat="1" ht="27.75" thickBot="1">
      <c r="A20" s="2792" t="s">
        <v>810</v>
      </c>
      <c r="B20" s="2793" t="s">
        <v>2892</v>
      </c>
      <c r="C20" s="927" t="e">
        <f>ROUND(POWER(1+G20,J20-I20)*(POWER(1+G20,I20)-1)/(POWER(1+G20,J20)-1),4)</f>
        <v>#DIV/0!</v>
      </c>
      <c r="D20" s="2794" t="s">
        <v>2893</v>
      </c>
      <c r="E20" s="1766">
        <f ca="1">存贷款利率!D4/100</f>
        <v>4.3499999999999997E-2</v>
      </c>
      <c r="F20" s="2794" t="s">
        <v>2884</v>
      </c>
      <c r="G20" s="932">
        <f>SUMIF(M26:P26,E2,M28:P28)</f>
        <v>0</v>
      </c>
      <c r="H20" s="2794" t="s">
        <v>2894</v>
      </c>
      <c r="I20" s="933" t="e">
        <f>SUMIF('数据-取费表'!C6:C15,E2,'数据-取费表'!F6:F15)/COUNTIF('数据-取费表'!C6:C15,E2)</f>
        <v>#DIV/0!</v>
      </c>
      <c r="J20" s="934">
        <f>IF(E2="住宅",70,IF(E2="商业",40,50))</f>
        <v>50</v>
      </c>
      <c r="K20" s="1375"/>
      <c r="L20" s="2795" t="s">
        <v>2895</v>
      </c>
      <c r="M20" s="1733">
        <f>ROUND(SUMPRODUCT((地价!A4:A26=YEAR(G19)&amp;"-"&amp;ROUNDUP(MONTH(G19)/3,0))*(地价!B2:F2=E2)*(地价!B4:F26)),0)</f>
        <v>0</v>
      </c>
      <c r="N20" s="2796" t="s">
        <v>2896</v>
      </c>
      <c r="O20" s="2797" t="s">
        <v>2897</v>
      </c>
      <c r="P20" s="2798" t="s">
        <v>2898</v>
      </c>
      <c r="R20" s="1374"/>
      <c r="S20" s="1374"/>
      <c r="T20" s="1369"/>
      <c r="U20" s="1369"/>
      <c r="V20" s="1369"/>
      <c r="W20" s="1368"/>
      <c r="X20" s="1368"/>
      <c r="Y20" s="1368"/>
      <c r="Z20" s="1375"/>
      <c r="AA20" s="1376"/>
      <c r="AB20" s="1376"/>
      <c r="AC20" s="1376"/>
      <c r="AD20" s="1376"/>
      <c r="AE20" s="1376"/>
      <c r="AF20" s="1376"/>
    </row>
    <row r="21" spans="1:37" s="2734" customFormat="1" ht="15">
      <c r="A21" s="2799" t="s">
        <v>811</v>
      </c>
      <c r="B21" s="2800" t="s">
        <v>2899</v>
      </c>
      <c r="C21" s="935" t="e">
        <f>IF(B21="容积率修正",IF(G3&lt;=10,D22,J22),C23)</f>
        <v>#DIV/0!</v>
      </c>
      <c r="D21" s="2801"/>
      <c r="E21" s="2801"/>
      <c r="F21" s="2801"/>
      <c r="G21" s="2801"/>
      <c r="H21" s="2801"/>
      <c r="I21" s="2801"/>
      <c r="J21" s="2802"/>
      <c r="K21" s="1375"/>
      <c r="N21" s="2803" t="s">
        <v>2900</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4" customFormat="1" ht="14.25">
      <c r="A22" s="2660" t="s">
        <v>2901</v>
      </c>
      <c r="B22" s="2804" t="s">
        <v>2902</v>
      </c>
      <c r="C22" s="1808" t="s">
        <v>2903</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3" t="s">
        <v>2904</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0" t="s">
        <v>2905</v>
      </c>
      <c r="B23" s="2805" t="s">
        <v>2906</v>
      </c>
      <c r="C23" s="1011" t="e">
        <f>ROUND(IF(G3&gt;1,IF(I3&lt;7,SUMPRODUCT((B93:B98=I3)*(C92:N92=G2)*(C93:N98)),SUMIF(C92:N92,G2,C100:N100)),IF(I3&lt;7,SUMPRODUCT((B102:B107=I3)*(C92:N92=G2)*(C102:N107)),SUMIF(C92:N92,G2,C109:N109))),4)</f>
        <v>#DIV/0!</v>
      </c>
      <c r="D23" s="2769"/>
      <c r="E23" s="2769"/>
      <c r="F23" s="2806"/>
      <c r="G23" s="2807"/>
      <c r="H23" s="2808"/>
      <c r="I23" s="2809"/>
      <c r="J23" s="2810"/>
      <c r="K23" s="1368"/>
      <c r="N23" s="2803" t="s">
        <v>2907</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4"/>
    </row>
    <row r="24" spans="1:37" s="2734" customFormat="1" ht="15.75" thickBot="1">
      <c r="A24" s="2792" t="s">
        <v>812</v>
      </c>
      <c r="B24" s="2781" t="s">
        <v>2908</v>
      </c>
      <c r="C24" s="922">
        <f>SUMIF(A45:A88,E2,B45:B88)</f>
        <v>0</v>
      </c>
      <c r="D24" s="2782"/>
      <c r="E24" s="2811"/>
      <c r="F24" s="2811"/>
      <c r="G24" s="2811"/>
      <c r="H24" s="2811"/>
      <c r="I24" s="2811"/>
      <c r="J24" s="2812"/>
      <c r="K24" s="1375"/>
      <c r="N24" s="2813" t="s">
        <v>2909</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2" t="s">
        <v>813</v>
      </c>
      <c r="B25" s="2814" t="s">
        <v>2910</v>
      </c>
      <c r="C25" s="928"/>
      <c r="D25" s="2744"/>
      <c r="E25" s="2744"/>
      <c r="F25" s="2815"/>
      <c r="G25" s="2744"/>
      <c r="H25" s="2744"/>
      <c r="I25" s="2744"/>
      <c r="J25" s="2745"/>
      <c r="K25" s="1368"/>
      <c r="N25" s="2816" t="s">
        <v>2911</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7"/>
      <c r="B26" s="2804" t="s">
        <v>2912</v>
      </c>
      <c r="C26" s="205" t="e">
        <f>E29+SUM(E33:E39)</f>
        <v>#DIV/0!</v>
      </c>
      <c r="D26" s="2818"/>
      <c r="E26" s="2769"/>
      <c r="F26" s="2819"/>
      <c r="G26" s="2769"/>
      <c r="H26" s="2769"/>
      <c r="I26" s="2769"/>
      <c r="J26" s="2820"/>
      <c r="K26" s="1368"/>
      <c r="L26" s="2773" t="s">
        <v>2809</v>
      </c>
      <c r="M26" s="918" t="s">
        <v>2874</v>
      </c>
      <c r="N26" s="918" t="s">
        <v>2875</v>
      </c>
      <c r="O26" s="918" t="s">
        <v>2876</v>
      </c>
      <c r="P26" s="2774" t="s">
        <v>2877</v>
      </c>
      <c r="R26" s="1374"/>
      <c r="S26" s="1374"/>
      <c r="T26" s="1369"/>
      <c r="U26" s="1369"/>
      <c r="V26" s="1369"/>
      <c r="W26" s="1368"/>
      <c r="X26" s="1368"/>
      <c r="Y26" s="1368"/>
      <c r="Z26" s="1375"/>
      <c r="AA26" s="1376"/>
      <c r="AB26" s="1376"/>
      <c r="AC26" s="1376"/>
      <c r="AD26" s="1376"/>
    </row>
    <row r="27" spans="1:37" ht="15.75" thickBot="1">
      <c r="A27" s="2817"/>
      <c r="B27" s="2821" t="s">
        <v>2913</v>
      </c>
      <c r="C27" s="929" t="e">
        <f>E30+SUM(I33:I39)</f>
        <v>#DIV/0!</v>
      </c>
      <c r="D27" s="2822"/>
      <c r="E27" s="2823"/>
      <c r="F27" s="2824"/>
      <c r="G27" s="2823"/>
      <c r="H27" s="2823"/>
      <c r="I27" s="2823"/>
      <c r="J27" s="2825"/>
      <c r="K27" s="1368"/>
      <c r="L27" s="2777" t="s">
        <v>2881</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6"/>
      <c r="B28" s="2827" t="s">
        <v>2914</v>
      </c>
      <c r="C28" s="2828" t="s">
        <v>2915</v>
      </c>
      <c r="D28" s="2828" t="s">
        <v>2916</v>
      </c>
      <c r="E28" s="2829" t="s">
        <v>2917</v>
      </c>
      <c r="F28" s="2830"/>
      <c r="G28" s="2757"/>
      <c r="H28" s="2757"/>
      <c r="I28" s="2757"/>
      <c r="J28" s="2758"/>
      <c r="K28" s="1368"/>
      <c r="L28" s="2778" t="s">
        <v>2884</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1"/>
      <c r="B29" s="2832" t="s">
        <v>2918</v>
      </c>
      <c r="C29" s="205" t="e">
        <f>ROUND(C5*C18*C19*C20*C21*C24,0)</f>
        <v>#DIV/0!</v>
      </c>
      <c r="D29" s="2833"/>
      <c r="E29" s="940" t="e">
        <f>ROUND(C29*D29/10000,0)</f>
        <v>#DIV/0!</v>
      </c>
      <c r="F29" s="2834" t="s">
        <v>2919</v>
      </c>
      <c r="G29" s="2835"/>
      <c r="H29" s="2835"/>
      <c r="I29" s="2835"/>
      <c r="J29" s="2836"/>
      <c r="K29" s="1368"/>
      <c r="L29" s="1368"/>
      <c r="M29" s="1368"/>
      <c r="N29" s="1368"/>
      <c r="O29" s="1373"/>
      <c r="P29" s="1373"/>
      <c r="Q29" s="1374"/>
      <c r="R29" s="1374"/>
      <c r="S29" s="1374"/>
      <c r="T29" s="1369"/>
      <c r="U29" s="1369"/>
      <c r="V29" s="1369"/>
      <c r="W29" s="1368"/>
      <c r="X29" s="1368"/>
      <c r="Y29" s="1368"/>
      <c r="Z29" s="1375"/>
      <c r="AA29" s="1376"/>
      <c r="AB29" s="1376"/>
      <c r="AC29" s="1376"/>
      <c r="AD29" s="1376"/>
      <c r="AE29" s="2779"/>
      <c r="AF29" s="2779"/>
      <c r="AG29" s="2716"/>
      <c r="AH29" s="2716"/>
      <c r="AI29" s="2716"/>
      <c r="AJ29" s="2716"/>
    </row>
    <row r="30" spans="1:37" ht="25.5" thickBot="1">
      <c r="A30" s="2837"/>
      <c r="B30" s="2838" t="s">
        <v>2920</v>
      </c>
      <c r="C30" s="228" t="e">
        <f>ROUND(IF(E2="工业",C29*M39,C29*M38),0)</f>
        <v>#DIV/0!</v>
      </c>
      <c r="D30" s="2839"/>
      <c r="E30" s="940" t="e">
        <f>ROUND(C30*D30/10000,0)</f>
        <v>#DIV/0!</v>
      </c>
      <c r="F30" s="2840" t="s">
        <v>2921</v>
      </c>
      <c r="G30" s="2841"/>
      <c r="H30" s="2841"/>
      <c r="I30" s="2841"/>
      <c r="J30" s="2842"/>
      <c r="K30" s="1368"/>
      <c r="L30" s="1368"/>
      <c r="M30" s="1368"/>
      <c r="N30" s="1368"/>
      <c r="O30" s="1373"/>
      <c r="P30" s="1373"/>
      <c r="Q30" s="1374"/>
      <c r="R30" s="1374"/>
      <c r="S30" s="1374"/>
      <c r="T30" s="1369"/>
      <c r="U30" s="1369"/>
      <c r="V30" s="1369"/>
      <c r="W30" s="1368"/>
      <c r="X30" s="1368"/>
      <c r="Y30" s="1368"/>
      <c r="Z30" s="1375"/>
      <c r="AA30" s="1376"/>
      <c r="AB30" s="1376"/>
      <c r="AC30" s="1376"/>
      <c r="AD30" s="1376"/>
      <c r="AE30" s="2779"/>
      <c r="AF30" s="2779"/>
      <c r="AG30" s="2716"/>
      <c r="AH30" s="2716"/>
      <c r="AI30" s="2716"/>
      <c r="AJ30" s="2716"/>
    </row>
    <row r="31" spans="1:37" ht="14.25">
      <c r="A31" s="2843"/>
      <c r="B31" s="2844" t="s">
        <v>2922</v>
      </c>
      <c r="C31" s="2845" t="s">
        <v>2923</v>
      </c>
      <c r="D31" s="2757"/>
      <c r="E31" s="2845"/>
      <c r="F31" s="2845"/>
      <c r="G31" s="2755" t="s">
        <v>2924</v>
      </c>
      <c r="H31" s="2757"/>
      <c r="I31" s="2846"/>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79"/>
      <c r="AF31" s="2779"/>
      <c r="AG31" s="2716"/>
      <c r="AH31" s="2716"/>
      <c r="AI31" s="2716"/>
      <c r="AJ31" s="2716"/>
    </row>
    <row r="32" spans="1:37" ht="24">
      <c r="A32" s="2831"/>
      <c r="B32" s="2847"/>
      <c r="C32" s="500" t="s">
        <v>2915</v>
      </c>
      <c r="D32" s="497" t="s">
        <v>2916</v>
      </c>
      <c r="E32" s="497" t="s">
        <v>2917</v>
      </c>
      <c r="F32" s="387" t="s">
        <v>2925</v>
      </c>
      <c r="G32" s="2848" t="s">
        <v>2915</v>
      </c>
      <c r="H32" s="2848" t="s">
        <v>2916</v>
      </c>
      <c r="I32" s="2848" t="s">
        <v>2917</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9"/>
      <c r="AF32" s="2779"/>
      <c r="AG32" s="2716"/>
      <c r="AH32" s="2716"/>
      <c r="AI32" s="2716"/>
      <c r="AJ32" s="2716"/>
    </row>
    <row r="33" spans="1:37" ht="36" customHeight="1">
      <c r="A33" s="3306" t="s">
        <v>2926</v>
      </c>
      <c r="B33" s="2849" t="s">
        <v>2927</v>
      </c>
      <c r="C33" s="205" t="e">
        <f>ROUND(D5*C19*C20*C24*F33,0)</f>
        <v>#DIV/0!</v>
      </c>
      <c r="D33" s="2833"/>
      <c r="E33" s="199" t="e">
        <f>ROUND(C33*D33/10000,0)</f>
        <v>#DIV/0!</v>
      </c>
      <c r="F33" s="199">
        <f>SUMIF(修正!A45:A56,G2,修正!B45:B56)</f>
        <v>0</v>
      </c>
      <c r="G33" s="199" t="e">
        <f t="shared" ref="G33" si="6">ROUND(IF(E2="工业",C33*$M$39,C33*$M$38),0)</f>
        <v>#DIV/0!</v>
      </c>
      <c r="H33" s="199">
        <f>D33</f>
        <v>0</v>
      </c>
      <c r="I33" s="199" t="e">
        <f>ROUND(G33*H33/10000,0)</f>
        <v>#DIV/0!</v>
      </c>
      <c r="J33" s="285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7"/>
      <c r="B34" s="2761" t="s">
        <v>2928</v>
      </c>
      <c r="C34" s="205" t="e">
        <f>ROUND(D5*C19*C20*C24*F34,0)</f>
        <v>#DIV/0!</v>
      </c>
      <c r="D34" s="2833"/>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7"/>
      <c r="B35" s="2761" t="s">
        <v>2929</v>
      </c>
      <c r="C35" s="205" t="e">
        <f>ROUND(D5*C19*C20*C24*F35,0)</f>
        <v>#DIV/0!</v>
      </c>
      <c r="D35" s="2833"/>
      <c r="E35" s="199" t="e">
        <f t="shared" si="7"/>
        <v>#DIV/0!</v>
      </c>
      <c r="F35" s="199">
        <f>SUMIF(修正!A45:A56,G2,修正!D45:D56)</f>
        <v>0</v>
      </c>
      <c r="G35" s="199" t="e">
        <f>ROUND(IF(E2="工业",C35*$M$39,C35*$M$38),0)</f>
        <v>#DIV/0!</v>
      </c>
      <c r="H35" s="199">
        <f t="shared" si="8"/>
        <v>0</v>
      </c>
      <c r="I35" s="199" t="e">
        <f t="shared" si="9"/>
        <v>#DIV/0!</v>
      </c>
      <c r="J35" s="2850"/>
      <c r="K35" s="1368"/>
      <c r="L35" s="1368"/>
      <c r="M35" s="1368"/>
      <c r="N35" s="1368"/>
      <c r="O35" s="1368"/>
      <c r="P35" s="1368"/>
      <c r="Q35" s="1368"/>
      <c r="R35" s="1368"/>
      <c r="S35" s="1368"/>
      <c r="T35" s="1368"/>
      <c r="U35" s="1368"/>
      <c r="V35" s="1368"/>
      <c r="W35" s="1368"/>
      <c r="X35" s="1368"/>
      <c r="Y35" s="1368"/>
      <c r="Z35" s="1369"/>
    </row>
    <row r="36" spans="1:37" ht="13.5" thickBot="1">
      <c r="A36" s="3308"/>
      <c r="B36" s="2761" t="s">
        <v>2930</v>
      </c>
      <c r="C36" s="205" t="e">
        <f>ROUND(D5*C19*C20*C24*F36,0)</f>
        <v>#DIV/0!</v>
      </c>
      <c r="D36" s="2833"/>
      <c r="E36" s="199" t="e">
        <f t="shared" si="7"/>
        <v>#DIV/0!</v>
      </c>
      <c r="F36" s="199">
        <f>SUMIF(修正!A45:A56,G2,修正!E45:E56)</f>
        <v>0</v>
      </c>
      <c r="G36" s="199" t="e">
        <f>ROUND(IF(E2="工业",C36*$M$39,C36*$M$38),0)</f>
        <v>#DIV/0!</v>
      </c>
      <c r="H36" s="199">
        <f t="shared" si="8"/>
        <v>0</v>
      </c>
      <c r="I36" s="199" t="e">
        <f t="shared" si="9"/>
        <v>#DIV/0!</v>
      </c>
      <c r="J36" s="2850"/>
      <c r="K36" s="1368"/>
      <c r="L36" s="2715"/>
      <c r="M36" s="2715"/>
      <c r="N36" s="1368"/>
      <c r="O36" s="1368"/>
      <c r="P36" s="1368"/>
      <c r="Q36" s="1368"/>
      <c r="R36" s="1368"/>
      <c r="S36" s="1368"/>
      <c r="T36" s="1368"/>
      <c r="U36" s="1368"/>
      <c r="V36" s="1368"/>
      <c r="W36" s="1368"/>
      <c r="X36" s="1368"/>
      <c r="Y36" s="1368"/>
      <c r="Z36" s="1369"/>
    </row>
    <row r="37" spans="1:37">
      <c r="A37" s="2851"/>
      <c r="B37" s="2761" t="s">
        <v>2931</v>
      </c>
      <c r="C37" s="199" t="e">
        <f>ROUND(D5*C19*C20*C24*F37,0)</f>
        <v>#DIV/0!</v>
      </c>
      <c r="D37" s="2833"/>
      <c r="E37" s="199" t="e">
        <f t="shared" si="7"/>
        <v>#DIV/0!</v>
      </c>
      <c r="F37" s="205">
        <f>SUMIF(修正!A45:A56,G2,修正!F45:F56)</f>
        <v>0</v>
      </c>
      <c r="G37" s="199" t="e">
        <f>ROUND(IF(E2="工业",C37*$M$39,C37*$M$38),0)</f>
        <v>#DIV/0!</v>
      </c>
      <c r="H37" s="199">
        <f t="shared" si="8"/>
        <v>0</v>
      </c>
      <c r="I37" s="199" t="e">
        <f t="shared" si="9"/>
        <v>#DIV/0!</v>
      </c>
      <c r="J37" s="2850"/>
      <c r="K37" s="1368"/>
      <c r="L37" s="2852" t="s">
        <v>2932</v>
      </c>
      <c r="M37" s="2853"/>
      <c r="N37" s="1368"/>
      <c r="O37" s="1368"/>
      <c r="P37" s="1368"/>
      <c r="Q37" s="1368"/>
      <c r="R37" s="1368"/>
      <c r="S37" s="1368"/>
      <c r="T37" s="1368"/>
      <c r="U37" s="1368"/>
      <c r="V37" s="1368"/>
      <c r="W37" s="1368"/>
      <c r="X37" s="1368"/>
      <c r="Y37" s="1368"/>
      <c r="Z37" s="1369"/>
    </row>
    <row r="38" spans="1:37">
      <c r="A38" s="2851"/>
      <c r="B38" s="2761" t="s">
        <v>2933</v>
      </c>
      <c r="C38" s="199" t="e">
        <f>ROUND(D5*C19*C41*C24*F38,0)</f>
        <v>#DIV/0!</v>
      </c>
      <c r="D38" s="2833"/>
      <c r="E38" s="199" t="e">
        <f t="shared" si="7"/>
        <v>#DIV/0!</v>
      </c>
      <c r="F38" s="205">
        <f>SUMIF(修正!A45:A56,G2,修正!G45:G56)</f>
        <v>0</v>
      </c>
      <c r="G38" s="199" t="e">
        <f>ROUND(IF(E2="工业",C38*$M$39,C38*$M$38),0)</f>
        <v>#DIV/0!</v>
      </c>
      <c r="H38" s="199">
        <f t="shared" si="8"/>
        <v>0</v>
      </c>
      <c r="I38" s="199" t="e">
        <f t="shared" si="9"/>
        <v>#DIV/0!</v>
      </c>
      <c r="J38" s="2850"/>
      <c r="K38" s="1368"/>
      <c r="L38" s="1885" t="s">
        <v>2934</v>
      </c>
      <c r="M38" s="2854">
        <v>0.25</v>
      </c>
      <c r="N38" s="1368"/>
      <c r="O38" s="1368"/>
      <c r="P38" s="1368"/>
      <c r="Q38" s="1368"/>
      <c r="R38" s="1368"/>
      <c r="S38" s="1368"/>
      <c r="T38" s="1368"/>
      <c r="U38" s="1368"/>
      <c r="V38" s="1368"/>
      <c r="W38" s="1368"/>
      <c r="X38" s="1368"/>
      <c r="Y38" s="1368"/>
      <c r="Z38" s="1369"/>
    </row>
    <row r="39" spans="1:37" ht="13.5" thickBot="1">
      <c r="A39" s="2837"/>
      <c r="B39" s="2855" t="s">
        <v>2935</v>
      </c>
      <c r="C39" s="228" t="e">
        <f>ROUND(D5*C19*C41*C24*F39,0)</f>
        <v>#DIV/0!</v>
      </c>
      <c r="D39" s="2839"/>
      <c r="E39" s="228" t="e">
        <f t="shared" si="7"/>
        <v>#DIV/0!</v>
      </c>
      <c r="F39" s="930">
        <f>SUMIF(修正!A45:A56,G2,修正!H45:H56)</f>
        <v>0</v>
      </c>
      <c r="G39" s="228" t="e">
        <f>ROUND(IF(E2="工业",C39*$M$39,C39*$M$38),0)</f>
        <v>#DIV/0!</v>
      </c>
      <c r="H39" s="228">
        <f t="shared" si="8"/>
        <v>0</v>
      </c>
      <c r="I39" s="228" t="e">
        <f t="shared" si="9"/>
        <v>#DIV/0!</v>
      </c>
      <c r="J39" s="2856"/>
      <c r="K39" s="1368"/>
      <c r="L39" s="2857" t="s">
        <v>2877</v>
      </c>
      <c r="M39" s="285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6" t="s">
        <v>3046</v>
      </c>
      <c r="C41" s="387" t="e">
        <f>ROUND(POWER(1+E41,H41-G41)*(POWER(1+E41,G41)-1)/(POWER(1+E41,H41)-1),4)</f>
        <v>#DIV/0!</v>
      </c>
      <c r="D41" s="199" t="s">
        <v>2884</v>
      </c>
      <c r="E41" s="2925">
        <f>G20</f>
        <v>0</v>
      </c>
      <c r="F41" s="199" t="s">
        <v>2894</v>
      </c>
      <c r="G41" s="217"/>
      <c r="H41" s="199">
        <v>50</v>
      </c>
      <c r="Z41" s="1369"/>
      <c r="AA41" s="1369"/>
      <c r="AB41" s="1369"/>
      <c r="AC41" s="1369"/>
      <c r="AD41" s="1369"/>
      <c r="AE41" s="1369"/>
      <c r="AF41" s="1369"/>
      <c r="AG41" s="1369"/>
      <c r="AH41" s="1369"/>
      <c r="AI41" s="1369"/>
      <c r="AJ41" s="1369"/>
    </row>
    <row r="42" spans="1:37" s="1368" customFormat="1">
      <c r="A42" s="1369"/>
      <c r="B42" s="2859"/>
      <c r="Z42" s="1369"/>
      <c r="AA42" s="1369"/>
      <c r="AB42" s="1369"/>
      <c r="AC42" s="1369"/>
      <c r="AD42" s="1369"/>
      <c r="AE42" s="1369"/>
      <c r="AF42" s="1369"/>
      <c r="AG42" s="1369"/>
      <c r="AH42" s="1369"/>
      <c r="AI42" s="1369"/>
      <c r="AJ42" s="1369"/>
    </row>
    <row r="43" spans="1:37" s="1368" customFormat="1">
      <c r="A43" s="1369"/>
      <c r="B43" s="2859"/>
      <c r="Z43" s="1369"/>
      <c r="AA43" s="1369"/>
      <c r="AB43" s="1369"/>
      <c r="AC43" s="1369"/>
      <c r="AD43" s="1369"/>
      <c r="AE43" s="1369"/>
      <c r="AF43" s="1369"/>
      <c r="AG43" s="1369"/>
      <c r="AH43" s="1369"/>
      <c r="AI43" s="1369"/>
      <c r="AJ43" s="1369"/>
    </row>
    <row r="44" spans="1:37" s="1368" customFormat="1">
      <c r="A44" s="1369"/>
      <c r="B44" s="2859"/>
      <c r="Z44" s="1369"/>
      <c r="AA44" s="1369"/>
      <c r="AB44" s="1369"/>
      <c r="AC44" s="1369"/>
      <c r="AD44" s="1369"/>
      <c r="AE44" s="1369"/>
      <c r="AF44" s="1369"/>
      <c r="AG44" s="1369"/>
      <c r="AH44" s="1369"/>
      <c r="AI44" s="1369"/>
      <c r="AJ44" s="1369"/>
    </row>
    <row r="45" spans="1:37" s="1368" customFormat="1" ht="15.75" thickBot="1">
      <c r="A45" s="2860" t="s">
        <v>2936</v>
      </c>
      <c r="B45" s="2861"/>
      <c r="C45" s="7"/>
      <c r="D45" s="7"/>
      <c r="E45" s="7"/>
      <c r="F45" s="6"/>
      <c r="G45" s="6"/>
      <c r="H45" s="6"/>
      <c r="I45" s="7"/>
      <c r="J45" s="7"/>
      <c r="K45" s="7"/>
      <c r="L45" s="7"/>
      <c r="M45" s="7"/>
      <c r="N45" s="2779"/>
      <c r="Z45" s="1369"/>
      <c r="AA45" s="1369"/>
      <c r="AB45" s="1369"/>
      <c r="AC45" s="1369"/>
      <c r="AD45" s="1369"/>
      <c r="AE45" s="1369"/>
      <c r="AF45" s="1369"/>
      <c r="AG45" s="1369"/>
      <c r="AH45" s="1369"/>
      <c r="AI45" s="1369"/>
      <c r="AJ45" s="1369"/>
    </row>
    <row r="46" spans="1:37" s="1368" customFormat="1" ht="15">
      <c r="A46" s="2862" t="s">
        <v>2937</v>
      </c>
      <c r="B46" s="2863">
        <f>1+E48</f>
        <v>1</v>
      </c>
      <c r="C46" s="2864"/>
      <c r="D46" s="812"/>
      <c r="E46" s="813"/>
      <c r="F46" s="2865"/>
      <c r="G46" s="6"/>
      <c r="H46" s="7"/>
      <c r="I46" s="7"/>
      <c r="J46" s="7"/>
      <c r="K46" s="7"/>
      <c r="L46" s="7"/>
      <c r="M46" s="7"/>
      <c r="N46" s="2779"/>
      <c r="Z46" s="1369"/>
      <c r="AA46" s="1369"/>
      <c r="AB46" s="1369"/>
      <c r="AC46" s="1369"/>
      <c r="AD46" s="1369"/>
      <c r="AE46" s="1369"/>
      <c r="AF46" s="1369"/>
      <c r="AG46" s="1369"/>
      <c r="AH46" s="1369"/>
      <c r="AI46" s="1369"/>
      <c r="AJ46" s="1369"/>
    </row>
    <row r="47" spans="1:37" s="1368" customFormat="1" ht="24.75">
      <c r="A47" s="2866" t="s">
        <v>2938</v>
      </c>
      <c r="B47" s="1807" t="s">
        <v>2939</v>
      </c>
      <c r="C47" s="1807" t="s">
        <v>2940</v>
      </c>
      <c r="D47" s="1807" t="s">
        <v>2941</v>
      </c>
      <c r="E47" s="817" t="s">
        <v>2942</v>
      </c>
      <c r="F47" s="2867" t="s">
        <v>2943</v>
      </c>
      <c r="G47" s="1807" t="s">
        <v>754</v>
      </c>
      <c r="H47" s="2868" t="s">
        <v>2944</v>
      </c>
      <c r="I47" s="1807" t="s">
        <v>2945</v>
      </c>
      <c r="J47" s="602" t="s">
        <v>2592</v>
      </c>
      <c r="K47" s="602" t="s">
        <v>2593</v>
      </c>
      <c r="L47" s="602" t="s">
        <v>2594</v>
      </c>
      <c r="M47" s="602" t="s">
        <v>2595</v>
      </c>
      <c r="N47" s="602" t="s">
        <v>2596</v>
      </c>
      <c r="AA47" s="1369"/>
      <c r="AB47" s="1369"/>
      <c r="AC47" s="1369"/>
      <c r="AD47" s="1369"/>
      <c r="AE47" s="1369"/>
      <c r="AF47" s="1369"/>
      <c r="AG47" s="1369"/>
      <c r="AH47" s="1369"/>
      <c r="AI47" s="1369"/>
      <c r="AJ47" s="1369"/>
      <c r="AK47" s="1369"/>
    </row>
    <row r="48" spans="1:37" s="1368" customFormat="1" ht="76.5">
      <c r="A48" s="2866" t="s">
        <v>2946</v>
      </c>
      <c r="B48" s="2869" t="str">
        <f>估价对象房地状况!C4</f>
        <v>估价对象位于泰兴市，周边商业氛围较为成熟，有鼓楼购物中心、南京宝隆时代广场等商业项目，人流量一般，商业繁华度一般。</v>
      </c>
      <c r="C48" s="2766"/>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6" t="s">
        <v>2947</v>
      </c>
      <c r="B49" s="2870" t="str">
        <f>估价对象房地状况!C18</f>
        <v>估价对象位于泰兴市，周边商业氛围较为成熟，有鼓楼购物中心、南京宝隆时代广场等商业项目，人流量一般，商业繁华度一般。</v>
      </c>
      <c r="C49" s="2766"/>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6" t="s">
        <v>2948</v>
      </c>
      <c r="B50" s="2870">
        <f>估价对象房地状况!C19</f>
        <v>0</v>
      </c>
      <c r="C50" s="2766"/>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6" t="s">
        <v>2949</v>
      </c>
      <c r="B51" s="2871" t="s">
        <v>2950</v>
      </c>
      <c r="C51" s="2766"/>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6" t="s">
        <v>2951</v>
      </c>
      <c r="B52" s="2870" t="str">
        <f>估价对象房地状况!C24</f>
        <v>城市次干道——大庆中路</v>
      </c>
      <c r="C52" s="2766"/>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6" t="s">
        <v>2952</v>
      </c>
      <c r="B53" s="2872" t="s">
        <v>2953</v>
      </c>
      <c r="C53" s="2766"/>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3" t="s">
        <v>2954</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6"/>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3" t="s">
        <v>2955</v>
      </c>
      <c r="B55" s="2870" t="str">
        <f>估价对象房地状况!C22</f>
        <v>估价对象所在区域基础设施水平达到“六通”。</v>
      </c>
      <c r="C55" s="2766"/>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4" t="s">
        <v>2956</v>
      </c>
      <c r="B56" s="2875" t="str">
        <f>估价对象房地状况!C20</f>
        <v>区域自然环境：仙鹤湾风光带、泰兴公园；人文环境：泰兴市博物馆；综合评价环境状况较好。</v>
      </c>
      <c r="C56" s="2766"/>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2" t="s">
        <v>2957</v>
      </c>
      <c r="B57" s="2863">
        <f>1+E59</f>
        <v>1</v>
      </c>
      <c r="C57" s="812"/>
      <c r="D57" s="812"/>
      <c r="E57" s="813"/>
      <c r="F57" s="286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6" t="s">
        <v>2938</v>
      </c>
      <c r="B58" s="1807"/>
      <c r="C58" s="1807" t="s">
        <v>2940</v>
      </c>
      <c r="D58" s="1807" t="s">
        <v>2941</v>
      </c>
      <c r="E58" s="817" t="s">
        <v>2942</v>
      </c>
      <c r="F58" s="2867" t="s">
        <v>2958</v>
      </c>
      <c r="G58" s="1807" t="s">
        <v>754</v>
      </c>
      <c r="H58" s="2868" t="s">
        <v>2944</v>
      </c>
      <c r="I58" s="1807" t="s">
        <v>2945</v>
      </c>
      <c r="J58" s="602" t="s">
        <v>2592</v>
      </c>
      <c r="K58" s="602" t="s">
        <v>2593</v>
      </c>
      <c r="L58" s="602" t="s">
        <v>2594</v>
      </c>
      <c r="M58" s="602" t="s">
        <v>2595</v>
      </c>
      <c r="N58" s="602" t="s">
        <v>2596</v>
      </c>
      <c r="AA58" s="1369"/>
      <c r="AB58" s="1369"/>
      <c r="AC58" s="1369"/>
      <c r="AD58" s="1369"/>
      <c r="AE58" s="1369"/>
      <c r="AF58" s="1369"/>
      <c r="AG58" s="1369"/>
      <c r="AH58" s="1369"/>
      <c r="AI58" s="1369"/>
      <c r="AJ58" s="1369"/>
      <c r="AK58" s="1369"/>
    </row>
    <row r="59" spans="1:37" s="1368" customFormat="1" ht="24">
      <c r="A59" s="2866" t="s">
        <v>2959</v>
      </c>
      <c r="B59" s="2869">
        <f>估价对象房地状况!C17</f>
        <v>0</v>
      </c>
      <c r="C59" s="2766"/>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6" t="s">
        <v>2947</v>
      </c>
      <c r="B60" s="2870" t="str">
        <f>估价对象房地状况!C18</f>
        <v>估价对象位于泰兴市，周边商业氛围较为成熟，有鼓楼购物中心、南京宝隆时代广场等商业项目，人流量一般，商业繁华度一般。</v>
      </c>
      <c r="C60" s="2766"/>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6" t="s">
        <v>2948</v>
      </c>
      <c r="B61" s="2870">
        <f>估价对象房地状况!C19</f>
        <v>0</v>
      </c>
      <c r="C61" s="2766"/>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6" t="s">
        <v>2949</v>
      </c>
      <c r="B62" s="2871" t="s">
        <v>2950</v>
      </c>
      <c r="C62" s="2766"/>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6" t="s">
        <v>2951</v>
      </c>
      <c r="B63" s="2870" t="str">
        <f>估价对象房地状况!C24</f>
        <v>城市次干道——大庆中路</v>
      </c>
      <c r="C63" s="2766"/>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6" t="s">
        <v>2952</v>
      </c>
      <c r="B64" s="2872" t="s">
        <v>2953</v>
      </c>
      <c r="C64" s="2766"/>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6" t="s">
        <v>2954</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6"/>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6" t="s">
        <v>2955</v>
      </c>
      <c r="B66" s="1723" t="str">
        <f>估价对象房地状况!C22</f>
        <v>估价对象所在区域基础设施水平达到“六通”。</v>
      </c>
      <c r="C66" s="2766"/>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4" t="s">
        <v>2956</v>
      </c>
      <c r="B67" s="2876" t="str">
        <f>估价对象房地状况!C20</f>
        <v>区域自然环境：仙鹤湾风光带、泰兴公园；人文环境：泰兴市博物馆；综合评价环境状况较好。</v>
      </c>
      <c r="C67" s="2766"/>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2" t="s">
        <v>2960</v>
      </c>
      <c r="B68" s="2863">
        <f>1+E70</f>
        <v>1</v>
      </c>
      <c r="C68" s="812"/>
      <c r="D68" s="812"/>
      <c r="E68" s="813"/>
      <c r="F68" s="286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6" t="s">
        <v>2938</v>
      </c>
      <c r="B69" s="1807"/>
      <c r="C69" s="1807" t="s">
        <v>2940</v>
      </c>
      <c r="D69" s="1807" t="s">
        <v>2941</v>
      </c>
      <c r="E69" s="817" t="s">
        <v>2942</v>
      </c>
      <c r="F69" s="2867" t="s">
        <v>2958</v>
      </c>
      <c r="G69" s="1807" t="s">
        <v>754</v>
      </c>
      <c r="H69" s="2868" t="s">
        <v>2944</v>
      </c>
      <c r="I69" s="1807" t="s">
        <v>2945</v>
      </c>
      <c r="J69" s="602" t="s">
        <v>2592</v>
      </c>
      <c r="K69" s="602" t="s">
        <v>2593</v>
      </c>
      <c r="L69" s="602" t="s">
        <v>2594</v>
      </c>
      <c r="M69" s="602" t="s">
        <v>2595</v>
      </c>
      <c r="N69" s="602" t="s">
        <v>2596</v>
      </c>
      <c r="AA69" s="1369"/>
      <c r="AB69" s="1369"/>
      <c r="AC69" s="1369"/>
      <c r="AD69" s="1369"/>
      <c r="AE69" s="1369"/>
      <c r="AF69" s="1369"/>
      <c r="AG69" s="1369"/>
      <c r="AH69" s="1369"/>
      <c r="AI69" s="1369"/>
      <c r="AJ69" s="1369"/>
      <c r="AK69" s="1369"/>
    </row>
    <row r="70" spans="1:37" s="1368" customFormat="1" ht="24">
      <c r="A70" s="2866" t="s">
        <v>2961</v>
      </c>
      <c r="B70" s="2869">
        <f>估价对象房地状况!C15</f>
        <v>0</v>
      </c>
      <c r="C70" s="2766"/>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6" t="s">
        <v>2947</v>
      </c>
      <c r="B71" s="2870" t="str">
        <f>估价对象房地状况!C18</f>
        <v>估价对象位于泰兴市，周边商业氛围较为成熟，有鼓楼购物中心、南京宝隆时代广场等商业项目，人流量一般，商业繁华度一般。</v>
      </c>
      <c r="C71" s="2766"/>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6" t="s">
        <v>2948</v>
      </c>
      <c r="B72" s="2870">
        <f>估价对象房地状况!C19</f>
        <v>0</v>
      </c>
      <c r="C72" s="2766"/>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6" t="s">
        <v>2962</v>
      </c>
      <c r="B73" s="2870" t="str">
        <f>估价对象房地状况!C24</f>
        <v>城市次干道——大庆中路</v>
      </c>
      <c r="C73" s="2766"/>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6" t="s">
        <v>2954</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6"/>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6" t="s">
        <v>2955</v>
      </c>
      <c r="B75" s="1723" t="str">
        <f>估价对象房地状况!C22</f>
        <v>估价对象所在区域基础设施水平达到“六通”。</v>
      </c>
      <c r="C75" s="2766"/>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66" t="s">
        <v>2952</v>
      </c>
      <c r="B76" s="2872" t="s">
        <v>2953</v>
      </c>
      <c r="C76" s="2766"/>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7"/>
      <c r="AB76" s="1369"/>
      <c r="AC76" s="1369"/>
      <c r="AD76" s="1369"/>
      <c r="AE76" s="1369"/>
      <c r="AF76" s="1369"/>
      <c r="AG76" s="1369"/>
      <c r="AH76" s="2877"/>
      <c r="AI76" s="2877"/>
      <c r="AJ76" s="2877"/>
      <c r="AK76" s="2877"/>
    </row>
    <row r="77" spans="1:37" ht="51">
      <c r="A77" s="2866" t="s">
        <v>2956</v>
      </c>
      <c r="B77" s="2869" t="str">
        <f>估价对象房地状况!C20</f>
        <v>区域自然环境：仙鹤湾风光带、泰兴公园；人文环境：泰兴市博物馆；综合评价环境状况较好。</v>
      </c>
      <c r="C77" s="2766"/>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6"/>
      <c r="AA77" s="2784"/>
      <c r="AG77" s="1370"/>
      <c r="AK77" s="2784"/>
    </row>
    <row r="78" spans="1:37" ht="24.75" thickBot="1">
      <c r="A78" s="2874" t="s">
        <v>2963</v>
      </c>
      <c r="B78" s="2878"/>
      <c r="C78" s="2766"/>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6"/>
      <c r="AA78" s="2784"/>
      <c r="AG78" s="1370"/>
      <c r="AK78" s="2784"/>
    </row>
    <row r="79" spans="1:37" ht="15">
      <c r="A79" s="2862" t="s">
        <v>2964</v>
      </c>
      <c r="B79" s="2863">
        <f>1+E81</f>
        <v>1</v>
      </c>
      <c r="C79" s="812"/>
      <c r="D79" s="812"/>
      <c r="E79" s="813"/>
      <c r="F79" s="2865"/>
      <c r="G79" s="6"/>
      <c r="H79" s="6"/>
      <c r="I79" s="6"/>
      <c r="J79" s="7"/>
      <c r="K79" s="7"/>
      <c r="L79" s="7"/>
      <c r="M79" s="7"/>
      <c r="N79" s="7"/>
      <c r="Z79" s="2716"/>
      <c r="AA79" s="2784"/>
      <c r="AG79" s="1370"/>
      <c r="AK79" s="2784"/>
    </row>
    <row r="80" spans="1:37" ht="24.75">
      <c r="A80" s="2866" t="s">
        <v>2938</v>
      </c>
      <c r="B80" s="1807"/>
      <c r="C80" s="1807" t="s">
        <v>2940</v>
      </c>
      <c r="D80" s="1807" t="s">
        <v>2941</v>
      </c>
      <c r="E80" s="817" t="s">
        <v>2942</v>
      </c>
      <c r="F80" s="2867" t="s">
        <v>2958</v>
      </c>
      <c r="G80" s="1807" t="s">
        <v>754</v>
      </c>
      <c r="H80" s="2868" t="s">
        <v>2944</v>
      </c>
      <c r="I80" s="1807" t="s">
        <v>2945</v>
      </c>
      <c r="J80" s="602" t="s">
        <v>2592</v>
      </c>
      <c r="K80" s="602" t="s">
        <v>2593</v>
      </c>
      <c r="L80" s="602" t="s">
        <v>2594</v>
      </c>
      <c r="M80" s="602" t="s">
        <v>2595</v>
      </c>
      <c r="N80" s="602" t="s">
        <v>2596</v>
      </c>
      <c r="Z80" s="2716"/>
      <c r="AA80" s="2784"/>
      <c r="AG80" s="1370"/>
      <c r="AK80" s="2784"/>
    </row>
    <row r="81" spans="1:37" ht="38.25">
      <c r="A81" s="2866" t="s">
        <v>2965</v>
      </c>
      <c r="B81" s="2870" t="str">
        <f>估价对象房地状况!G15</f>
        <v>估价对象位于XX开发区，园区建设成熟度XX，产业集聚程度XX</v>
      </c>
      <c r="C81" s="2766"/>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6"/>
      <c r="AA81" s="2784"/>
      <c r="AG81" s="1370"/>
      <c r="AK81" s="2784"/>
    </row>
    <row r="82" spans="1:37" ht="51">
      <c r="A82" s="2866" t="s">
        <v>2947</v>
      </c>
      <c r="B82" s="2870" t="str">
        <f>估价对象房地状况!G16</f>
        <v>估价对象周边道路状况、公共交通通达情况、停车便捷程度，综合评价交通便捷度较好</v>
      </c>
      <c r="C82" s="2766"/>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6"/>
      <c r="AA82" s="2784"/>
      <c r="AG82" s="1370"/>
      <c r="AK82" s="2784"/>
    </row>
    <row r="83" spans="1:37" ht="24">
      <c r="A83" s="2866" t="s">
        <v>2948</v>
      </c>
      <c r="B83" s="2870">
        <f>估价对象房地状况!G17</f>
        <v>0</v>
      </c>
      <c r="C83" s="2766"/>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6"/>
      <c r="AA83" s="2784"/>
      <c r="AG83" s="1370"/>
      <c r="AK83" s="2784"/>
    </row>
    <row r="84" spans="1:37" ht="14.25">
      <c r="A84" s="2866" t="s">
        <v>2962</v>
      </c>
      <c r="B84" s="2870">
        <f>估价对象房地状况!G22</f>
        <v>0</v>
      </c>
      <c r="C84" s="2766"/>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6"/>
      <c r="AA84" s="2784"/>
      <c r="AG84" s="1370"/>
      <c r="AK84" s="2784"/>
    </row>
    <row r="85" spans="1:37" ht="25.5">
      <c r="A85" s="2866" t="s">
        <v>2954</v>
      </c>
      <c r="B85" s="1723" t="str">
        <f>估价对象房地状况!G19</f>
        <v>估价对象所在区域公共配套设施齐备情况</v>
      </c>
      <c r="C85" s="2766"/>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6"/>
      <c r="AA85" s="2784"/>
      <c r="AG85" s="1370"/>
      <c r="AK85" s="2784"/>
    </row>
    <row r="86" spans="1:37" ht="25.5">
      <c r="A86" s="2866" t="s">
        <v>2955</v>
      </c>
      <c r="B86" s="1723" t="str">
        <f>估价对象房地状况!G20</f>
        <v>估价对象所在区域基础设施水平</v>
      </c>
      <c r="C86" s="2766"/>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6"/>
      <c r="AA86" s="2784"/>
      <c r="AG86" s="1370"/>
      <c r="AK86" s="2784"/>
    </row>
    <row r="87" spans="1:37" ht="24">
      <c r="A87" s="2866" t="s">
        <v>2952</v>
      </c>
      <c r="B87" s="2872" t="s">
        <v>2966</v>
      </c>
      <c r="C87" s="2766"/>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6"/>
      <c r="AA87" s="2784"/>
      <c r="AG87" s="1370"/>
      <c r="AK87" s="2784"/>
    </row>
    <row r="88" spans="1:37" ht="39" thickBot="1">
      <c r="A88" s="2874" t="s">
        <v>2967</v>
      </c>
      <c r="B88" s="2879" t="str">
        <f>估价对象房地状况!G18</f>
        <v>该园区内是否有污染型企业，绿化情况，卫生条件，整体环境状况判断</v>
      </c>
      <c r="C88" s="2766"/>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6"/>
      <c r="AA88" s="2784"/>
      <c r="AG88" s="1370"/>
      <c r="AK88" s="2784"/>
    </row>
    <row r="90" spans="1:37">
      <c r="A90" s="3300" t="s">
        <v>2968</v>
      </c>
      <c r="B90" s="3300"/>
      <c r="C90" s="3300"/>
      <c r="D90" s="3300"/>
      <c r="E90" s="3300"/>
      <c r="F90" s="3300"/>
      <c r="G90" s="3300"/>
      <c r="H90" s="3300"/>
      <c r="I90" s="3300"/>
      <c r="J90" s="3300"/>
      <c r="K90" s="2880"/>
      <c r="L90" s="2880"/>
      <c r="M90" s="2880"/>
      <c r="N90" s="2880"/>
    </row>
    <row r="91" spans="1:37">
      <c r="A91" s="3302" t="s">
        <v>2969</v>
      </c>
      <c r="B91" s="3302" t="s">
        <v>2970</v>
      </c>
      <c r="C91" s="2834" t="s">
        <v>2971</v>
      </c>
      <c r="D91" s="2835"/>
      <c r="E91" s="2835"/>
      <c r="F91" s="2835"/>
      <c r="G91" s="2835"/>
      <c r="H91" s="2835"/>
      <c r="I91" s="2835"/>
      <c r="J91" s="2881"/>
      <c r="K91" s="2882"/>
      <c r="L91" s="2882"/>
      <c r="M91" s="2882"/>
      <c r="N91" s="2882"/>
    </row>
    <row r="92" spans="1:37">
      <c r="A92" s="3302"/>
      <c r="B92" s="3302"/>
      <c r="C92" s="940" t="s">
        <v>2836</v>
      </c>
      <c r="D92" s="940" t="s">
        <v>2837</v>
      </c>
      <c r="E92" s="940" t="s">
        <v>2838</v>
      </c>
      <c r="F92" s="940" t="s">
        <v>2839</v>
      </c>
      <c r="G92" s="940" t="s">
        <v>2840</v>
      </c>
      <c r="H92" s="940" t="s">
        <v>2841</v>
      </c>
      <c r="I92" s="940" t="s">
        <v>2842</v>
      </c>
      <c r="J92" s="940" t="s">
        <v>2843</v>
      </c>
      <c r="K92" s="940" t="s">
        <v>2844</v>
      </c>
      <c r="L92" s="940" t="s">
        <v>2845</v>
      </c>
      <c r="M92" s="940" t="s">
        <v>2846</v>
      </c>
      <c r="N92" s="940" t="s">
        <v>2847</v>
      </c>
    </row>
    <row r="93" spans="1:37">
      <c r="A93" s="3303" t="s">
        <v>2972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4"/>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4"/>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4"/>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4"/>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4"/>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4"/>
      <c r="B99" s="2883" t="s">
        <v>2852</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05"/>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03" t="s">
        <v>2973</v>
      </c>
      <c r="B101" s="2887" t="s">
        <v>2974</v>
      </c>
      <c r="C101" s="2888" t="e">
        <f>$G$3</f>
        <v>#DIV/0!</v>
      </c>
      <c r="D101" s="2888" t="e">
        <f t="shared" ref="D101:N101" si="31">$G$3</f>
        <v>#DIV/0!</v>
      </c>
      <c r="E101" s="2888" t="e">
        <f t="shared" si="31"/>
        <v>#DIV/0!</v>
      </c>
      <c r="F101" s="2888" t="e">
        <f t="shared" si="31"/>
        <v>#DIV/0!</v>
      </c>
      <c r="G101" s="2888" t="e">
        <f t="shared" si="31"/>
        <v>#DIV/0!</v>
      </c>
      <c r="H101" s="2888" t="e">
        <f t="shared" si="31"/>
        <v>#DIV/0!</v>
      </c>
      <c r="I101" s="2888" t="e">
        <f t="shared" si="31"/>
        <v>#DIV/0!</v>
      </c>
      <c r="J101" s="2888" t="e">
        <f t="shared" si="31"/>
        <v>#DIV/0!</v>
      </c>
      <c r="K101" s="2888" t="e">
        <f t="shared" si="31"/>
        <v>#DIV/0!</v>
      </c>
      <c r="L101" s="2888" t="e">
        <f t="shared" si="31"/>
        <v>#DIV/0!</v>
      </c>
      <c r="M101" s="2888" t="e">
        <f t="shared" si="31"/>
        <v>#DIV/0!</v>
      </c>
      <c r="N101" s="2888" t="e">
        <f t="shared" si="31"/>
        <v>#DIV/0!</v>
      </c>
    </row>
    <row r="102" spans="1:14">
      <c r="A102" s="3304"/>
      <c r="B102" s="2883">
        <v>1</v>
      </c>
      <c r="C102" s="2884" t="e">
        <f>1.9362/C101</f>
        <v>#DIV/0!</v>
      </c>
      <c r="D102" s="2884" t="e">
        <f>1.9362/D101</f>
        <v>#DIV/0!</v>
      </c>
      <c r="E102" s="2884" t="e">
        <f>1.8629/E101</f>
        <v>#DIV/0!</v>
      </c>
      <c r="F102" s="2884" t="e">
        <f>1.8629/F101</f>
        <v>#DIV/0!</v>
      </c>
      <c r="G102" s="2884" t="e">
        <f>1.8629/G101</f>
        <v>#DIV/0!</v>
      </c>
      <c r="H102" s="2884" t="e">
        <f>1.8629/H101</f>
        <v>#DIV/0!</v>
      </c>
      <c r="I102" s="2884" t="e">
        <f>1.8629/I101</f>
        <v>#DIV/0!</v>
      </c>
      <c r="J102" s="2884" t="e">
        <f>1.942/J101</f>
        <v>#DIV/0!</v>
      </c>
      <c r="K102" s="2884" t="e">
        <f>1.942/K101</f>
        <v>#DIV/0!</v>
      </c>
      <c r="L102" s="2884" t="e">
        <f>1.942/L101</f>
        <v>#DIV/0!</v>
      </c>
      <c r="M102" s="2884" t="e">
        <f>1.942/M101</f>
        <v>#DIV/0!</v>
      </c>
      <c r="N102" s="2884" t="e">
        <f>1.942/N101</f>
        <v>#DIV/0!</v>
      </c>
    </row>
    <row r="103" spans="1:14">
      <c r="A103" s="3304"/>
      <c r="B103" s="2883">
        <v>2</v>
      </c>
      <c r="C103" s="2884" t="e">
        <f>1.4198/C101</f>
        <v>#DIV/0!</v>
      </c>
      <c r="D103" s="2884" t="e">
        <f>1.4198/D101</f>
        <v>#DIV/0!</v>
      </c>
      <c r="E103" s="2884" t="e">
        <f>1.3372/E101</f>
        <v>#DIV/0!</v>
      </c>
      <c r="F103" s="2884" t="e">
        <f>1.3372/F101</f>
        <v>#DIV/0!</v>
      </c>
      <c r="G103" s="2884" t="e">
        <f>1.3372/G101</f>
        <v>#DIV/0!</v>
      </c>
      <c r="H103" s="2884" t="e">
        <f>1.3372/H101</f>
        <v>#DIV/0!</v>
      </c>
      <c r="I103" s="2884" t="e">
        <f>1.3372/I101</f>
        <v>#DIV/0!</v>
      </c>
      <c r="J103" s="2884" t="e">
        <f>1.2799/J101</f>
        <v>#DIV/0!</v>
      </c>
      <c r="K103" s="2884" t="e">
        <f>1.2799/K101</f>
        <v>#DIV/0!</v>
      </c>
      <c r="L103" s="2884" t="e">
        <f>1.2799/L101</f>
        <v>#DIV/0!</v>
      </c>
      <c r="M103" s="2884" t="e">
        <f>1.2799/M101</f>
        <v>#DIV/0!</v>
      </c>
      <c r="N103" s="2884" t="e">
        <f>1.2799/N101</f>
        <v>#DIV/0!</v>
      </c>
    </row>
    <row r="104" spans="1:14">
      <c r="A104" s="3304"/>
      <c r="B104" s="2883">
        <v>3</v>
      </c>
      <c r="C104" s="2884" t="e">
        <f>1.1594/C101</f>
        <v>#DIV/0!</v>
      </c>
      <c r="D104" s="2884" t="e">
        <f>1.1594/D101</f>
        <v>#DIV/0!</v>
      </c>
      <c r="E104" s="2884" t="e">
        <f>1.0788/E101</f>
        <v>#DIV/0!</v>
      </c>
      <c r="F104" s="2884" t="e">
        <f>1.0788/F101</f>
        <v>#DIV/0!</v>
      </c>
      <c r="G104" s="2884" t="e">
        <f>1.0788/G101</f>
        <v>#DIV/0!</v>
      </c>
      <c r="H104" s="2884" t="e">
        <f>1.0788/H101</f>
        <v>#DIV/0!</v>
      </c>
      <c r="I104" s="2884" t="e">
        <f>1.0788/I101</f>
        <v>#DIV/0!</v>
      </c>
      <c r="J104" s="2884" t="e">
        <f>1.0072/J101</f>
        <v>#DIV/0!</v>
      </c>
      <c r="K104" s="2884" t="e">
        <f>1.0072/K101</f>
        <v>#DIV/0!</v>
      </c>
      <c r="L104" s="2884" t="e">
        <f>1.0072/L101</f>
        <v>#DIV/0!</v>
      </c>
      <c r="M104" s="2884" t="e">
        <f>1.0072/M101</f>
        <v>#DIV/0!</v>
      </c>
      <c r="N104" s="2884" t="e">
        <f>1.0072/N101</f>
        <v>#DIV/0!</v>
      </c>
    </row>
    <row r="105" spans="1:14">
      <c r="A105" s="3304"/>
      <c r="B105" s="2883">
        <v>4</v>
      </c>
      <c r="C105" s="2884" t="e">
        <f>0.9622/C101</f>
        <v>#DIV/0!</v>
      </c>
      <c r="D105" s="2884" t="e">
        <f>0.9622/D101</f>
        <v>#DIV/0!</v>
      </c>
      <c r="E105" s="2884" t="e">
        <f>0.8656/E101</f>
        <v>#DIV/0!</v>
      </c>
      <c r="F105" s="2884" t="e">
        <f>0.8656/F101</f>
        <v>#DIV/0!</v>
      </c>
      <c r="G105" s="2884" t="e">
        <f>0.8656/G101</f>
        <v>#DIV/0!</v>
      </c>
      <c r="H105" s="2884" t="e">
        <f>0.8656/H101</f>
        <v>#DIV/0!</v>
      </c>
      <c r="I105" s="2884" t="e">
        <f>0.8656/I101</f>
        <v>#DIV/0!</v>
      </c>
      <c r="J105" s="2884" t="e">
        <f>0.7525/J101</f>
        <v>#DIV/0!</v>
      </c>
      <c r="K105" s="2884" t="e">
        <f>0.7525/K101</f>
        <v>#DIV/0!</v>
      </c>
      <c r="L105" s="2884" t="e">
        <f>0.7525/L101</f>
        <v>#DIV/0!</v>
      </c>
      <c r="M105" s="2884" t="e">
        <f>0.7525/M101</f>
        <v>#DIV/0!</v>
      </c>
      <c r="N105" s="2884" t="e">
        <f>0.7525/N101</f>
        <v>#DIV/0!</v>
      </c>
    </row>
    <row r="106" spans="1:14">
      <c r="A106" s="3304"/>
      <c r="B106" s="2883">
        <v>5</v>
      </c>
      <c r="C106" s="2884" t="e">
        <f>0.8417/C101</f>
        <v>#DIV/0!</v>
      </c>
      <c r="D106" s="2884" t="e">
        <f>0.8417/D101</f>
        <v>#DIV/0!</v>
      </c>
      <c r="E106" s="2884" t="e">
        <f>0.7371/E101</f>
        <v>#DIV/0!</v>
      </c>
      <c r="F106" s="2884" t="e">
        <f>0.7371/F101</f>
        <v>#DIV/0!</v>
      </c>
      <c r="G106" s="2884" t="e">
        <f>0.7371/G101</f>
        <v>#DIV/0!</v>
      </c>
      <c r="H106" s="2884" t="e">
        <f>0.7371/H101</f>
        <v>#DIV/0!</v>
      </c>
      <c r="I106" s="2884" t="e">
        <f>0.7371/I101</f>
        <v>#DIV/0!</v>
      </c>
      <c r="J106" s="2884" t="e">
        <f>0.5659/J101</f>
        <v>#DIV/0!</v>
      </c>
      <c r="K106" s="2884" t="e">
        <f>0.5659/K101</f>
        <v>#DIV/0!</v>
      </c>
      <c r="L106" s="2884" t="e">
        <f>0.5659/L101</f>
        <v>#DIV/0!</v>
      </c>
      <c r="M106" s="2884" t="e">
        <f>0.5659/M101</f>
        <v>#DIV/0!</v>
      </c>
      <c r="N106" s="2884" t="e">
        <f>0.5659/N101</f>
        <v>#DIV/0!</v>
      </c>
    </row>
    <row r="107" spans="1:14">
      <c r="A107" s="3304"/>
      <c r="B107" s="2883">
        <v>6</v>
      </c>
      <c r="C107" s="2884" t="e">
        <f>0.7608/C101</f>
        <v>#DIV/0!</v>
      </c>
      <c r="D107" s="2884" t="e">
        <f>0.7608/D101</f>
        <v>#DIV/0!</v>
      </c>
      <c r="E107" s="2884" t="e">
        <f>0.6482/E101</f>
        <v>#DIV/0!</v>
      </c>
      <c r="F107" s="2884" t="e">
        <f>0.6482/F101</f>
        <v>#DIV/0!</v>
      </c>
      <c r="G107" s="2884" t="e">
        <f>0.6482/G101</f>
        <v>#DIV/0!</v>
      </c>
      <c r="H107" s="2884" t="e">
        <f>0.6482/H101</f>
        <v>#DIV/0!</v>
      </c>
      <c r="I107" s="2884" t="e">
        <f>0.6482/I101</f>
        <v>#DIV/0!</v>
      </c>
      <c r="J107" s="2884" t="e">
        <f>0.4525/J101</f>
        <v>#DIV/0!</v>
      </c>
      <c r="K107" s="2884" t="e">
        <f>0.4525/K101</f>
        <v>#DIV/0!</v>
      </c>
      <c r="L107" s="2884" t="e">
        <f>0.4525/L101</f>
        <v>#DIV/0!</v>
      </c>
      <c r="M107" s="2884" t="e">
        <f>0.4525/M101</f>
        <v>#DIV/0!</v>
      </c>
      <c r="N107" s="2884" t="e">
        <f>0.4525/N101</f>
        <v>#DIV/0!</v>
      </c>
    </row>
    <row r="108" spans="1:14">
      <c r="A108" s="3304"/>
      <c r="B108" s="3128" t="s">
        <v>2975</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05"/>
      <c r="B109" s="3129"/>
      <c r="C109" s="2886" t="e">
        <f>(-0.163*(C108^2)-0.59*C108+7617)*(10^(-4))/C101</f>
        <v>#DIV/0!</v>
      </c>
      <c r="D109" s="2886" t="e">
        <f>(-0.163*(D108^2)-0.59*D108+7617)*(10^(-4))/D101</f>
        <v>#DIV/0!</v>
      </c>
      <c r="E109" s="2886" t="e">
        <f>(-0.161*(E108^2)-7.509*E108+6533)*(10^(-4))/E101</f>
        <v>#DIV/0!</v>
      </c>
      <c r="F109" s="2886" t="e">
        <f>(-0.161*(F108^2)-7.509*F108+6533)*(10^(-4))/F101</f>
        <v>#DIV/0!</v>
      </c>
      <c r="G109" s="2886" t="e">
        <f>(-0.161*(G108^2)-7.509*G108+6533)*(10^(-4))/G101</f>
        <v>#DIV/0!</v>
      </c>
      <c r="H109" s="2886" t="e">
        <f>(-0.161*(H108^2)-7.509*H108+6533)*(10^(-4))/H101</f>
        <v>#DIV/0!</v>
      </c>
      <c r="I109" s="2886" t="e">
        <f>(-0.161*(I108^2)-7.509*I108+6533)*(10^(-4))/I101</f>
        <v>#DIV/0!</v>
      </c>
      <c r="J109" s="2886" t="e">
        <f>(-0.214*(J108^2)-21.991*J108+4665)*(10^(-4))/J101</f>
        <v>#DIV/0!</v>
      </c>
      <c r="K109" s="2886" t="e">
        <f>(-0.214*(K108^2)-21.991*K108+4665)*(10^(-4))/K101</f>
        <v>#DIV/0!</v>
      </c>
      <c r="L109" s="2886" t="e">
        <f>(-0.214*(L108^2)-21.991*L108+4665)*(10^(-4))/L101</f>
        <v>#DIV/0!</v>
      </c>
      <c r="M109" s="2886" t="e">
        <f>(-0.214*(M108^2)-21.991*M108+4665)*(10^(-4))/M101</f>
        <v>#DIV/0!</v>
      </c>
      <c r="N109" s="2886" t="e">
        <f>(-0.214*(N108^2)-21.991*N108+4665)*(10^(-4))/N101</f>
        <v>#DIV/0!</v>
      </c>
    </row>
    <row r="110" spans="1:14">
      <c r="A110" s="3301" t="s">
        <v>2976</v>
      </c>
      <c r="B110" s="3301"/>
      <c r="C110" s="3301"/>
      <c r="D110" s="3301"/>
      <c r="E110" s="3301"/>
      <c r="F110" s="3301"/>
      <c r="G110" s="3301"/>
      <c r="H110" s="3301"/>
      <c r="I110" s="3301"/>
      <c r="J110" s="3301"/>
      <c r="K110" s="2889"/>
      <c r="L110" s="2889"/>
      <c r="M110" s="2889"/>
      <c r="N110" s="2889"/>
    </row>
    <row r="112" spans="1:14" ht="13.5" thickBot="1"/>
    <row r="113" spans="1:13" ht="25.5" thickBot="1">
      <c r="A113" s="901" t="s">
        <v>2977</v>
      </c>
      <c r="B113" s="1285" t="e">
        <f>G3</f>
        <v>#DIV/0!</v>
      </c>
      <c r="C113" s="902" t="s">
        <v>2978</v>
      </c>
      <c r="D113" s="903" t="e">
        <f>SUMPRODUCT((A115:A118=F113)*(B114:M114=H113)*B115:M118)</f>
        <v>#DIV/0!</v>
      </c>
      <c r="E113" s="2720" t="s">
        <v>2809</v>
      </c>
      <c r="F113" s="2891">
        <f>E2</f>
        <v>0</v>
      </c>
      <c r="G113" s="2720" t="s">
        <v>2810</v>
      </c>
      <c r="H113" s="2891">
        <f>G2</f>
        <v>0</v>
      </c>
      <c r="I113" s="2720"/>
      <c r="J113" s="2892"/>
      <c r="K113" s="2892"/>
      <c r="L113" s="2892"/>
      <c r="M113" s="2892"/>
    </row>
    <row r="114" spans="1:13">
      <c r="A114" s="906"/>
      <c r="B114" s="2893" t="s">
        <v>2979</v>
      </c>
      <c r="C114" s="2893" t="s">
        <v>2980</v>
      </c>
      <c r="D114" s="2893" t="s">
        <v>2981</v>
      </c>
      <c r="E114" s="2894" t="s">
        <v>2982</v>
      </c>
      <c r="F114" s="2894" t="s">
        <v>2983</v>
      </c>
      <c r="G114" s="2894" t="s">
        <v>2984</v>
      </c>
      <c r="H114" s="2895" t="s">
        <v>2985</v>
      </c>
      <c r="I114" s="2895" t="s">
        <v>2986</v>
      </c>
      <c r="J114" s="2896" t="s">
        <v>2987</v>
      </c>
      <c r="K114" s="2896" t="s">
        <v>2988</v>
      </c>
      <c r="L114" s="2896" t="s">
        <v>2989</v>
      </c>
      <c r="M114" s="2897" t="s">
        <v>2990</v>
      </c>
    </row>
    <row r="115" spans="1:13">
      <c r="A115" s="907" t="s">
        <v>2874</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2875</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2876</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2877</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3050</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21" t="s">
        <v>183</v>
      </c>
      <c r="B18" s="880" t="s">
        <v>560</v>
      </c>
      <c r="C18" s="881" t="s">
        <v>561</v>
      </c>
      <c r="D18" s="882"/>
      <c r="E18" s="880">
        <v>1</v>
      </c>
      <c r="F18" s="883" t="s">
        <v>562</v>
      </c>
      <c r="G18" s="884"/>
      <c r="H18" s="876"/>
      <c r="I18" s="876"/>
    </row>
    <row r="19" spans="1:9" s="885" customFormat="1" ht="19.5" customHeight="1">
      <c r="A19" s="3321"/>
      <c r="B19" s="3321" t="s">
        <v>563</v>
      </c>
      <c r="C19" s="881" t="s">
        <v>564</v>
      </c>
      <c r="D19" s="882"/>
      <c r="E19" s="880">
        <v>0.9</v>
      </c>
      <c r="F19" s="883" t="s">
        <v>565</v>
      </c>
      <c r="G19" s="884"/>
      <c r="H19" s="876"/>
      <c r="I19" s="876"/>
    </row>
    <row r="20" spans="1:9" s="885" customFormat="1" ht="19.5" customHeight="1">
      <c r="A20" s="3321"/>
      <c r="B20" s="3321"/>
      <c r="C20" s="881" t="s">
        <v>566</v>
      </c>
      <c r="D20" s="882"/>
      <c r="E20" s="880">
        <v>1.1000000000000001</v>
      </c>
      <c r="F20" s="883" t="s">
        <v>567</v>
      </c>
      <c r="G20" s="884"/>
      <c r="H20" s="876"/>
      <c r="I20" s="876"/>
    </row>
    <row r="21" spans="1:9" s="885" customFormat="1" ht="19.5" customHeight="1">
      <c r="A21" s="3321"/>
      <c r="B21" s="3321"/>
      <c r="C21" s="881" t="s">
        <v>568</v>
      </c>
      <c r="D21" s="882"/>
      <c r="E21" s="880">
        <v>0.8</v>
      </c>
      <c r="F21" s="883" t="s">
        <v>569</v>
      </c>
      <c r="G21" s="884"/>
      <c r="H21" s="876"/>
      <c r="I21" s="876"/>
    </row>
    <row r="22" spans="1:9" s="885" customFormat="1" ht="19.5" customHeight="1">
      <c r="A22" s="3321"/>
      <c r="B22" s="3321"/>
      <c r="C22" s="881" t="s">
        <v>570</v>
      </c>
      <c r="D22" s="882"/>
      <c r="E22" s="880">
        <v>0.5</v>
      </c>
      <c r="F22" s="883"/>
      <c r="G22" s="884"/>
      <c r="H22" s="876"/>
      <c r="I22" s="876"/>
    </row>
    <row r="23" spans="1:9" s="885" customFormat="1" ht="19.5" customHeight="1">
      <c r="A23" s="3321" t="s">
        <v>184</v>
      </c>
      <c r="B23" s="880" t="s">
        <v>560</v>
      </c>
      <c r="C23" s="881" t="s">
        <v>571</v>
      </c>
      <c r="D23" s="882"/>
      <c r="E23" s="880">
        <v>1</v>
      </c>
      <c r="F23" s="883" t="s">
        <v>572</v>
      </c>
      <c r="G23" s="884"/>
      <c r="H23" s="876"/>
      <c r="I23" s="876"/>
    </row>
    <row r="24" spans="1:9" s="885" customFormat="1" ht="19.5" customHeight="1">
      <c r="A24" s="3321"/>
      <c r="B24" s="3321" t="s">
        <v>563</v>
      </c>
      <c r="C24" s="881" t="s">
        <v>573</v>
      </c>
      <c r="D24" s="882"/>
      <c r="E24" s="880">
        <v>0.5</v>
      </c>
      <c r="F24" s="883"/>
      <c r="G24" s="884"/>
      <c r="H24" s="876"/>
      <c r="I24" s="876"/>
    </row>
    <row r="25" spans="1:9" s="885" customFormat="1" ht="19.5" customHeight="1">
      <c r="A25" s="3321"/>
      <c r="B25" s="3321"/>
      <c r="C25" s="881" t="s">
        <v>574</v>
      </c>
      <c r="D25" s="882"/>
      <c r="E25" s="880">
        <v>1.1000000000000001</v>
      </c>
      <c r="F25" s="883"/>
      <c r="G25" s="884"/>
      <c r="H25" s="876"/>
      <c r="I25" s="876"/>
    </row>
    <row r="26" spans="1:9" s="885" customFormat="1" ht="19.5" customHeight="1">
      <c r="A26" s="3321"/>
      <c r="B26" s="3321"/>
      <c r="C26" s="881" t="s">
        <v>575</v>
      </c>
      <c r="D26" s="882"/>
      <c r="E26" s="880">
        <v>1.1000000000000001</v>
      </c>
      <c r="F26" s="883"/>
      <c r="G26" s="884"/>
      <c r="H26" s="876"/>
      <c r="I26" s="876"/>
    </row>
    <row r="27" spans="1:9" s="885" customFormat="1" ht="19.5" customHeight="1">
      <c r="A27" s="3321"/>
      <c r="B27" s="3321"/>
      <c r="C27" s="881" t="s">
        <v>576</v>
      </c>
      <c r="D27" s="882"/>
      <c r="E27" s="880">
        <v>0.9</v>
      </c>
      <c r="F27" s="883" t="s">
        <v>577</v>
      </c>
      <c r="G27" s="884"/>
      <c r="H27" s="876"/>
      <c r="I27" s="876"/>
    </row>
    <row r="28" spans="1:9" s="885" customFormat="1" ht="19.5" customHeight="1">
      <c r="A28" s="3321"/>
      <c r="B28" s="3321"/>
      <c r="C28" s="881" t="s">
        <v>578</v>
      </c>
      <c r="D28" s="882"/>
      <c r="E28" s="880">
        <v>0.9</v>
      </c>
      <c r="F28" s="883" t="s">
        <v>579</v>
      </c>
      <c r="G28" s="884"/>
      <c r="H28" s="876"/>
      <c r="I28" s="876"/>
    </row>
    <row r="29" spans="1:9" s="885" customFormat="1" ht="19.5" customHeight="1">
      <c r="A29" s="3321"/>
      <c r="B29" s="3321"/>
      <c r="C29" s="881" t="s">
        <v>580</v>
      </c>
      <c r="D29" s="882"/>
      <c r="E29" s="880">
        <v>0.9</v>
      </c>
      <c r="F29" s="883" t="s">
        <v>581</v>
      </c>
      <c r="G29" s="884"/>
      <c r="H29" s="876"/>
      <c r="I29" s="876"/>
    </row>
    <row r="30" spans="1:9" s="885" customFormat="1" ht="19.5" customHeight="1">
      <c r="A30" s="3321"/>
      <c r="B30" s="3321"/>
      <c r="C30" s="881" t="s">
        <v>582</v>
      </c>
      <c r="D30" s="882"/>
      <c r="E30" s="880">
        <v>0.9</v>
      </c>
      <c r="F30" s="883" t="s">
        <v>583</v>
      </c>
      <c r="G30" s="884"/>
      <c r="H30" s="876"/>
      <c r="I30" s="876"/>
    </row>
    <row r="31" spans="1:9" s="885" customFormat="1" ht="19.5" customHeight="1">
      <c r="A31" s="3321"/>
      <c r="B31" s="3321"/>
      <c r="C31" s="881" t="s">
        <v>584</v>
      </c>
      <c r="D31" s="882"/>
      <c r="E31" s="880">
        <v>0.8</v>
      </c>
      <c r="F31" s="883" t="s">
        <v>585</v>
      </c>
      <c r="G31" s="884"/>
      <c r="H31" s="876"/>
      <c r="I31" s="876"/>
    </row>
    <row r="32" spans="1:9" s="885" customFormat="1" ht="19.5" customHeight="1">
      <c r="A32" s="3321"/>
      <c r="B32" s="3321"/>
      <c r="C32" s="881" t="s">
        <v>586</v>
      </c>
      <c r="D32" s="882"/>
      <c r="E32" s="880">
        <v>0.8</v>
      </c>
      <c r="F32" s="883" t="s">
        <v>587</v>
      </c>
      <c r="G32" s="884"/>
      <c r="H32" s="876"/>
      <c r="I32" s="876"/>
    </row>
    <row r="33" spans="1:9" s="885" customFormat="1" ht="19.5" customHeight="1">
      <c r="A33" s="3321" t="s">
        <v>185</v>
      </c>
      <c r="B33" s="880" t="s">
        <v>560</v>
      </c>
      <c r="C33" s="881" t="s">
        <v>588</v>
      </c>
      <c r="D33" s="882"/>
      <c r="E33" s="880">
        <v>1</v>
      </c>
      <c r="F33" s="883" t="s">
        <v>589</v>
      </c>
      <c r="G33" s="884"/>
      <c r="H33" s="876"/>
      <c r="I33" s="876"/>
    </row>
    <row r="34" spans="1:9" s="885" customFormat="1" ht="19.5" customHeight="1">
      <c r="A34" s="3321"/>
      <c r="B34" s="880" t="s">
        <v>563</v>
      </c>
      <c r="C34" s="881" t="s">
        <v>590</v>
      </c>
      <c r="D34" s="882"/>
      <c r="E34" s="880">
        <v>1.5</v>
      </c>
      <c r="F34" s="883" t="s">
        <v>591</v>
      </c>
      <c r="G34" s="884"/>
      <c r="H34" s="876"/>
      <c r="I34" s="876"/>
    </row>
    <row r="35" spans="1:9" s="885" customFormat="1" ht="19.5" customHeight="1">
      <c r="A35" s="3321" t="s">
        <v>186</v>
      </c>
      <c r="B35" s="880" t="s">
        <v>560</v>
      </c>
      <c r="C35" s="881" t="s">
        <v>592</v>
      </c>
      <c r="D35" s="882"/>
      <c r="E35" s="880">
        <v>1</v>
      </c>
      <c r="F35" s="883" t="s">
        <v>593</v>
      </c>
      <c r="G35" s="884"/>
      <c r="H35" s="876"/>
      <c r="I35" s="876"/>
    </row>
    <row r="36" spans="1:9" s="885" customFormat="1" ht="19.5" customHeight="1">
      <c r="A36" s="3321"/>
      <c r="B36" s="3321" t="s">
        <v>563</v>
      </c>
      <c r="C36" s="881" t="s">
        <v>594</v>
      </c>
      <c r="D36" s="882"/>
      <c r="E36" s="880">
        <v>1</v>
      </c>
      <c r="F36" s="883" t="s">
        <v>595</v>
      </c>
      <c r="G36" s="884"/>
      <c r="H36" s="876"/>
      <c r="I36" s="876"/>
    </row>
    <row r="37" spans="1:9" s="885" customFormat="1" ht="19.5" customHeight="1">
      <c r="A37" s="3321"/>
      <c r="B37" s="3321"/>
      <c r="C37" s="881" t="s">
        <v>596</v>
      </c>
      <c r="D37" s="882"/>
      <c r="E37" s="880">
        <v>1.5</v>
      </c>
      <c r="F37" s="883" t="s">
        <v>597</v>
      </c>
      <c r="G37" s="884"/>
      <c r="H37" s="876"/>
      <c r="I37" s="876"/>
    </row>
    <row r="38" spans="1:9" s="885" customFormat="1" ht="19.5" customHeight="1">
      <c r="A38" s="3321"/>
      <c r="B38" s="3321"/>
      <c r="C38" s="881" t="s">
        <v>598</v>
      </c>
      <c r="D38" s="882"/>
      <c r="E38" s="880">
        <v>1</v>
      </c>
      <c r="F38" s="883" t="s">
        <v>599</v>
      </c>
      <c r="G38" s="884"/>
      <c r="H38" s="876"/>
      <c r="I38" s="876"/>
    </row>
    <row r="39" spans="1:9" s="885" customFormat="1" ht="19.5" customHeight="1">
      <c r="A39" s="3321"/>
      <c r="B39" s="332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21" t="s">
        <v>614</v>
      </c>
      <c r="C61" s="816" t="s">
        <v>615</v>
      </c>
      <c r="D61" s="816" t="s">
        <v>616</v>
      </c>
      <c r="E61" s="893">
        <v>0.5</v>
      </c>
      <c r="F61" s="880">
        <v>80</v>
      </c>
    </row>
    <row r="62" spans="1:8" s="876" customFormat="1" ht="24">
      <c r="A62" s="880">
        <v>2</v>
      </c>
      <c r="B62" s="3321"/>
      <c r="C62" s="816" t="s">
        <v>617</v>
      </c>
      <c r="D62" s="816" t="s">
        <v>618</v>
      </c>
      <c r="E62" s="893">
        <v>0.5</v>
      </c>
      <c r="F62" s="880">
        <v>80</v>
      </c>
    </row>
    <row r="63" spans="1:8" s="876" customFormat="1" ht="36">
      <c r="A63" s="880">
        <v>3</v>
      </c>
      <c r="B63" s="3321"/>
      <c r="C63" s="816" t="s">
        <v>619</v>
      </c>
      <c r="D63" s="816" t="s">
        <v>620</v>
      </c>
      <c r="E63" s="893">
        <v>0.5</v>
      </c>
      <c r="F63" s="880">
        <v>80</v>
      </c>
    </row>
    <row r="64" spans="1:8" s="876" customFormat="1" ht="36">
      <c r="A64" s="880">
        <v>4</v>
      </c>
      <c r="B64" s="3321"/>
      <c r="C64" s="816" t="s">
        <v>621</v>
      </c>
      <c r="D64" s="816" t="s">
        <v>622</v>
      </c>
      <c r="E64" s="893">
        <v>0.4</v>
      </c>
      <c r="F64" s="880">
        <v>60</v>
      </c>
    </row>
    <row r="65" spans="1:6" s="876" customFormat="1" ht="36">
      <c r="A65" s="880">
        <v>5</v>
      </c>
      <c r="B65" s="3321"/>
      <c r="C65" s="816" t="s">
        <v>623</v>
      </c>
      <c r="D65" s="816" t="s">
        <v>624</v>
      </c>
      <c r="E65" s="893">
        <v>0.2</v>
      </c>
      <c r="F65" s="880">
        <v>30</v>
      </c>
    </row>
    <row r="66" spans="1:6" s="876" customFormat="1" ht="36">
      <c r="A66" s="880">
        <v>6</v>
      </c>
      <c r="B66" s="3321"/>
      <c r="C66" s="816" t="s">
        <v>625</v>
      </c>
      <c r="D66" s="816" t="s">
        <v>626</v>
      </c>
      <c r="E66" s="893">
        <v>0.3</v>
      </c>
      <c r="F66" s="880">
        <v>50</v>
      </c>
    </row>
    <row r="67" spans="1:6" s="876" customFormat="1" ht="36">
      <c r="A67" s="880">
        <v>7</v>
      </c>
      <c r="B67" s="3321"/>
      <c r="C67" s="816" t="s">
        <v>627</v>
      </c>
      <c r="D67" s="816" t="s">
        <v>628</v>
      </c>
      <c r="E67" s="893">
        <v>0.2</v>
      </c>
      <c r="F67" s="880">
        <v>30</v>
      </c>
    </row>
    <row r="68" spans="1:6" s="876" customFormat="1" ht="36">
      <c r="A68" s="880">
        <v>8</v>
      </c>
      <c r="B68" s="3321"/>
      <c r="C68" s="816" t="s">
        <v>629</v>
      </c>
      <c r="D68" s="816" t="s">
        <v>630</v>
      </c>
      <c r="E68" s="893">
        <v>0.2</v>
      </c>
      <c r="F68" s="880">
        <v>30</v>
      </c>
    </row>
    <row r="69" spans="1:6" s="876" customFormat="1" ht="36">
      <c r="A69" s="880">
        <v>9</v>
      </c>
      <c r="B69" s="3321"/>
      <c r="C69" s="816" t="s">
        <v>631</v>
      </c>
      <c r="D69" s="816" t="s">
        <v>632</v>
      </c>
      <c r="E69" s="893">
        <v>0.2</v>
      </c>
      <c r="F69" s="880">
        <v>30</v>
      </c>
    </row>
    <row r="70" spans="1:6" s="876" customFormat="1" ht="48">
      <c r="A70" s="880">
        <v>10</v>
      </c>
      <c r="B70" s="3321"/>
      <c r="C70" s="816" t="s">
        <v>633</v>
      </c>
      <c r="D70" s="816" t="s">
        <v>634</v>
      </c>
      <c r="E70" s="893">
        <v>0.2</v>
      </c>
      <c r="F70" s="880">
        <v>30</v>
      </c>
    </row>
    <row r="71" spans="1:6" s="876" customFormat="1" ht="48">
      <c r="A71" s="880">
        <v>11</v>
      </c>
      <c r="B71" s="3321"/>
      <c r="C71" s="816" t="s">
        <v>635</v>
      </c>
      <c r="D71" s="816" t="s">
        <v>636</v>
      </c>
      <c r="E71" s="893">
        <v>0.2</v>
      </c>
      <c r="F71" s="880">
        <v>30</v>
      </c>
    </row>
    <row r="72" spans="1:6" s="876" customFormat="1" ht="36">
      <c r="A72" s="880">
        <v>12</v>
      </c>
      <c r="B72" s="3321"/>
      <c r="C72" s="816" t="s">
        <v>637</v>
      </c>
      <c r="D72" s="816" t="s">
        <v>638</v>
      </c>
      <c r="E72" s="893">
        <v>0.5</v>
      </c>
      <c r="F72" s="880">
        <v>80</v>
      </c>
    </row>
    <row r="73" spans="1:6" s="876" customFormat="1" ht="24">
      <c r="A73" s="880">
        <v>13</v>
      </c>
      <c r="B73" s="3321"/>
      <c r="C73" s="816" t="s">
        <v>639</v>
      </c>
      <c r="D73" s="816" t="s">
        <v>640</v>
      </c>
      <c r="E73" s="893">
        <v>0.4</v>
      </c>
      <c r="F73" s="880">
        <v>60</v>
      </c>
    </row>
    <row r="74" spans="1:6" s="876" customFormat="1" ht="24">
      <c r="A74" s="880">
        <v>14</v>
      </c>
      <c r="B74" s="3321"/>
      <c r="C74" s="816" t="s">
        <v>641</v>
      </c>
      <c r="D74" s="816" t="s">
        <v>642</v>
      </c>
      <c r="E74" s="893">
        <v>0.2</v>
      </c>
      <c r="F74" s="880">
        <v>30</v>
      </c>
    </row>
    <row r="75" spans="1:6" s="876" customFormat="1" ht="24">
      <c r="A75" s="880">
        <v>15</v>
      </c>
      <c r="B75" s="3321"/>
      <c r="C75" s="816" t="s">
        <v>643</v>
      </c>
      <c r="D75" s="816" t="s">
        <v>644</v>
      </c>
      <c r="E75" s="893">
        <v>0.2</v>
      </c>
      <c r="F75" s="880">
        <v>30</v>
      </c>
    </row>
    <row r="76" spans="1:6" s="876" customFormat="1" ht="24">
      <c r="A76" s="880">
        <v>16</v>
      </c>
      <c r="B76" s="3321" t="s">
        <v>645</v>
      </c>
      <c r="C76" s="816" t="s">
        <v>646</v>
      </c>
      <c r="D76" s="816" t="s">
        <v>647</v>
      </c>
      <c r="E76" s="893">
        <v>0.5</v>
      </c>
      <c r="F76" s="880">
        <v>80</v>
      </c>
    </row>
    <row r="77" spans="1:6" s="876" customFormat="1" ht="24">
      <c r="A77" s="880">
        <v>17</v>
      </c>
      <c r="B77" s="3321"/>
      <c r="C77" s="816" t="s">
        <v>648</v>
      </c>
      <c r="D77" s="816" t="s">
        <v>649</v>
      </c>
      <c r="E77" s="893">
        <v>0.5</v>
      </c>
      <c r="F77" s="880">
        <v>80</v>
      </c>
    </row>
    <row r="78" spans="1:6" s="876" customFormat="1" ht="24">
      <c r="A78" s="880">
        <v>18</v>
      </c>
      <c r="B78" s="3321"/>
      <c r="C78" s="816" t="s">
        <v>650</v>
      </c>
      <c r="D78" s="816" t="s">
        <v>651</v>
      </c>
      <c r="E78" s="893">
        <v>0.2</v>
      </c>
      <c r="F78" s="880">
        <v>30</v>
      </c>
    </row>
    <row r="79" spans="1:6" s="876" customFormat="1" ht="24">
      <c r="A79" s="880">
        <v>19</v>
      </c>
      <c r="B79" s="3321"/>
      <c r="C79" s="816" t="s">
        <v>652</v>
      </c>
      <c r="D79" s="816" t="s">
        <v>653</v>
      </c>
      <c r="E79" s="893">
        <v>0.5</v>
      </c>
      <c r="F79" s="880">
        <v>80</v>
      </c>
    </row>
    <row r="80" spans="1:6" s="876" customFormat="1" ht="36">
      <c r="A80" s="880">
        <v>20</v>
      </c>
      <c r="B80" s="3321"/>
      <c r="C80" s="816" t="s">
        <v>654</v>
      </c>
      <c r="D80" s="816" t="s">
        <v>655</v>
      </c>
      <c r="E80" s="893">
        <v>0.2</v>
      </c>
      <c r="F80" s="880">
        <v>30</v>
      </c>
    </row>
    <row r="81" spans="1:6" s="876" customFormat="1" ht="36">
      <c r="A81" s="880">
        <v>21</v>
      </c>
      <c r="B81" s="3321"/>
      <c r="C81" s="816" t="s">
        <v>656</v>
      </c>
      <c r="D81" s="816" t="s">
        <v>657</v>
      </c>
      <c r="E81" s="893">
        <v>0.2</v>
      </c>
      <c r="F81" s="880">
        <v>30</v>
      </c>
    </row>
    <row r="82" spans="1:6" s="876" customFormat="1" ht="48">
      <c r="A82" s="880">
        <v>22</v>
      </c>
      <c r="B82" s="3321"/>
      <c r="C82" s="816" t="s">
        <v>658</v>
      </c>
      <c r="D82" s="816" t="s">
        <v>659</v>
      </c>
      <c r="E82" s="893">
        <v>0.2</v>
      </c>
      <c r="F82" s="880">
        <v>30</v>
      </c>
    </row>
    <row r="83" spans="1:6" s="876" customFormat="1" ht="48">
      <c r="A83" s="880">
        <v>23</v>
      </c>
      <c r="B83" s="3321"/>
      <c r="C83" s="816" t="s">
        <v>660</v>
      </c>
      <c r="D83" s="816" t="s">
        <v>661</v>
      </c>
      <c r="E83" s="893">
        <v>0.2</v>
      </c>
      <c r="F83" s="880">
        <v>30</v>
      </c>
    </row>
    <row r="84" spans="1:6" s="876" customFormat="1" ht="36">
      <c r="A84" s="880">
        <v>24</v>
      </c>
      <c r="B84" s="3321"/>
      <c r="C84" s="816" t="s">
        <v>662</v>
      </c>
      <c r="D84" s="816" t="s">
        <v>663</v>
      </c>
      <c r="E84" s="893">
        <v>0.2</v>
      </c>
      <c r="F84" s="880">
        <v>30</v>
      </c>
    </row>
    <row r="85" spans="1:6" s="876" customFormat="1" ht="36">
      <c r="A85" s="880">
        <v>25</v>
      </c>
      <c r="B85" s="3321"/>
      <c r="C85" s="816" t="s">
        <v>664</v>
      </c>
      <c r="D85" s="816" t="s">
        <v>665</v>
      </c>
      <c r="E85" s="893">
        <v>0.5</v>
      </c>
      <c r="F85" s="880">
        <v>80</v>
      </c>
    </row>
    <row r="86" spans="1:6" s="876" customFormat="1" ht="36">
      <c r="A86" s="880">
        <v>26</v>
      </c>
      <c r="B86" s="3321"/>
      <c r="C86" s="816" t="s">
        <v>666</v>
      </c>
      <c r="D86" s="816" t="s">
        <v>667</v>
      </c>
      <c r="E86" s="893">
        <v>0.2</v>
      </c>
      <c r="F86" s="880">
        <v>30</v>
      </c>
    </row>
    <row r="87" spans="1:6" s="876" customFormat="1" ht="36">
      <c r="A87" s="880">
        <v>27</v>
      </c>
      <c r="B87" s="3321"/>
      <c r="C87" s="816" t="s">
        <v>668</v>
      </c>
      <c r="D87" s="816" t="s">
        <v>669</v>
      </c>
      <c r="E87" s="893">
        <v>0.2</v>
      </c>
      <c r="F87" s="880">
        <v>30</v>
      </c>
    </row>
    <row r="88" spans="1:6" s="876" customFormat="1" ht="36">
      <c r="A88" s="880">
        <v>28</v>
      </c>
      <c r="B88" s="3321"/>
      <c r="C88" s="816" t="s">
        <v>670</v>
      </c>
      <c r="D88" s="816" t="s">
        <v>671</v>
      </c>
      <c r="E88" s="893">
        <v>0.2</v>
      </c>
      <c r="F88" s="880">
        <v>30</v>
      </c>
    </row>
    <row r="89" spans="1:6" s="876" customFormat="1" ht="24">
      <c r="A89" s="880">
        <v>29</v>
      </c>
      <c r="B89" s="3321"/>
      <c r="C89" s="816" t="s">
        <v>672</v>
      </c>
      <c r="D89" s="816" t="s">
        <v>673</v>
      </c>
      <c r="E89" s="893">
        <v>0.2</v>
      </c>
      <c r="F89" s="880">
        <v>30</v>
      </c>
    </row>
    <row r="90" spans="1:6" s="876" customFormat="1" ht="24">
      <c r="A90" s="880">
        <v>30</v>
      </c>
      <c r="B90" s="3321"/>
      <c r="C90" s="816" t="s">
        <v>674</v>
      </c>
      <c r="D90" s="816" t="s">
        <v>675</v>
      </c>
      <c r="E90" s="893">
        <v>0.2</v>
      </c>
      <c r="F90" s="880">
        <v>30</v>
      </c>
    </row>
    <row r="91" spans="1:6" s="876" customFormat="1" ht="36">
      <c r="A91" s="880">
        <v>31</v>
      </c>
      <c r="B91" s="3321"/>
      <c r="C91" s="816" t="s">
        <v>676</v>
      </c>
      <c r="D91" s="816" t="s">
        <v>677</v>
      </c>
      <c r="E91" s="893">
        <v>0.2</v>
      </c>
      <c r="F91" s="880">
        <v>30</v>
      </c>
    </row>
    <row r="92" spans="1:6" s="876" customFormat="1" ht="24">
      <c r="A92" s="880">
        <v>32</v>
      </c>
      <c r="B92" s="3321" t="s">
        <v>678</v>
      </c>
      <c r="C92" s="880" t="s">
        <v>679</v>
      </c>
      <c r="D92" s="816" t="s">
        <v>680</v>
      </c>
      <c r="E92" s="893">
        <v>0.2</v>
      </c>
      <c r="F92" s="880">
        <v>30</v>
      </c>
    </row>
    <row r="93" spans="1:6" s="876" customFormat="1" ht="36">
      <c r="A93" s="880">
        <v>33</v>
      </c>
      <c r="B93" s="3321"/>
      <c r="C93" s="880" t="s">
        <v>681</v>
      </c>
      <c r="D93" s="816" t="s">
        <v>682</v>
      </c>
      <c r="E93" s="893">
        <v>0.2</v>
      </c>
      <c r="F93" s="880">
        <v>30</v>
      </c>
    </row>
    <row r="94" spans="1:6" s="876" customFormat="1" ht="48">
      <c r="A94" s="880">
        <v>34</v>
      </c>
      <c r="B94" s="3321"/>
      <c r="C94" s="880" t="s">
        <v>683</v>
      </c>
      <c r="D94" s="816" t="s">
        <v>684</v>
      </c>
      <c r="E94" s="893">
        <v>0.2</v>
      </c>
      <c r="F94" s="880">
        <v>30</v>
      </c>
    </row>
    <row r="95" spans="1:6" s="876" customFormat="1" ht="36">
      <c r="A95" s="880">
        <v>35</v>
      </c>
      <c r="B95" s="3321"/>
      <c r="C95" s="880" t="s">
        <v>685</v>
      </c>
      <c r="D95" s="816" t="s">
        <v>686</v>
      </c>
      <c r="E95" s="893">
        <v>0.2</v>
      </c>
      <c r="F95" s="880">
        <v>30</v>
      </c>
    </row>
    <row r="96" spans="1:6" s="876" customFormat="1" ht="48">
      <c r="A96" s="880">
        <v>36</v>
      </c>
      <c r="B96" s="3321"/>
      <c r="C96" s="816" t="s">
        <v>687</v>
      </c>
      <c r="D96" s="816" t="s">
        <v>688</v>
      </c>
      <c r="E96" s="893">
        <v>0.2</v>
      </c>
      <c r="F96" s="880">
        <v>30</v>
      </c>
    </row>
    <row r="97" spans="1:6" s="876" customFormat="1" ht="36">
      <c r="A97" s="880">
        <v>37</v>
      </c>
      <c r="B97" s="3321"/>
      <c r="C97" s="880" t="s">
        <v>689</v>
      </c>
      <c r="D97" s="816" t="s">
        <v>690</v>
      </c>
      <c r="E97" s="893">
        <v>0.2</v>
      </c>
      <c r="F97" s="880">
        <v>30</v>
      </c>
    </row>
    <row r="98" spans="1:6" s="876" customFormat="1" ht="36">
      <c r="A98" s="880">
        <v>38</v>
      </c>
      <c r="B98" s="3321"/>
      <c r="C98" s="880" t="s">
        <v>691</v>
      </c>
      <c r="D98" s="816" t="s">
        <v>692</v>
      </c>
      <c r="E98" s="893">
        <v>0.2</v>
      </c>
      <c r="F98" s="880">
        <v>30</v>
      </c>
    </row>
    <row r="99" spans="1:6" s="876" customFormat="1" ht="36">
      <c r="A99" s="880">
        <v>39</v>
      </c>
      <c r="B99" s="3321" t="s">
        <v>693</v>
      </c>
      <c r="C99" s="880" t="s">
        <v>694</v>
      </c>
      <c r="D99" s="816" t="s">
        <v>695</v>
      </c>
      <c r="E99" s="893">
        <v>0.3</v>
      </c>
      <c r="F99" s="880">
        <v>50</v>
      </c>
    </row>
    <row r="100" spans="1:6" s="876" customFormat="1" ht="24">
      <c r="A100" s="880">
        <v>40</v>
      </c>
      <c r="B100" s="3321"/>
      <c r="C100" s="880" t="s">
        <v>696</v>
      </c>
      <c r="D100" s="816" t="s">
        <v>697</v>
      </c>
      <c r="E100" s="893">
        <v>0.2</v>
      </c>
      <c r="F100" s="880">
        <v>30</v>
      </c>
    </row>
    <row r="101" spans="1:6" s="876" customFormat="1" ht="36">
      <c r="A101" s="880">
        <v>41</v>
      </c>
      <c r="B101" s="332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21" t="s">
        <v>708</v>
      </c>
      <c r="C105" s="880" t="s">
        <v>709</v>
      </c>
      <c r="D105" s="816" t="s">
        <v>710</v>
      </c>
      <c r="E105" s="893">
        <v>0.2</v>
      </c>
      <c r="F105" s="880">
        <v>30</v>
      </c>
    </row>
    <row r="106" spans="1:6" s="876" customFormat="1" ht="36">
      <c r="A106" s="880">
        <v>46</v>
      </c>
      <c r="B106" s="3321"/>
      <c r="C106" s="880" t="s">
        <v>711</v>
      </c>
      <c r="D106" s="816" t="s">
        <v>712</v>
      </c>
      <c r="E106" s="893">
        <v>0.2</v>
      </c>
      <c r="F106" s="880">
        <v>30</v>
      </c>
    </row>
    <row r="107" spans="1:6" s="876" customFormat="1" ht="36">
      <c r="A107" s="880">
        <v>47</v>
      </c>
      <c r="B107" s="3321" t="s">
        <v>713</v>
      </c>
      <c r="C107" s="880" t="s">
        <v>714</v>
      </c>
      <c r="D107" s="816" t="s">
        <v>715</v>
      </c>
      <c r="E107" s="893">
        <v>0.3</v>
      </c>
      <c r="F107" s="880">
        <v>50</v>
      </c>
    </row>
    <row r="108" spans="1:6" s="876" customFormat="1" ht="36">
      <c r="A108" s="880">
        <v>48</v>
      </c>
      <c r="B108" s="332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21" t="s">
        <v>724</v>
      </c>
      <c r="C111" s="880" t="s">
        <v>725</v>
      </c>
      <c r="D111" s="816" t="s">
        <v>726</v>
      </c>
      <c r="E111" s="893">
        <v>0.2</v>
      </c>
      <c r="F111" s="880">
        <v>30</v>
      </c>
    </row>
    <row r="112" spans="1:6" s="876" customFormat="1" ht="24">
      <c r="A112" s="880">
        <v>52</v>
      </c>
      <c r="B112" s="3321"/>
      <c r="C112" s="880" t="s">
        <v>727</v>
      </c>
      <c r="D112" s="816" t="s">
        <v>728</v>
      </c>
      <c r="E112" s="893">
        <v>0.2</v>
      </c>
      <c r="F112" s="880">
        <v>30</v>
      </c>
    </row>
    <row r="113" spans="1:6" s="876" customFormat="1" ht="24">
      <c r="A113" s="880">
        <v>53</v>
      </c>
      <c r="B113" s="332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21" t="s">
        <v>737</v>
      </c>
      <c r="C116" s="880" t="s">
        <v>738</v>
      </c>
      <c r="D116" s="816" t="s">
        <v>739</v>
      </c>
      <c r="E116" s="893">
        <v>0.2</v>
      </c>
      <c r="F116" s="880">
        <v>30</v>
      </c>
    </row>
    <row r="117" spans="1:6" ht="36">
      <c r="A117" s="880">
        <v>57</v>
      </c>
      <c r="B117" s="332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2999</v>
      </c>
    </row>
    <row r="2" spans="1:5" ht="15.75">
      <c r="A2" s="2898" t="s">
        <v>2991</v>
      </c>
      <c r="B2" s="2899" t="e">
        <f ca="1">SUMIF(B6:B13,"&lt;&gt;#ref!",B6:B13)</f>
        <v>#DIV/0!</v>
      </c>
      <c r="C2" s="2898" t="s">
        <v>2992</v>
      </c>
      <c r="D2" s="2898" t="s">
        <v>2993</v>
      </c>
      <c r="E2" s="2899">
        <f ca="1">SUMIF(E6:E13,"&lt;&gt;#ref!",E6:E13)</f>
        <v>0</v>
      </c>
    </row>
    <row r="3" spans="1:5" ht="15.75">
      <c r="A3" s="2898" t="s">
        <v>2994</v>
      </c>
      <c r="B3" s="2899" t="e">
        <f ca="1">ROUND(B2*10000/E2,0)</f>
        <v>#DIV/0!</v>
      </c>
      <c r="C3" s="2898" t="s">
        <v>3000</v>
      </c>
      <c r="D3" s="2900"/>
      <c r="E3" s="2900"/>
    </row>
    <row r="4" spans="1:5" ht="15.75">
      <c r="A4" s="2901"/>
      <c r="B4" s="2900"/>
      <c r="C4" s="2900"/>
      <c r="D4" s="2900"/>
      <c r="E4" s="2900"/>
    </row>
    <row r="5" spans="1:5" ht="28.5">
      <c r="A5" s="2902" t="s">
        <v>2995</v>
      </c>
      <c r="B5" s="2898" t="s">
        <v>2996</v>
      </c>
      <c r="C5" s="2899"/>
      <c r="D5" s="2900"/>
      <c r="E5" s="2898" t="s">
        <v>2997</v>
      </c>
    </row>
    <row r="6" spans="1:5" ht="15.75">
      <c r="A6" s="2903" t="s">
        <v>2998</v>
      </c>
      <c r="B6" s="2899" t="e">
        <f ca="1">SUMIF(INDIRECT("'"&amp;A6&amp;"'"&amp;"!A:A"),"总价",INDIRECT("'"&amp;A6&amp;"'"&amp;"!B:B"))</f>
        <v>#DIV/0!</v>
      </c>
      <c r="C6" s="2898" t="s">
        <v>2992</v>
      </c>
      <c r="D6" s="2900"/>
      <c r="E6" s="2571">
        <f ca="1">SUMIF(INDIRECT("'"&amp;A6&amp;"'"&amp;"!C:C"),"建筑面积",INDIRECT("'"&amp;A6&amp;"'"&amp;"!D:D"))</f>
        <v>0</v>
      </c>
    </row>
    <row r="7" spans="1:5" ht="15.75">
      <c r="A7" s="2903"/>
      <c r="B7" s="2899" t="e">
        <f ca="1">SUMIF(INDIRECT("'"&amp;A7&amp;"'"&amp;"!A:A"),"总价",INDIRECT("'"&amp;A7&amp;"'"&amp;"!B:B"))</f>
        <v>#REF!</v>
      </c>
      <c r="C7" s="2898" t="s">
        <v>2992</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2992</v>
      </c>
      <c r="D8" s="2900"/>
      <c r="E8" s="2571" t="e">
        <f t="shared" ca="1" si="0"/>
        <v>#REF!</v>
      </c>
    </row>
    <row r="9" spans="1:5" ht="15.75">
      <c r="A9" s="2903"/>
      <c r="B9" s="2899" t="e">
        <f t="shared" ca="1" si="1"/>
        <v>#REF!</v>
      </c>
      <c r="C9" s="2898" t="s">
        <v>2992</v>
      </c>
      <c r="D9" s="2900"/>
      <c r="E9" s="2571" t="e">
        <f t="shared" ca="1" si="0"/>
        <v>#REF!</v>
      </c>
    </row>
    <row r="10" spans="1:5" ht="15.75">
      <c r="A10" s="2903"/>
      <c r="B10" s="2899" t="e">
        <f t="shared" ca="1" si="1"/>
        <v>#REF!</v>
      </c>
      <c r="C10" s="2898" t="s">
        <v>2992</v>
      </c>
      <c r="D10" s="2900"/>
      <c r="E10" s="2571" t="e">
        <f t="shared" ca="1" si="0"/>
        <v>#REF!</v>
      </c>
    </row>
    <row r="11" spans="1:5" ht="15.75">
      <c r="A11" s="2903"/>
      <c r="B11" s="2899" t="e">
        <f t="shared" ca="1" si="1"/>
        <v>#REF!</v>
      </c>
      <c r="C11" s="2898" t="s">
        <v>2992</v>
      </c>
      <c r="D11" s="2900"/>
      <c r="E11" s="2571" t="e">
        <f t="shared" ca="1" si="0"/>
        <v>#REF!</v>
      </c>
    </row>
    <row r="12" spans="1:5" ht="15.75">
      <c r="A12" s="2903"/>
      <c r="B12" s="2899" t="e">
        <f t="shared" ca="1" si="1"/>
        <v>#REF!</v>
      </c>
      <c r="C12" s="2898" t="s">
        <v>2992</v>
      </c>
      <c r="D12" s="2900"/>
      <c r="E12" s="2571" t="e">
        <f t="shared" ca="1" si="0"/>
        <v>#REF!</v>
      </c>
    </row>
    <row r="13" spans="1:5" ht="15.75">
      <c r="A13" s="2903"/>
      <c r="B13" s="2899" t="e">
        <f t="shared" ca="1" si="1"/>
        <v>#REF!</v>
      </c>
      <c r="C13" s="2898" t="s">
        <v>2992</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7" t="s">
        <v>1146</v>
      </c>
      <c r="C1" s="3327"/>
      <c r="D1" s="3327"/>
      <c r="E1" s="3327"/>
      <c r="F1" s="3327"/>
      <c r="G1" s="3323" t="s">
        <v>1147</v>
      </c>
      <c r="H1" s="3323"/>
      <c r="I1" s="3323"/>
      <c r="J1" s="3323"/>
      <c r="K1" s="3323"/>
      <c r="L1" s="3323"/>
      <c r="N1" s="3323" t="s">
        <v>1148</v>
      </c>
      <c r="O1" s="3323"/>
      <c r="P1" s="3323"/>
      <c r="Q1" s="3323"/>
      <c r="R1" s="1444"/>
      <c r="S1" s="3323" t="s">
        <v>1149</v>
      </c>
      <c r="T1" s="3323"/>
      <c r="U1" s="3323"/>
      <c r="V1" s="3323"/>
      <c r="X1" s="3322" t="s">
        <v>1150</v>
      </c>
      <c r="Y1" s="3323"/>
      <c r="Z1" s="3323"/>
      <c r="AA1" s="3323"/>
      <c r="AB1" s="3323"/>
      <c r="AD1" s="3322" t="s">
        <v>1151</v>
      </c>
      <c r="AE1" s="3323"/>
      <c r="AF1" s="3323"/>
      <c r="AG1" s="3323"/>
      <c r="AH1" s="3323"/>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4" customFormat="1" ht="14.25">
      <c r="A3" s="2923" t="s">
        <v>3034</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1" customFormat="1" ht="14.25">
      <c r="B4" s="1452"/>
      <c r="C4" s="1452"/>
      <c r="D4" s="1453"/>
      <c r="E4" s="1453"/>
      <c r="F4" s="1452"/>
      <c r="G4" s="1454"/>
      <c r="H4" s="1455"/>
      <c r="I4" s="2909"/>
      <c r="J4" s="2909"/>
      <c r="K4" s="2909"/>
      <c r="L4" s="2909"/>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3048</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8">
        <v>2019</v>
      </c>
      <c r="H5" s="1728">
        <v>2</v>
      </c>
      <c r="I5" s="2910">
        <v>0</v>
      </c>
      <c r="J5" s="2910">
        <v>0</v>
      </c>
      <c r="K5" s="2910">
        <v>0</v>
      </c>
      <c r="L5" s="2910">
        <v>0</v>
      </c>
      <c r="N5" s="1465">
        <f>I5/100</f>
        <v>0</v>
      </c>
      <c r="O5" s="1465">
        <f t="shared" ref="O5" si="7">J5/100</f>
        <v>0</v>
      </c>
      <c r="P5" s="1465">
        <f t="shared" ref="P5" si="8">K5/100</f>
        <v>0</v>
      </c>
      <c r="Q5" s="1465">
        <f t="shared" ref="Q5" si="9">L5/100</f>
        <v>0</v>
      </c>
      <c r="R5" s="1730"/>
      <c r="S5" s="1731"/>
      <c r="T5" s="1730"/>
      <c r="U5" s="1730"/>
      <c r="V5" s="1730"/>
      <c r="W5" s="2913" t="s">
        <v>3035</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3049</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7">
        <v>2019</v>
      </c>
      <c r="H6" s="1462">
        <v>1</v>
      </c>
      <c r="I6" s="2929">
        <v>0.6</v>
      </c>
      <c r="J6" s="2929">
        <v>0.37</v>
      </c>
      <c r="K6" s="2929">
        <v>0.63</v>
      </c>
      <c r="L6" s="2930">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3047</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25">
        <v>2018</v>
      </c>
      <c r="H7" s="1462">
        <v>4</v>
      </c>
      <c r="I7" s="2929">
        <v>0.96</v>
      </c>
      <c r="J7" s="2929">
        <v>1.03</v>
      </c>
      <c r="K7" s="2929">
        <v>0.92</v>
      </c>
      <c r="L7" s="2930">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3041</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25"/>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3040</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25"/>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3033</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32"/>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3030</v>
      </c>
      <c r="B11" s="1467">
        <v>439</v>
      </c>
      <c r="C11" s="1467">
        <v>327</v>
      </c>
      <c r="D11" s="1467">
        <f>C11</f>
        <v>327</v>
      </c>
      <c r="E11" s="1467">
        <v>627</v>
      </c>
      <c r="F11" s="1468">
        <v>283</v>
      </c>
      <c r="G11" s="3328">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3031</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25"/>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25"/>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32"/>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28">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25"/>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25"/>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26"/>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24">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25"/>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25"/>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26"/>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24">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25"/>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25"/>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26"/>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29">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30"/>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30"/>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31"/>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24">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25"/>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25"/>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26"/>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24">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25">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25">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26">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24">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25">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25">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26">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24">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25">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25">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26">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24">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25">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25">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26">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24">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25">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25">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26">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24">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25">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25">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26">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24">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25">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25">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26">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24">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25">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25">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26">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24">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25">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25">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26">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24">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25">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25">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26">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59"/>
      <c r="B4" s="3012" t="s">
        <v>1626</v>
      </c>
      <c r="C4" s="3012"/>
      <c r="D4" s="3012"/>
      <c r="E4" s="1959"/>
    </row>
    <row r="5" spans="1:5" ht="16.5" thickTop="1">
      <c r="A5" s="1957"/>
      <c r="B5" s="3010" t="s">
        <v>1618</v>
      </c>
      <c r="C5" s="1960" t="s">
        <v>1619</v>
      </c>
      <c r="D5" s="1038">
        <f ca="1">结果表!H101</f>
        <v>84932</v>
      </c>
      <c r="E5" s="1957"/>
    </row>
    <row r="6" spans="1:5" ht="15.75">
      <c r="A6" s="1957"/>
      <c r="B6" s="3010"/>
      <c r="C6" s="1960" t="s">
        <v>1620</v>
      </c>
      <c r="D6" s="1038" t="str">
        <f ca="1">NUMBERSTRING(INT(D5*10000),2)&amp;"元整"</f>
        <v>捌亿肆仟玖佰叁拾贰万元整</v>
      </c>
      <c r="E6" s="1957"/>
    </row>
    <row r="7" spans="1:5" ht="15.75">
      <c r="A7" s="1957"/>
      <c r="B7" s="3015"/>
      <c r="C7" s="1961" t="s">
        <v>1621</v>
      </c>
      <c r="D7" s="1039" t="e">
        <f ca="1">结果表!H102</f>
        <v>#DIV/0!</v>
      </c>
      <c r="E7" s="1957"/>
    </row>
    <row r="8" spans="1:5" ht="15.75">
      <c r="A8" s="1957"/>
      <c r="B8" s="3016" t="str">
        <f>结果表!E103</f>
        <v>2.估价师知悉的法定优先受偿款</v>
      </c>
      <c r="C8" s="1962" t="s">
        <v>1622</v>
      </c>
      <c r="D8" s="1039">
        <f>结果表!H103</f>
        <v>0</v>
      </c>
      <c r="E8" s="1957"/>
    </row>
    <row r="9" spans="1:5" ht="15.75">
      <c r="A9" s="1957"/>
      <c r="B9" s="3018"/>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3009" t="str">
        <f>结果表!E107</f>
        <v>3.房地产抵押价值</v>
      </c>
      <c r="C13" s="1965" t="s">
        <v>1619</v>
      </c>
      <c r="D13" s="1041">
        <f ca="1">结果表!H107</f>
        <v>84932</v>
      </c>
      <c r="E13" s="1957"/>
    </row>
    <row r="14" spans="1:5" ht="15.75">
      <c r="A14" s="1957"/>
      <c r="B14" s="3010"/>
      <c r="C14" s="1960" t="s">
        <v>1620</v>
      </c>
      <c r="D14" s="1038" t="str">
        <f ca="1">NUMBERSTRING(INT(D13*10000),2)&amp;"元整"</f>
        <v>捌亿肆仟玖佰叁拾贰万元整</v>
      </c>
      <c r="E14" s="1957"/>
    </row>
    <row r="15" spans="1:5" ht="15">
      <c r="A15" s="1957"/>
      <c r="B15" s="3015"/>
      <c r="C15" s="1961" t="s">
        <v>1630</v>
      </c>
      <c r="D15" s="1050">
        <f ca="1">结果表!H108</f>
        <v>12430</v>
      </c>
      <c r="E15" s="1957"/>
    </row>
    <row r="16" spans="1:5" ht="15">
      <c r="A16" s="1957"/>
      <c r="B16" s="3016" t="str">
        <f>结果表!E109</f>
        <v>——</v>
      </c>
      <c r="C16" s="1965" t="s">
        <v>1631</v>
      </c>
      <c r="D16" s="1966" t="str">
        <f>结果表!H109</f>
        <v>——</v>
      </c>
      <c r="E16" s="1957"/>
    </row>
    <row r="17" spans="1:5" ht="15.75">
      <c r="A17" s="1957"/>
      <c r="B17" s="3017"/>
      <c r="C17" s="1960" t="s">
        <v>1632</v>
      </c>
      <c r="D17" s="1038" t="e">
        <f>NUMBERSTRING(INT(D16*10000),2)&amp;"元整"</f>
        <v>#VALUE!</v>
      </c>
      <c r="E17" s="1957"/>
    </row>
    <row r="18" spans="1:5" ht="15">
      <c r="A18" s="1957"/>
      <c r="B18" s="3018"/>
      <c r="C18" s="1961" t="s">
        <v>1621</v>
      </c>
      <c r="D18" s="1050" t="str">
        <f>结果表!H110</f>
        <v>——</v>
      </c>
      <c r="E18" s="1957"/>
    </row>
    <row r="19" spans="1:5" ht="15.75">
      <c r="A19" s="1957"/>
      <c r="B19" s="3009" t="str">
        <f>结果表!E111</f>
        <v>4.抵押净值</v>
      </c>
      <c r="C19" s="1965" t="s">
        <v>1619</v>
      </c>
      <c r="D19" s="1039">
        <f ca="1">结果表!H111</f>
        <v>73412</v>
      </c>
      <c r="E19" s="1957"/>
    </row>
    <row r="20" spans="1:5" ht="15.75">
      <c r="A20" s="1957"/>
      <c r="B20" s="3010"/>
      <c r="C20" s="1960" t="s">
        <v>1632</v>
      </c>
      <c r="D20" s="1038" t="str">
        <f ca="1">NUMBERSTRING(INT(D19*10000),2)&amp;"元整"</f>
        <v>柒亿叁仟肆佰壹拾贰万元整</v>
      </c>
      <c r="E20" s="1957"/>
    </row>
    <row r="21" spans="1:5" ht="15.75" thickBot="1">
      <c r="A21" s="1957"/>
      <c r="B21" s="3011"/>
      <c r="C21" s="1967" t="s">
        <v>1630</v>
      </c>
      <c r="D21" s="1051">
        <f ca="1">结果表!H112</f>
        <v>10744</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3001</v>
      </c>
      <c r="C1" s="3334" t="s">
        <v>3002</v>
      </c>
      <c r="D1" s="3335"/>
      <c r="E1" s="3335"/>
      <c r="F1" s="3335"/>
      <c r="G1" s="3335"/>
      <c r="H1" s="3335"/>
      <c r="I1" s="3335"/>
      <c r="J1" s="3335"/>
      <c r="K1" s="3335"/>
      <c r="L1" s="3335"/>
      <c r="M1" s="3335"/>
      <c r="N1" s="3335"/>
      <c r="O1" s="3335"/>
      <c r="P1" s="3335"/>
      <c r="Q1" s="3335"/>
      <c r="R1" s="3335"/>
      <c r="S1" s="3336"/>
      <c r="T1" s="1202" t="s">
        <v>3003</v>
      </c>
    </row>
    <row r="2" spans="1:45" s="706" customFormat="1">
      <c r="A2" s="1203"/>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3005</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4" t="s">
        <v>3011</v>
      </c>
      <c r="B17" s="2905"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6" t="s">
        <v>3013</v>
      </c>
      <c r="E19" s="1790"/>
      <c r="F19" s="1790"/>
      <c r="G19" s="1790"/>
      <c r="H19" s="1278"/>
      <c r="I19" s="167"/>
      <c r="J19" s="167"/>
      <c r="K19" s="167"/>
      <c r="L19" s="167"/>
      <c r="M19" s="167"/>
      <c r="N19" s="167"/>
      <c r="O19" s="167"/>
      <c r="P19" s="167"/>
      <c r="Q19" s="167"/>
      <c r="R19" s="786"/>
      <c r="S19" s="137"/>
    </row>
    <row r="20" spans="1:45" ht="16.5" thickBot="1">
      <c r="A20" s="714" t="s">
        <v>3014</v>
      </c>
      <c r="B20" s="337" t="e">
        <f ca="1">IF(D20="——",S22,S22-F20)</f>
        <v>#REF!</v>
      </c>
      <c r="C20" s="167"/>
      <c r="D20" s="2907" t="s">
        <v>3015</v>
      </c>
      <c r="E20" s="1791"/>
      <c r="F20" s="1202" t="e">
        <f ca="1">SUMIF(INDIRECT("'"&amp;H20&amp;"'"&amp;"!A:A"),"承租人权益价值",INDIRECT("'"&amp;H20&amp;"'"&amp;"!c:c"))</f>
        <v>#REF!</v>
      </c>
      <c r="G20" s="1202" t="s">
        <v>3016</v>
      </c>
      <c r="H20" s="2908"/>
      <c r="I20" s="167"/>
      <c r="J20" s="167"/>
      <c r="K20" s="167"/>
      <c r="L20" s="167"/>
      <c r="M20" s="167"/>
      <c r="N20" s="167"/>
      <c r="O20" s="167"/>
      <c r="P20" s="167"/>
      <c r="Q20" s="167"/>
      <c r="R20" s="786"/>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6"/>
      <c r="S21" s="137"/>
    </row>
    <row r="22" spans="1:45">
      <c r="A22" s="360" t="s">
        <v>3018</v>
      </c>
      <c r="B22" s="24">
        <f>SUM(B24:B10000)</f>
        <v>100</v>
      </c>
      <c r="C22" s="3109" t="s">
        <v>33</v>
      </c>
      <c r="D22" s="3110"/>
      <c r="E22" s="3110"/>
      <c r="F22" s="3110"/>
      <c r="G22" s="3110"/>
      <c r="H22" s="3110"/>
      <c r="I22" s="3110"/>
      <c r="J22" s="3110"/>
      <c r="K22" s="3110"/>
      <c r="L22" s="3110"/>
      <c r="M22" s="3110"/>
      <c r="N22" s="3110"/>
      <c r="O22" s="3110"/>
      <c r="P22" s="3110"/>
      <c r="Q22" s="3333"/>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61981</v>
      </c>
      <c r="C2" s="2" t="s">
        <v>133</v>
      </c>
      <c r="D2" s="242"/>
      <c r="E2" s="242"/>
      <c r="F2" s="242"/>
      <c r="G2" s="242"/>
    </row>
    <row r="3" spans="1:7" s="243" customFormat="1" ht="18" customHeight="1" thickBot="1">
      <c r="A3" s="246" t="s">
        <v>85</v>
      </c>
      <c r="B3" s="247">
        <f ca="1">ROUND(B2*10000/'数据-汇总表'!E3,0)</f>
        <v>9071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547</v>
      </c>
      <c r="D10" s="1030">
        <f>'数据-汇总表'!E6</f>
        <v>68327.850000000006</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1367</v>
      </c>
      <c r="D19" s="1034">
        <f>'数据-汇总表'!E3</f>
        <v>68327.850000000006</v>
      </c>
      <c r="E19" s="254">
        <f>'数据-取费表'!B31</f>
        <v>200</v>
      </c>
      <c r="F19" s="274"/>
      <c r="G19" s="1" t="s">
        <v>1071</v>
      </c>
    </row>
    <row r="20" spans="1:7" s="257" customFormat="1" ht="13.5" customHeight="1">
      <c r="A20" s="946" t="s">
        <v>1054</v>
      </c>
      <c r="B20" s="253" t="s">
        <v>104</v>
      </c>
      <c r="C20" s="275">
        <f>ROUND((C5+C19)*F20,0)</f>
        <v>440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2158</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133</v>
      </c>
      <c r="D24" s="281"/>
      <c r="E24" s="281"/>
      <c r="F24" s="282"/>
      <c r="G24" s="283" t="s">
        <v>109</v>
      </c>
    </row>
    <row r="25" spans="1:7" s="257" customFormat="1" ht="24">
      <c r="A25" s="949" t="s">
        <v>793</v>
      </c>
      <c r="B25" s="258" t="s">
        <v>1055</v>
      </c>
      <c r="C25" s="1353">
        <f ca="1">ROUND(IF('数据-取费表'!B22&lt;=1,C20*F22*'数据-取费表'!B23/2,C20*(POWER((1+F22),'数据-取费表'!B23/2)-1)),0)</f>
        <v>21</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4483</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4483</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31495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22788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20499</v>
      </c>
      <c r="D34" s="260"/>
      <c r="E34" s="263"/>
      <c r="F34" s="300">
        <f>IF('数据-取费表'!B24=0,1,'数据-取费表'!N16)</f>
        <v>1</v>
      </c>
      <c r="G34" s="262" t="s">
        <v>116</v>
      </c>
    </row>
    <row r="35" spans="1:7" ht="13.5" customHeight="1">
      <c r="A35" s="949" t="s">
        <v>796</v>
      </c>
      <c r="B35" s="258" t="s">
        <v>60</v>
      </c>
      <c r="C35" s="263">
        <f>ROUND(C34*F35,0)</f>
        <v>615</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1367</v>
      </c>
      <c r="D37" s="260">
        <f>'数据-汇总表'!E3</f>
        <v>68327.850000000006</v>
      </c>
      <c r="E37" s="292">
        <f>'数据-取费表'!B35</f>
        <v>200</v>
      </c>
      <c r="F37" s="302"/>
      <c r="G37" s="304" t="s">
        <v>119</v>
      </c>
    </row>
    <row r="38" spans="1:7" ht="13.5" customHeight="1">
      <c r="A38" s="949" t="s">
        <v>799</v>
      </c>
      <c r="B38" s="258" t="s">
        <v>63</v>
      </c>
      <c r="C38" s="263">
        <f>ROUND(C34*F38,0)</f>
        <v>307</v>
      </c>
      <c r="D38" s="263"/>
      <c r="E38" s="263"/>
      <c r="F38" s="302">
        <f>'数据-取费表'!B36</f>
        <v>1.4999999999999999E-2</v>
      </c>
      <c r="G38" s="262" t="s">
        <v>117</v>
      </c>
    </row>
    <row r="39" spans="1:7" s="257" customFormat="1" ht="13.5" customHeight="1">
      <c r="A39" s="946" t="s">
        <v>783</v>
      </c>
      <c r="B39" s="253" t="s">
        <v>104</v>
      </c>
      <c r="C39" s="275">
        <f>ROUND(C33*F20,0)</f>
        <v>456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1104</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1082</v>
      </c>
      <c r="D42" s="281"/>
      <c r="E42" s="281"/>
      <c r="F42" s="282"/>
      <c r="G42" s="3194" t="s">
        <v>121</v>
      </c>
    </row>
    <row r="43" spans="1:7" ht="13.5" customHeight="1">
      <c r="A43" s="949" t="s">
        <v>792</v>
      </c>
      <c r="B43" s="258" t="s">
        <v>1061</v>
      </c>
      <c r="C43" s="281">
        <f ca="1">ROUND(IF('数据-取费表'!B22&lt;=1,C39*F22*'数据-取费表'!B21/2,C39*(POWER((1+F22),'数据-取费表'!B21/2)-1)),0)</f>
        <v>22</v>
      </c>
      <c r="D43" s="281"/>
      <c r="E43" s="281"/>
      <c r="F43" s="282"/>
      <c r="G43" s="3195"/>
    </row>
    <row r="44" spans="1:7" ht="13.5" customHeight="1">
      <c r="A44" s="949" t="s">
        <v>793</v>
      </c>
      <c r="B44" s="258" t="s">
        <v>1063</v>
      </c>
      <c r="C44" s="281">
        <f ca="1">ROUND(IF('数据-取费表'!B22&lt;=1,C40*F22*'数据-取费表'!B21/2,C40*(POWER((1+F22),'数据-取费表'!B21/2)-1)),4)</f>
        <v>1E-3</v>
      </c>
      <c r="D44" s="281"/>
      <c r="E44" s="281"/>
      <c r="F44" s="282"/>
      <c r="G44" s="3196"/>
    </row>
    <row r="45" spans="1:7" s="257" customFormat="1" ht="13.5" customHeight="1">
      <c r="A45" s="946" t="s">
        <v>786</v>
      </c>
      <c r="B45" s="287" t="s">
        <v>112</v>
      </c>
      <c r="C45" s="288">
        <f>C46</f>
        <v>4649</v>
      </c>
      <c r="D45" s="278">
        <f>C47</f>
        <v>4.0000000000000001E-3</v>
      </c>
      <c r="E45" s="279" t="s">
        <v>129</v>
      </c>
      <c r="F45" s="289"/>
      <c r="G45" s="290" t="s">
        <v>1069</v>
      </c>
    </row>
    <row r="46" spans="1:7" s="257" customFormat="1" ht="13.5" customHeight="1">
      <c r="A46" s="949" t="s">
        <v>794</v>
      </c>
      <c r="B46" s="291" t="s">
        <v>1062</v>
      </c>
      <c r="C46" s="292">
        <f>ROUND((C33+C39)*F27,0)</f>
        <v>4649</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31429</v>
      </c>
      <c r="D49" s="275"/>
      <c r="E49" s="275"/>
      <c r="F49" s="307"/>
      <c r="G49" s="277" t="s">
        <v>1070</v>
      </c>
    </row>
    <row r="50" spans="1:7" s="301" customFormat="1" ht="24">
      <c r="A50" s="946" t="s">
        <v>789</v>
      </c>
      <c r="B50" s="253" t="s">
        <v>124</v>
      </c>
      <c r="C50" s="275"/>
      <c r="D50" s="275"/>
      <c r="E50" s="275"/>
      <c r="F50" s="307">
        <f>IF('数据-取费表'!B24=0,'数据-取费表'!N16,1)</f>
        <v>0.97</v>
      </c>
      <c r="G50" s="290" t="s">
        <v>125</v>
      </c>
    </row>
    <row r="51" spans="1:7" ht="16.5" customHeight="1">
      <c r="A51" s="946" t="s">
        <v>790</v>
      </c>
      <c r="B51" s="253" t="s">
        <v>132</v>
      </c>
      <c r="C51" s="275">
        <f ca="1">ROUND(C49*F50,0)</f>
        <v>30486</v>
      </c>
      <c r="D51" s="275"/>
      <c r="E51" s="275"/>
      <c r="F51" s="307"/>
      <c r="G51" s="277" t="s">
        <v>64</v>
      </c>
    </row>
    <row r="52" spans="1:7" s="251" customFormat="1" ht="16.5" thickBot="1">
      <c r="A52" s="308" t="s">
        <v>65</v>
      </c>
      <c r="B52" s="309"/>
      <c r="C52" s="310">
        <f ca="1">C31+C51</f>
        <v>61981</v>
      </c>
      <c r="D52" s="309"/>
      <c r="E52" s="309"/>
      <c r="F52" s="309"/>
      <c r="G52" s="311"/>
    </row>
    <row r="55" spans="1:7" ht="15">
      <c r="B55" s="313" t="s">
        <v>66</v>
      </c>
      <c r="C55" s="314"/>
    </row>
    <row r="56" spans="1:7">
      <c r="B56" s="316" t="s">
        <v>67</v>
      </c>
      <c r="C56" s="317">
        <f ca="1">ROUND(C51/C52,3)</f>
        <v>0.49199999999999999</v>
      </c>
    </row>
    <row r="57" spans="1:7">
      <c r="B57" s="316" t="s">
        <v>68</v>
      </c>
      <c r="C57" s="318">
        <f ca="1">1-C56</f>
        <v>0.50800000000000001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7" t="s">
        <v>156</v>
      </c>
      <c r="B1" s="3337"/>
      <c r="C1" s="3337"/>
      <c r="D1" s="3337"/>
      <c r="E1" s="3337"/>
      <c r="F1" s="333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38" t="s">
        <v>169</v>
      </c>
      <c r="B2" s="3338"/>
      <c r="C2" s="3338"/>
      <c r="D2" s="3338"/>
      <c r="E2" s="3338"/>
      <c r="F2" s="333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3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4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7" t="s">
        <v>868</v>
      </c>
      <c r="B1" s="333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
  <sheetViews>
    <sheetView tabSelected="1" topLeftCell="A22" workbookViewId="0">
      <selection activeCell="D28" sqref="D28"/>
    </sheetView>
  </sheetViews>
  <sheetFormatPr defaultRowHeight="13.5"/>
  <cols>
    <col min="1" max="1" width="50.625" customWidth="1"/>
    <col min="2" max="3" width="11.625" bestFit="1" customWidth="1"/>
    <col min="7" max="7" width="9.5" bestFit="1" customWidth="1"/>
    <col min="10" max="10" width="11.625" bestFit="1" customWidth="1"/>
    <col min="11" max="11" width="14.875" customWidth="1"/>
    <col min="12" max="12" width="11.625" bestFit="1" customWidth="1"/>
    <col min="13" max="13" width="10.5" bestFit="1" customWidth="1"/>
    <col min="14" max="14" width="11.625" bestFit="1" customWidth="1"/>
  </cols>
  <sheetData>
    <row r="1" spans="1:16">
      <c r="A1" s="2981" t="s">
        <v>3118</v>
      </c>
      <c r="B1" s="2981" t="s">
        <v>3119</v>
      </c>
      <c r="C1" s="2981" t="s">
        <v>3120</v>
      </c>
      <c r="D1" s="2981" t="s">
        <v>3121</v>
      </c>
      <c r="E1" s="2981" t="s">
        <v>3122</v>
      </c>
      <c r="F1" s="2981" t="s">
        <v>3123</v>
      </c>
      <c r="G1" s="2981" t="s">
        <v>3124</v>
      </c>
      <c r="H1" s="2981" t="s">
        <v>3125</v>
      </c>
      <c r="I1" s="2982"/>
      <c r="J1" s="3344" t="s">
        <v>4135</v>
      </c>
      <c r="K1" s="3344" t="s">
        <v>4134</v>
      </c>
    </row>
    <row r="2" spans="1:16">
      <c r="A2" s="2983" t="s">
        <v>3126</v>
      </c>
      <c r="B2" s="2984">
        <v>3</v>
      </c>
      <c r="C2" s="2985">
        <v>1631.58</v>
      </c>
      <c r="D2" s="2985">
        <v>1631.58</v>
      </c>
      <c r="E2" s="2986">
        <v>47.45</v>
      </c>
      <c r="F2" s="2986">
        <v>5</v>
      </c>
      <c r="G2" s="2984" t="s">
        <v>3127</v>
      </c>
      <c r="H2" s="2984">
        <v>2</v>
      </c>
      <c r="I2" s="2986"/>
      <c r="J2" s="3346">
        <v>43085</v>
      </c>
      <c r="K2" s="3345">
        <v>44910</v>
      </c>
      <c r="L2" s="3347">
        <f>(K2-J2)/365</f>
        <v>5</v>
      </c>
      <c r="M2" s="2987"/>
      <c r="N2" s="2987"/>
      <c r="O2" s="2987"/>
      <c r="P2" s="2987"/>
    </row>
    <row r="3" spans="1:16">
      <c r="A3" s="2985" t="s">
        <v>3128</v>
      </c>
      <c r="B3" s="2984">
        <v>4</v>
      </c>
      <c r="C3" s="2986">
        <v>1593.95</v>
      </c>
      <c r="D3" s="2985">
        <v>1585.8</v>
      </c>
      <c r="E3" s="2986">
        <v>18</v>
      </c>
      <c r="F3" s="2986">
        <v>5</v>
      </c>
      <c r="G3" s="2984" t="s">
        <v>3129</v>
      </c>
      <c r="H3" s="2986">
        <v>4</v>
      </c>
      <c r="I3" s="2986"/>
      <c r="M3" s="2987"/>
      <c r="N3" s="2987"/>
      <c r="O3" s="2987"/>
      <c r="P3" s="2987"/>
    </row>
    <row r="4" spans="1:16">
      <c r="A4" s="2983" t="s">
        <v>3130</v>
      </c>
      <c r="B4" s="2986">
        <v>5</v>
      </c>
      <c r="C4" s="2986">
        <v>1596.34</v>
      </c>
      <c r="D4" s="2985">
        <v>1588.17</v>
      </c>
      <c r="E4" s="2986">
        <v>17</v>
      </c>
      <c r="F4" s="2986">
        <v>5</v>
      </c>
      <c r="G4" s="2984" t="s">
        <v>3131</v>
      </c>
      <c r="H4" s="2984">
        <v>3</v>
      </c>
      <c r="I4" s="2986"/>
      <c r="M4" s="2987"/>
      <c r="N4" s="2987"/>
      <c r="O4" s="2987"/>
      <c r="P4" s="2987"/>
    </row>
    <row r="5" spans="1:16">
      <c r="A5" s="2983" t="s">
        <v>3132</v>
      </c>
      <c r="B5" s="2986">
        <v>3</v>
      </c>
      <c r="C5" s="2986">
        <v>1605.78</v>
      </c>
      <c r="D5" s="2986">
        <v>1528.01</v>
      </c>
      <c r="E5" s="2986">
        <v>21</v>
      </c>
      <c r="F5" s="2986">
        <v>5</v>
      </c>
      <c r="G5" s="2984" t="s">
        <v>3133</v>
      </c>
      <c r="H5" s="2984">
        <v>2</v>
      </c>
      <c r="I5" s="2986"/>
      <c r="M5" s="2987"/>
      <c r="N5" s="2987"/>
      <c r="O5" s="2987"/>
      <c r="P5" s="2987"/>
    </row>
    <row r="6" spans="1:16">
      <c r="A6" s="2985" t="s">
        <v>3134</v>
      </c>
      <c r="B6" s="2986">
        <v>4</v>
      </c>
      <c r="C6" s="2986">
        <v>2592.6999999999998</v>
      </c>
      <c r="D6" s="2985">
        <v>2592.6999999999998</v>
      </c>
      <c r="E6" s="2986">
        <v>15</v>
      </c>
      <c r="F6" s="2986">
        <v>5</v>
      </c>
      <c r="G6" s="2984" t="s">
        <v>3135</v>
      </c>
      <c r="H6" s="2984">
        <v>2</v>
      </c>
      <c r="I6" s="2986"/>
      <c r="M6" s="2987"/>
      <c r="N6" s="2987"/>
      <c r="O6" s="2987"/>
      <c r="P6" s="2987"/>
    </row>
    <row r="7" spans="1:16">
      <c r="A7" s="2983" t="s">
        <v>3136</v>
      </c>
      <c r="B7" s="2986">
        <v>3</v>
      </c>
      <c r="C7" s="2986">
        <v>1480.57</v>
      </c>
      <c r="D7" s="2985">
        <v>1332.68</v>
      </c>
      <c r="E7" s="2986">
        <v>20.3</v>
      </c>
      <c r="F7" s="2986">
        <v>5</v>
      </c>
      <c r="G7" s="2984" t="s">
        <v>3133</v>
      </c>
      <c r="H7" s="2984">
        <v>2</v>
      </c>
      <c r="I7" s="2986"/>
      <c r="M7" s="2987"/>
      <c r="N7" s="2987"/>
      <c r="O7" s="2987"/>
      <c r="P7" s="2987"/>
    </row>
    <row r="8" spans="1:16">
      <c r="A8" s="2983" t="s">
        <v>3137</v>
      </c>
      <c r="B8" s="2984">
        <v>4</v>
      </c>
      <c r="C8" s="2986"/>
      <c r="D8" s="2986">
        <v>1174.06</v>
      </c>
      <c r="E8" s="2986"/>
      <c r="F8" s="2986"/>
      <c r="G8" s="2984"/>
      <c r="H8" s="2984"/>
      <c r="I8" s="2986"/>
      <c r="M8" s="2987"/>
      <c r="N8" s="2987"/>
      <c r="O8" s="2987"/>
      <c r="P8" s="2987"/>
    </row>
    <row r="9" spans="1:16">
      <c r="A9" s="2983" t="s">
        <v>3138</v>
      </c>
      <c r="B9" s="2984">
        <v>5</v>
      </c>
      <c r="C9" s="2986">
        <v>2265.36</v>
      </c>
      <c r="D9" s="2986">
        <v>1091.3</v>
      </c>
      <c r="E9" s="2986">
        <v>20</v>
      </c>
      <c r="F9" s="2986">
        <v>10</v>
      </c>
      <c r="G9" s="2984" t="s">
        <v>3139</v>
      </c>
      <c r="H9" s="2984">
        <v>1</v>
      </c>
      <c r="I9" s="2986"/>
      <c r="M9" s="2987"/>
      <c r="N9" s="2987"/>
      <c r="O9" s="2987"/>
      <c r="P9" s="2987"/>
    </row>
    <row r="10" spans="1:16">
      <c r="A10" s="2985" t="s">
        <v>3140</v>
      </c>
      <c r="B10" s="2986">
        <v>3</v>
      </c>
      <c r="C10" s="2986">
        <v>1656.22</v>
      </c>
      <c r="D10" s="2985">
        <v>1886.31</v>
      </c>
      <c r="E10" s="2986">
        <v>21</v>
      </c>
      <c r="F10" s="2986">
        <v>5</v>
      </c>
      <c r="G10" s="2984" t="s">
        <v>3133</v>
      </c>
      <c r="H10" s="2986"/>
      <c r="I10" s="2986"/>
    </row>
    <row r="11" spans="1:16">
      <c r="A11" s="2983" t="s">
        <v>3141</v>
      </c>
      <c r="B11" s="2986">
        <v>4</v>
      </c>
      <c r="C11" s="3341">
        <v>2265.36</v>
      </c>
      <c r="D11" s="2985">
        <v>1708</v>
      </c>
      <c r="E11" s="2986">
        <v>13</v>
      </c>
      <c r="F11" s="2986">
        <v>8</v>
      </c>
      <c r="G11" s="2984" t="s">
        <v>3142</v>
      </c>
      <c r="H11" s="2984">
        <v>2</v>
      </c>
      <c r="I11" s="2986"/>
    </row>
    <row r="12" spans="1:16">
      <c r="A12" s="2983" t="s">
        <v>3143</v>
      </c>
      <c r="B12" s="2986">
        <v>5</v>
      </c>
      <c r="C12" s="3342"/>
      <c r="D12" s="2985">
        <v>1361.36</v>
      </c>
      <c r="E12" s="2986">
        <v>13</v>
      </c>
      <c r="F12" s="2986">
        <v>8</v>
      </c>
      <c r="G12" s="2984" t="s">
        <v>3144</v>
      </c>
      <c r="H12" s="2986"/>
      <c r="I12" s="2984" t="s">
        <v>3145</v>
      </c>
    </row>
    <row r="13" spans="1:16">
      <c r="A13" s="2983" t="s">
        <v>3146</v>
      </c>
      <c r="B13" s="2986">
        <v>3</v>
      </c>
      <c r="C13" s="2986">
        <v>2665.51</v>
      </c>
      <c r="D13" s="2986">
        <v>2648.79</v>
      </c>
      <c r="E13" s="2986">
        <v>20</v>
      </c>
      <c r="F13" s="2986">
        <v>5</v>
      </c>
      <c r="G13" s="2984" t="s">
        <v>3144</v>
      </c>
      <c r="H13" s="2986">
        <v>2</v>
      </c>
      <c r="I13" s="2986"/>
    </row>
    <row r="14" spans="1:16">
      <c r="A14" s="2985" t="s">
        <v>3147</v>
      </c>
      <c r="B14" s="2986">
        <v>3</v>
      </c>
      <c r="C14" s="2986">
        <v>720.27</v>
      </c>
      <c r="D14" s="2985">
        <v>720.27</v>
      </c>
      <c r="E14" s="2986">
        <v>35.200000000000003</v>
      </c>
      <c r="F14" s="2986">
        <v>5</v>
      </c>
      <c r="G14" s="2984" t="s">
        <v>3127</v>
      </c>
      <c r="H14" s="2986">
        <v>2</v>
      </c>
      <c r="I14" s="2986"/>
    </row>
    <row r="15" spans="1:16">
      <c r="D15">
        <f>D2+D3+D4+D5+D6+D7+D8+D9+D10+D11+D12+D13+D14</f>
        <v>20849.03</v>
      </c>
    </row>
    <row r="27" spans="1:14" s="2987" customFormat="1">
      <c r="A27" s="3346"/>
      <c r="B27" s="3345">
        <v>43391</v>
      </c>
      <c r="C27" s="3345">
        <v>43465</v>
      </c>
      <c r="D27" s="2996" t="s">
        <v>4120</v>
      </c>
      <c r="E27" s="2997" t="s">
        <v>4121</v>
      </c>
      <c r="F27" s="2997" t="s">
        <v>4122</v>
      </c>
      <c r="G27" s="2997" t="s">
        <v>4123</v>
      </c>
      <c r="H27" s="2997" t="s">
        <v>4124</v>
      </c>
      <c r="I27" s="2997" t="s">
        <v>4125</v>
      </c>
      <c r="J27" s="2996" t="s">
        <v>4126</v>
      </c>
      <c r="K27" s="2996" t="s">
        <v>4127</v>
      </c>
      <c r="L27" s="2996" t="s">
        <v>4128</v>
      </c>
      <c r="M27" s="2996" t="s">
        <v>4129</v>
      </c>
    </row>
    <row r="28" spans="1:14" s="2987" customFormat="1">
      <c r="A28" s="2998" t="s">
        <v>4130</v>
      </c>
      <c r="C28" s="2996">
        <f>ROUND(195000/6.5*2.5,0)</f>
        <v>75000</v>
      </c>
      <c r="G28" s="2994">
        <f>20955550-175500-(195000-135000)+(262500/6*0.5)</f>
        <v>20741925</v>
      </c>
      <c r="H28" s="2987">
        <f>262500*2</f>
        <v>525000</v>
      </c>
      <c r="I28" s="2987">
        <v>525000</v>
      </c>
      <c r="J28" s="2987">
        <v>525000</v>
      </c>
      <c r="K28" s="2987">
        <v>525000</v>
      </c>
      <c r="L28" s="2987">
        <v>525000</v>
      </c>
      <c r="M28" s="2987">
        <v>525000</v>
      </c>
      <c r="N28" s="2987">
        <f>C28+G28+H28+I28+J28+K28+L28+M28</f>
        <v>23966925</v>
      </c>
    </row>
    <row r="29" spans="1:14" s="2987" customFormat="1">
      <c r="A29" s="2999" t="s">
        <v>3128</v>
      </c>
      <c r="C29" s="2987">
        <f>ROUND((86073/6)*2.5,0)</f>
        <v>35864</v>
      </c>
      <c r="G29" s="2994">
        <f>ROUND(1236455-127197-(86073-C29)+(180754/6*1.5),0)</f>
        <v>1104238</v>
      </c>
      <c r="H29" s="2987">
        <f>180754*2</f>
        <v>361508</v>
      </c>
      <c r="I29" s="2987">
        <f>180754*2</f>
        <v>361508</v>
      </c>
      <c r="J29" s="2987">
        <f>180754*2</f>
        <v>361508</v>
      </c>
      <c r="K29" s="2987">
        <f>180754*2</f>
        <v>361508</v>
      </c>
      <c r="L29" s="2987">
        <f>180754*2</f>
        <v>361508</v>
      </c>
      <c r="M29" s="2987">
        <f>180754*2</f>
        <v>361508</v>
      </c>
      <c r="N29" s="2987">
        <f>C29+G29+H29+I29+J29+K29+L29+M29</f>
        <v>3309150</v>
      </c>
    </row>
    <row r="30" spans="1:14" s="2987" customFormat="1">
      <c r="A30" s="2998" t="s">
        <v>4101</v>
      </c>
      <c r="C30" s="2987">
        <f>ROUND((81413/6)*2.5,0)</f>
        <v>33922</v>
      </c>
      <c r="G30" s="2994">
        <f>ROUND(1172351-120311-(81413-C30)+(170968/6*0.5),0)</f>
        <v>1018796</v>
      </c>
      <c r="H30" s="2987">
        <f>170968*2</f>
        <v>341936</v>
      </c>
      <c r="I30" s="2987">
        <f>170968*2</f>
        <v>341936</v>
      </c>
      <c r="J30" s="2987">
        <f>170968*2</f>
        <v>341936</v>
      </c>
      <c r="K30" s="2987">
        <f>170968*2</f>
        <v>341936</v>
      </c>
      <c r="L30" s="2987">
        <f>170968*2</f>
        <v>341936</v>
      </c>
      <c r="M30" s="2987">
        <f>170968*2</f>
        <v>341936</v>
      </c>
      <c r="N30" s="2987">
        <f>C30+G30+H30+I30+J30+K30+L30+M30</f>
        <v>3104334</v>
      </c>
    </row>
    <row r="31" spans="1:14" s="2987" customFormat="1">
      <c r="A31" s="3000" t="s">
        <v>4102</v>
      </c>
      <c r="C31" s="2987">
        <f>ROUND((202328/12)*2.5,0)</f>
        <v>42152</v>
      </c>
      <c r="F31" s="2994">
        <f>1035920-202328-(202328-C31)</f>
        <v>673416</v>
      </c>
      <c r="G31" s="2987">
        <v>214468</v>
      </c>
      <c r="H31" s="2987">
        <v>214468</v>
      </c>
      <c r="I31" s="2987">
        <v>214468</v>
      </c>
      <c r="J31" s="2987">
        <v>214468</v>
      </c>
      <c r="K31" s="2987">
        <v>214468</v>
      </c>
      <c r="L31" s="2987">
        <v>214468</v>
      </c>
      <c r="M31" s="2987">
        <v>214468</v>
      </c>
      <c r="N31" s="2987">
        <f>C31+F31+G31+H31+I31+J31+K31+L31+M31</f>
        <v>2216844</v>
      </c>
    </row>
    <row r="32" spans="1:14" s="2987" customFormat="1">
      <c r="A32" s="3001" t="s">
        <v>3134</v>
      </c>
      <c r="C32" s="2987">
        <f>ROUND((233343/12)*2.5,0)</f>
        <v>48613</v>
      </c>
      <c r="M32" s="2994">
        <f>4852755-233343-(233343-C32)</f>
        <v>4434682</v>
      </c>
      <c r="N32" s="2987">
        <f>C32+M32</f>
        <v>4483295</v>
      </c>
    </row>
    <row r="33" spans="1:17" s="2987" customFormat="1">
      <c r="A33" s="3002" t="s">
        <v>4103</v>
      </c>
      <c r="C33" s="2987">
        <f>ROUND((150278/12)*2.5,0)</f>
        <v>31308</v>
      </c>
      <c r="F33" s="2994">
        <f>737565-150278-(150278-C33)</f>
        <v>468317</v>
      </c>
      <c r="G33" s="2987">
        <v>159295</v>
      </c>
      <c r="H33" s="2987">
        <v>159295</v>
      </c>
      <c r="I33" s="2987">
        <v>159295</v>
      </c>
      <c r="J33" s="2987">
        <v>159295</v>
      </c>
      <c r="K33" s="2987">
        <v>159295</v>
      </c>
      <c r="L33" s="2987">
        <v>159295</v>
      </c>
      <c r="M33" s="2987">
        <v>159295</v>
      </c>
      <c r="N33" s="2987">
        <f>C33+F33+G33+H33+I33+J33+K33+L33+M33</f>
        <v>1614690</v>
      </c>
    </row>
    <row r="34" spans="1:17" s="2987" customFormat="1">
      <c r="A34" s="3002" t="s">
        <v>4104</v>
      </c>
      <c r="C34" s="2987">
        <f>ROUND((135921/6)*1.5,0)</f>
        <v>33980</v>
      </c>
      <c r="L34" s="2994">
        <f>4594146-135921-135921-(135921-C34)+(330426/6)*5</f>
        <v>4495718</v>
      </c>
      <c r="M34" s="2996">
        <f>330426*2</f>
        <v>660852</v>
      </c>
      <c r="N34" s="2987">
        <f>C34+L34+M34</f>
        <v>5190550</v>
      </c>
    </row>
    <row r="35" spans="1:17" s="2987" customFormat="1">
      <c r="A35" s="3003" t="s">
        <v>3140</v>
      </c>
      <c r="C35" s="2987">
        <f>ROUND((173903/12)*4.5,0)</f>
        <v>65214</v>
      </c>
      <c r="G35" s="2994">
        <f>853516-173903-(173903-C35)+(184337/12)*10</f>
        <v>724538.16666666663</v>
      </c>
      <c r="H35" s="2987">
        <v>184337</v>
      </c>
      <c r="I35" s="2987">
        <v>184337</v>
      </c>
      <c r="J35" s="2987">
        <v>184337</v>
      </c>
      <c r="K35" s="2987">
        <v>184337</v>
      </c>
      <c r="L35" s="2987">
        <v>184337</v>
      </c>
      <c r="M35" s="2987">
        <v>184337</v>
      </c>
      <c r="N35" s="2987">
        <f>ROUND(C35+G35+H35+I35+J35+K35+L35+M35,0)</f>
        <v>1895774</v>
      </c>
    </row>
    <row r="36" spans="1:17" s="2987" customFormat="1">
      <c r="A36" s="3004" t="s">
        <v>4105</v>
      </c>
      <c r="C36" s="2987">
        <f>ROUND(66902/6*2.5,0)</f>
        <v>27876</v>
      </c>
      <c r="H36" s="2994">
        <f>ROUND((1834352+1508061)-66902*5-(66902/6)*2.5-54998.58*6,0)</f>
        <v>2650036</v>
      </c>
      <c r="I36" s="2996">
        <f>60635*4+73747*4</f>
        <v>537528</v>
      </c>
      <c r="J36" s="2996">
        <f>60635*4+73747*4</f>
        <v>537528</v>
      </c>
      <c r="K36" s="2996">
        <f>60635*4+73747*4</f>
        <v>537528</v>
      </c>
      <c r="L36" s="2996">
        <f>60635*4+73747*4</f>
        <v>537528</v>
      </c>
      <c r="M36" s="2996">
        <f>60635*4+73747*4</f>
        <v>537528</v>
      </c>
      <c r="N36" s="2996">
        <f>C36+H36+I36+J36+K36+L36+M36</f>
        <v>5365552</v>
      </c>
    </row>
    <row r="37" spans="1:17" s="2987" customFormat="1">
      <c r="A37" s="3005" t="s">
        <v>4106</v>
      </c>
      <c r="C37" s="2987">
        <f>ROUND((319861/12)*2.5,0)</f>
        <v>66638</v>
      </c>
      <c r="G37" s="2994">
        <f>1631291-319861-(319861-C37)+(335854/12)*6</f>
        <v>1226134</v>
      </c>
      <c r="H37" s="2987">
        <v>335854</v>
      </c>
      <c r="I37" s="2987">
        <v>335854</v>
      </c>
      <c r="J37" s="2987">
        <v>335854</v>
      </c>
      <c r="K37" s="2987">
        <v>335854</v>
      </c>
      <c r="L37" s="2987">
        <v>335854</v>
      </c>
      <c r="M37" s="2987">
        <v>335854</v>
      </c>
      <c r="N37" s="2987">
        <f>C37+G37+H37+I37+J37+K37+L37+M37</f>
        <v>3307896</v>
      </c>
    </row>
    <row r="38" spans="1:17" s="2987" customFormat="1">
      <c r="A38" s="2992" t="s">
        <v>3147</v>
      </c>
      <c r="C38" s="2987">
        <f>ROUND((76062/6)*3.5,0)</f>
        <v>44370</v>
      </c>
      <c r="G38" s="2994">
        <f>152124+159732+159732+159732+159732+167718+167718+(167718/6*5)+(76062-C38)</f>
        <v>1297945</v>
      </c>
      <c r="H38" s="2996">
        <f t="shared" ref="H38:M38" si="0">167718*2</f>
        <v>335436</v>
      </c>
      <c r="I38" s="2996">
        <f t="shared" si="0"/>
        <v>335436</v>
      </c>
      <c r="J38" s="2996">
        <f t="shared" si="0"/>
        <v>335436</v>
      </c>
      <c r="K38" s="2996">
        <f t="shared" si="0"/>
        <v>335436</v>
      </c>
      <c r="L38" s="2996">
        <f t="shared" si="0"/>
        <v>335436</v>
      </c>
      <c r="M38" s="2996">
        <f t="shared" si="0"/>
        <v>335436</v>
      </c>
      <c r="N38" s="2996">
        <f>C38+G38+H38+I38+J38+K38+L38+M38</f>
        <v>3354931</v>
      </c>
    </row>
    <row r="39" spans="1:17" s="2987" customFormat="1"/>
    <row r="40" spans="1:17">
      <c r="A40" s="2987"/>
      <c r="B40" s="2987"/>
      <c r="C40" s="2987"/>
      <c r="D40" s="2987"/>
      <c r="E40" s="2987"/>
      <c r="F40" s="2987"/>
      <c r="G40" s="2987"/>
      <c r="H40" s="2987"/>
      <c r="I40" s="2987"/>
      <c r="J40" s="2987"/>
      <c r="K40" s="2987"/>
      <c r="L40" s="2987"/>
      <c r="M40" s="2996" t="s">
        <v>4107</v>
      </c>
      <c r="N40" s="2987">
        <f>SUM(N28:N38)</f>
        <v>57809941</v>
      </c>
      <c r="O40" s="2987"/>
      <c r="P40" s="2987"/>
      <c r="Q40" s="2987"/>
    </row>
    <row r="41" spans="1:17">
      <c r="A41" s="2987"/>
      <c r="B41" s="2987"/>
      <c r="C41" s="2987"/>
      <c r="D41" s="2987"/>
      <c r="E41" s="2987"/>
      <c r="F41" s="2987"/>
      <c r="G41" s="2987"/>
      <c r="H41" s="2987"/>
      <c r="I41" s="2987"/>
      <c r="J41" s="2987"/>
      <c r="K41" s="2987"/>
      <c r="L41" s="2987"/>
      <c r="M41" s="2987"/>
      <c r="N41" s="2987"/>
      <c r="O41" s="2987">
        <f>ROUND(N40/121.5/D15/30,2)</f>
        <v>0.76</v>
      </c>
      <c r="P41" s="2987"/>
      <c r="Q41" s="2987"/>
    </row>
    <row r="42" spans="1:17">
      <c r="A42" s="2987"/>
      <c r="B42" s="2987"/>
      <c r="C42" s="2987"/>
      <c r="D42" s="2987"/>
      <c r="E42" s="2987"/>
      <c r="F42" s="2987"/>
      <c r="G42" s="2987"/>
      <c r="H42" s="2987"/>
      <c r="I42" s="2987"/>
      <c r="J42" s="2987"/>
      <c r="K42" s="2987"/>
      <c r="L42" s="2987"/>
      <c r="M42" s="2987"/>
      <c r="N42" s="2987"/>
      <c r="O42" s="2987"/>
      <c r="P42" s="2987"/>
      <c r="Q42" s="2987"/>
    </row>
    <row r="43" spans="1:17">
      <c r="A43" s="2987"/>
      <c r="B43" s="2987"/>
      <c r="C43" s="2987"/>
      <c r="D43" s="2987"/>
      <c r="E43" s="2987"/>
      <c r="F43" s="2987"/>
      <c r="G43" s="2987"/>
      <c r="H43" s="2987"/>
      <c r="I43" s="2987"/>
      <c r="J43" s="2987"/>
      <c r="K43" s="2987"/>
      <c r="L43" s="2987"/>
      <c r="M43" s="2987"/>
      <c r="N43" s="2987"/>
      <c r="O43" s="2987"/>
      <c r="P43" s="2987"/>
      <c r="Q43" s="2987"/>
    </row>
    <row r="44" spans="1:17">
      <c r="A44" s="2987"/>
      <c r="B44" s="2996" t="s">
        <v>4108</v>
      </c>
      <c r="C44" s="2996" t="s">
        <v>4109</v>
      </c>
      <c r="D44" s="2996" t="s">
        <v>4110</v>
      </c>
      <c r="E44" s="2996" t="s">
        <v>4111</v>
      </c>
      <c r="F44" s="2987"/>
      <c r="G44" s="2987"/>
      <c r="H44" s="2987"/>
      <c r="I44" s="2987"/>
      <c r="J44" s="2987"/>
      <c r="K44" s="2987"/>
      <c r="L44" s="2987"/>
      <c r="M44" s="2987"/>
      <c r="N44" s="2987"/>
      <c r="O44" s="2987"/>
      <c r="P44" s="2987"/>
      <c r="Q44" s="2987"/>
    </row>
    <row r="45" spans="1:17">
      <c r="A45" s="2996"/>
      <c r="B45" s="2996" t="s">
        <v>4112</v>
      </c>
      <c r="C45" s="2987">
        <v>6973.34</v>
      </c>
      <c r="D45" s="2987">
        <v>6</v>
      </c>
      <c r="E45" s="2987">
        <v>1.5</v>
      </c>
      <c r="F45" s="2987"/>
      <c r="G45" s="2987">
        <f>C45*D45</f>
        <v>41840.04</v>
      </c>
      <c r="H45" s="2987"/>
      <c r="I45" s="2987"/>
      <c r="J45" s="2987"/>
      <c r="K45" s="2987"/>
      <c r="L45" s="2987"/>
      <c r="M45" s="2987"/>
      <c r="N45" s="2987"/>
      <c r="O45" s="2987"/>
      <c r="P45" s="2987"/>
      <c r="Q45" s="2987"/>
    </row>
    <row r="46" spans="1:17">
      <c r="A46" s="2987">
        <v>16</v>
      </c>
      <c r="B46" s="2996" t="s">
        <v>4113</v>
      </c>
      <c r="C46" s="2987">
        <v>12616.62</v>
      </c>
      <c r="D46" s="2987">
        <v>4.4000000000000004</v>
      </c>
      <c r="E46" s="2987">
        <v>1.1000000000000001</v>
      </c>
      <c r="F46" s="2987"/>
      <c r="G46" s="2987">
        <f t="shared" ref="G46:G49" si="1">C46*D46</f>
        <v>55513.128000000012</v>
      </c>
      <c r="H46" s="2987"/>
      <c r="I46" s="2987"/>
      <c r="J46" s="2987"/>
      <c r="K46" s="2987"/>
      <c r="L46" s="2987"/>
      <c r="M46" s="2987"/>
      <c r="N46" s="2987"/>
      <c r="O46" s="2987"/>
      <c r="P46" s="2987"/>
      <c r="Q46" s="2987"/>
    </row>
    <row r="47" spans="1:17">
      <c r="A47" s="2987"/>
      <c r="B47" s="2996" t="s">
        <v>4114</v>
      </c>
      <c r="C47" s="2987">
        <v>12369.81</v>
      </c>
      <c r="D47" s="2987">
        <v>4</v>
      </c>
      <c r="E47" s="2987">
        <v>1</v>
      </c>
      <c r="F47" s="2987"/>
      <c r="G47" s="2987">
        <f t="shared" si="1"/>
        <v>49479.24</v>
      </c>
      <c r="H47" s="2987"/>
      <c r="I47" s="2987"/>
      <c r="J47" s="2987"/>
      <c r="K47" s="2987"/>
      <c r="L47" s="2987"/>
      <c r="M47" s="2987"/>
      <c r="N47" s="2987"/>
      <c r="O47" s="2987"/>
      <c r="P47" s="2987"/>
      <c r="Q47" s="2987"/>
    </row>
    <row r="48" spans="1:17">
      <c r="A48" s="2987"/>
      <c r="B48" s="2996" t="s">
        <v>4115</v>
      </c>
      <c r="C48" s="2987">
        <v>11977.89</v>
      </c>
      <c r="D48" s="2987">
        <v>3.8</v>
      </c>
      <c r="E48" s="2987">
        <v>0.95</v>
      </c>
      <c r="F48" s="2987"/>
      <c r="G48" s="2987">
        <f t="shared" si="1"/>
        <v>45515.981999999996</v>
      </c>
      <c r="H48" s="2987"/>
      <c r="I48" s="2987"/>
      <c r="J48" s="2987"/>
      <c r="K48" s="2987"/>
      <c r="L48" s="2987"/>
      <c r="M48" s="2987"/>
      <c r="N48" s="2987"/>
      <c r="O48" s="2987"/>
      <c r="P48" s="2987"/>
      <c r="Q48" s="2987"/>
    </row>
    <row r="49" spans="1:17">
      <c r="A49" s="2987"/>
      <c r="B49" s="2996" t="s">
        <v>4116</v>
      </c>
      <c r="C49" s="2987">
        <v>3541.16</v>
      </c>
      <c r="D49" s="2987">
        <v>3.6</v>
      </c>
      <c r="E49" s="2987">
        <v>0.9</v>
      </c>
      <c r="F49" s="2987"/>
      <c r="G49" s="2987">
        <f t="shared" si="1"/>
        <v>12748.175999999999</v>
      </c>
      <c r="H49" s="2987"/>
      <c r="I49" s="2987"/>
      <c r="J49" s="2987"/>
      <c r="K49" s="2987"/>
      <c r="L49" s="2987"/>
      <c r="M49" s="2987"/>
      <c r="N49" s="2987"/>
      <c r="O49" s="2987"/>
      <c r="P49" s="2987"/>
      <c r="Q49" s="2987"/>
    </row>
    <row r="50" spans="1:17">
      <c r="A50" s="2987"/>
      <c r="B50" s="3006" t="s">
        <v>4117</v>
      </c>
      <c r="C50" s="2987">
        <f>C45+C46+C47+C48+C49</f>
        <v>47478.819999999992</v>
      </c>
      <c r="D50" s="2987"/>
      <c r="E50" s="2987"/>
      <c r="F50" s="2987"/>
      <c r="G50" s="2987">
        <f>G45+G46+G47+G48+G49</f>
        <v>205096.56599999999</v>
      </c>
      <c r="H50" s="2987">
        <f>ROUND(G50/C50,1)</f>
        <v>4.3</v>
      </c>
      <c r="I50" s="2987"/>
      <c r="J50" s="2987"/>
      <c r="K50" s="2987"/>
      <c r="L50" s="2987"/>
      <c r="M50" s="2987"/>
      <c r="N50" s="2987"/>
      <c r="O50" s="2987"/>
      <c r="P50" s="2987"/>
      <c r="Q50" s="2987"/>
    </row>
    <row r="51" spans="1:17">
      <c r="A51" s="2987"/>
      <c r="B51" s="2987"/>
      <c r="C51" s="2987"/>
      <c r="D51" s="2987"/>
      <c r="E51" s="2987"/>
      <c r="F51" s="2987"/>
      <c r="G51" s="2987"/>
      <c r="H51" s="2987"/>
      <c r="I51" s="2987"/>
      <c r="J51" s="2987"/>
      <c r="K51" s="2987"/>
      <c r="L51" s="2987"/>
      <c r="M51" s="2987"/>
      <c r="N51" s="2987"/>
      <c r="O51" s="2987"/>
      <c r="P51" s="2987"/>
      <c r="Q51" s="2987"/>
    </row>
    <row r="52" spans="1:17">
      <c r="A52" s="2987"/>
      <c r="B52" s="2987"/>
      <c r="C52" s="2987"/>
      <c r="D52" s="2987"/>
      <c r="E52" s="2987"/>
      <c r="F52" s="2987"/>
      <c r="G52" s="2987"/>
      <c r="H52" s="2987"/>
      <c r="I52" s="2987"/>
      <c r="J52" s="2987"/>
      <c r="K52" s="2987"/>
      <c r="L52" s="2987"/>
      <c r="M52" s="2987"/>
      <c r="N52" s="2987"/>
      <c r="O52" s="2987"/>
      <c r="P52" s="2987"/>
      <c r="Q52" s="2987"/>
    </row>
    <row r="53" spans="1:17">
      <c r="A53" s="2987"/>
      <c r="B53" s="2987"/>
      <c r="C53" s="2987"/>
      <c r="D53" s="2987"/>
      <c r="E53" s="2987"/>
      <c r="F53" s="2987"/>
      <c r="G53" s="2987"/>
      <c r="H53" s="2987"/>
      <c r="I53" s="2987"/>
      <c r="J53" s="2987"/>
      <c r="K53" s="2987"/>
      <c r="L53" s="2987"/>
      <c r="M53" s="2987"/>
      <c r="N53" s="2987"/>
      <c r="O53" s="2987"/>
      <c r="P53" s="2987"/>
      <c r="Q53" s="2987"/>
    </row>
    <row r="54" spans="1:17">
      <c r="A54" s="2987"/>
      <c r="B54" s="2996" t="s">
        <v>4118</v>
      </c>
      <c r="C54" s="2996" t="s">
        <v>4109</v>
      </c>
      <c r="D54" s="2996" t="s">
        <v>4110</v>
      </c>
      <c r="E54" s="2996" t="s">
        <v>4111</v>
      </c>
      <c r="F54" s="2987"/>
      <c r="G54" s="2987"/>
      <c r="H54" s="2987"/>
      <c r="I54" s="2987"/>
      <c r="J54" s="2987"/>
      <c r="K54" s="2987"/>
      <c r="L54" s="2987"/>
      <c r="M54" s="2987"/>
      <c r="N54" s="2987"/>
      <c r="O54" s="2987"/>
      <c r="P54" s="2987"/>
      <c r="Q54" s="2987"/>
    </row>
    <row r="55" spans="1:17">
      <c r="A55" s="2987"/>
      <c r="B55" s="2996" t="s">
        <v>4112</v>
      </c>
      <c r="C55" s="2987"/>
      <c r="D55" s="2987">
        <f>D57*E55</f>
        <v>6</v>
      </c>
      <c r="E55" s="2987">
        <v>1.5</v>
      </c>
      <c r="F55" s="2987"/>
      <c r="G55" s="2987"/>
      <c r="H55" s="2987"/>
      <c r="I55" s="2987"/>
      <c r="J55" s="2987"/>
      <c r="K55" s="2987"/>
      <c r="L55" s="2987"/>
      <c r="M55" s="2987"/>
      <c r="N55" s="2987"/>
      <c r="O55" s="2987"/>
      <c r="P55" s="2987"/>
      <c r="Q55" s="2987"/>
    </row>
    <row r="56" spans="1:17">
      <c r="A56" s="2996" t="s">
        <v>4119</v>
      </c>
      <c r="B56" s="2987">
        <v>2</v>
      </c>
      <c r="C56" s="2987"/>
      <c r="D56" s="2987">
        <f>D57*E56</f>
        <v>4.4000000000000004</v>
      </c>
      <c r="E56" s="2987">
        <v>1.1000000000000001</v>
      </c>
      <c r="F56" s="2987"/>
      <c r="G56" s="2987"/>
      <c r="H56" s="2987"/>
      <c r="I56" s="2987"/>
      <c r="J56" s="2987"/>
      <c r="K56" s="2987"/>
      <c r="L56" s="2987"/>
      <c r="M56" s="2987"/>
      <c r="N56" s="2987"/>
      <c r="O56" s="2987"/>
      <c r="P56" s="2987"/>
      <c r="Q56" s="2987"/>
    </row>
    <row r="57" spans="1:17">
      <c r="A57" s="2987"/>
      <c r="B57" s="2987">
        <v>3</v>
      </c>
      <c r="C57" s="2987">
        <f>房产明细!D3+房产明细!D6+房产明细!D40+房产明细!D43+房产明细!D46+房产明细!D111</f>
        <v>8432.4700000000012</v>
      </c>
      <c r="D57" s="3007">
        <v>4</v>
      </c>
      <c r="E57" s="2987">
        <v>1</v>
      </c>
      <c r="F57" s="2987"/>
      <c r="G57" s="2987">
        <f>C57*D57</f>
        <v>33729.880000000005</v>
      </c>
      <c r="H57" s="2987"/>
      <c r="I57" s="2987"/>
      <c r="J57" s="2987"/>
      <c r="K57" s="2987"/>
      <c r="L57" s="2987"/>
      <c r="M57" s="2987"/>
      <c r="N57" s="2987"/>
      <c r="O57" s="2987"/>
      <c r="P57" s="2987"/>
      <c r="Q57" s="2987"/>
    </row>
    <row r="58" spans="1:17">
      <c r="A58" s="2987"/>
      <c r="B58" s="2987">
        <v>4</v>
      </c>
      <c r="C58" s="2987">
        <f>房产明细!D4+房产明细!D7+房产明细!D41+房产明细!D44+房产明细!D79</f>
        <v>8375.73</v>
      </c>
      <c r="D58" s="2987">
        <f>D57*E58</f>
        <v>3.8</v>
      </c>
      <c r="E58" s="2987">
        <v>0.95</v>
      </c>
      <c r="F58" s="2987"/>
      <c r="G58" s="2987">
        <f>C58*D58</f>
        <v>31827.773999999998</v>
      </c>
      <c r="H58" s="2987"/>
      <c r="I58" s="2987"/>
      <c r="J58" s="2987"/>
      <c r="K58" s="2987"/>
      <c r="L58" s="2987"/>
      <c r="M58" s="2987"/>
      <c r="N58" s="2987"/>
      <c r="O58" s="2987"/>
      <c r="P58" s="2987"/>
      <c r="Q58" s="2987"/>
    </row>
    <row r="59" spans="1:17">
      <c r="A59" s="2987"/>
      <c r="B59" s="2987">
        <v>5</v>
      </c>
      <c r="C59" s="2987">
        <f>房产明细!D5+房产明细!D45+房产明细!D110</f>
        <v>4040.83</v>
      </c>
      <c r="D59" s="2987">
        <f>D57*E59</f>
        <v>3.6</v>
      </c>
      <c r="E59" s="2987">
        <v>0.9</v>
      </c>
      <c r="F59" s="2987"/>
      <c r="G59" s="2987">
        <f>C59*D59</f>
        <v>14546.987999999999</v>
      </c>
      <c r="H59" s="2987"/>
      <c r="I59" s="2987"/>
      <c r="J59" s="2987"/>
      <c r="K59" s="2987"/>
      <c r="L59" s="2987"/>
      <c r="M59" s="2987"/>
      <c r="N59" s="2987"/>
      <c r="O59" s="2987"/>
      <c r="P59" s="2987"/>
      <c r="Q59" s="2987"/>
    </row>
    <row r="60" spans="1:17">
      <c r="A60" s="2987"/>
      <c r="B60" s="2987"/>
      <c r="C60" s="2987"/>
      <c r="D60" s="2987"/>
      <c r="E60" s="2987"/>
      <c r="F60" s="2987"/>
      <c r="G60" s="2987"/>
      <c r="H60" s="2987"/>
      <c r="I60" s="2987"/>
      <c r="J60" s="2987"/>
      <c r="K60" s="2987"/>
      <c r="L60" s="2987"/>
      <c r="M60" s="2987"/>
      <c r="N60" s="2987"/>
      <c r="O60" s="2987"/>
      <c r="P60" s="2987"/>
      <c r="Q60" s="2987"/>
    </row>
    <row r="61" spans="1:17">
      <c r="A61" s="2987"/>
      <c r="B61" s="2996" t="s">
        <v>4117</v>
      </c>
      <c r="C61" s="2987">
        <f>C57+C58+C59</f>
        <v>20849.03</v>
      </c>
      <c r="D61" s="2987"/>
      <c r="E61" s="2987"/>
      <c r="F61" s="2987"/>
      <c r="G61" s="2987">
        <f>G57+G58+G59</f>
        <v>80104.642000000007</v>
      </c>
      <c r="H61" s="2987">
        <f>ROUND(G61/C61,1)</f>
        <v>3.8</v>
      </c>
      <c r="I61" s="2987"/>
      <c r="J61" s="2987"/>
      <c r="K61" s="2987"/>
      <c r="L61" s="2987"/>
      <c r="M61" s="2987"/>
      <c r="N61" s="2987"/>
      <c r="O61" s="2987"/>
      <c r="P61" s="2987"/>
      <c r="Q61" s="2987"/>
    </row>
    <row r="62" spans="1:17">
      <c r="A62" s="2987"/>
      <c r="B62" s="2987"/>
      <c r="C62" s="2987"/>
      <c r="D62" s="2987"/>
      <c r="E62" s="2987"/>
      <c r="F62" s="2987"/>
      <c r="G62" s="2987"/>
      <c r="H62" s="2987"/>
      <c r="I62" s="2987"/>
      <c r="J62" s="2987"/>
      <c r="K62" s="2987"/>
      <c r="L62" s="2987"/>
      <c r="M62" s="2987"/>
      <c r="N62" s="2987"/>
      <c r="O62" s="2987"/>
      <c r="P62" s="2987"/>
      <c r="Q62" s="2987"/>
    </row>
    <row r="63" spans="1:17">
      <c r="A63" s="2987"/>
      <c r="B63" s="2987"/>
      <c r="C63" s="2987"/>
      <c r="D63" s="2987"/>
      <c r="E63" s="2987"/>
      <c r="F63" s="2987"/>
      <c r="G63" s="2987"/>
      <c r="H63" s="2987"/>
      <c r="I63" s="2987"/>
      <c r="J63" s="2987"/>
      <c r="K63" s="2987"/>
      <c r="L63" s="2987"/>
      <c r="M63" s="2987"/>
      <c r="N63" s="2987"/>
      <c r="O63" s="2987"/>
      <c r="P63" s="2987"/>
      <c r="Q63" s="2987"/>
    </row>
  </sheetData>
  <mergeCells count="1">
    <mergeCell ref="C11:C12"/>
  </mergeCells>
  <phoneticPr fontId="143" type="noConversion"/>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6"/>
  <sheetViews>
    <sheetView topLeftCell="A431" workbookViewId="0">
      <selection activeCell="G459" sqref="G459"/>
    </sheetView>
  </sheetViews>
  <sheetFormatPr defaultRowHeight="13.5"/>
  <cols>
    <col min="1" max="1" width="33.5" style="2995" customWidth="1"/>
    <col min="2" max="2" width="15.375" style="2995" customWidth="1"/>
    <col min="3" max="3" width="38.875" style="2995" customWidth="1"/>
    <col min="4" max="16384" width="9" style="2987"/>
  </cols>
  <sheetData>
    <row r="1" spans="1:9">
      <c r="A1" s="2987"/>
      <c r="B1" s="2987"/>
      <c r="C1" s="2987"/>
    </row>
    <row r="2" spans="1:9">
      <c r="A2" s="2988" t="s">
        <v>3148</v>
      </c>
      <c r="B2" s="2988" t="s">
        <v>3149</v>
      </c>
      <c r="C2" s="2988" t="s">
        <v>3150</v>
      </c>
      <c r="D2" s="2982"/>
      <c r="E2" s="2981"/>
      <c r="F2" s="2989"/>
      <c r="G2" s="2989"/>
      <c r="H2" s="2982"/>
      <c r="I2" s="2982"/>
    </row>
    <row r="3" spans="1:9" s="2991" customFormat="1">
      <c r="A3" s="2985" t="s">
        <v>3151</v>
      </c>
      <c r="B3" s="2990">
        <v>1631.58</v>
      </c>
      <c r="C3" s="2985" t="s">
        <v>3152</v>
      </c>
      <c r="D3" s="2990">
        <v>1631.58</v>
      </c>
      <c r="E3" s="2983" t="s">
        <v>3153</v>
      </c>
      <c r="F3" s="2986"/>
      <c r="G3" s="2986"/>
      <c r="H3" s="2986"/>
      <c r="I3" s="2986"/>
    </row>
    <row r="4" spans="1:9" s="2991" customFormat="1">
      <c r="A4" s="2985" t="s">
        <v>3154</v>
      </c>
      <c r="B4" s="2985">
        <v>1585.8</v>
      </c>
      <c r="C4" s="2985" t="s">
        <v>3155</v>
      </c>
      <c r="D4" s="2985">
        <v>1585.8</v>
      </c>
      <c r="E4" s="2984" t="s">
        <v>3156</v>
      </c>
      <c r="F4" s="2985"/>
      <c r="G4" s="2986"/>
      <c r="H4" s="2986"/>
      <c r="I4" s="2986"/>
    </row>
    <row r="5" spans="1:9" s="2991" customFormat="1">
      <c r="A5" s="2985" t="s">
        <v>3157</v>
      </c>
      <c r="B5" s="2985">
        <v>1588.17</v>
      </c>
      <c r="C5" s="2985" t="s">
        <v>3158</v>
      </c>
      <c r="D5" s="2985">
        <v>1588.17</v>
      </c>
      <c r="E5" s="2983" t="s">
        <v>3159</v>
      </c>
      <c r="F5" s="2986"/>
      <c r="G5" s="2985"/>
      <c r="H5" s="2986"/>
      <c r="I5" s="2986"/>
    </row>
    <row r="6" spans="1:9" s="2991" customFormat="1">
      <c r="A6" s="2985" t="s">
        <v>3160</v>
      </c>
      <c r="B6" s="2985">
        <v>1333.62</v>
      </c>
      <c r="C6" s="2985" t="s">
        <v>3161</v>
      </c>
      <c r="D6" s="2985">
        <v>1333.62</v>
      </c>
      <c r="E6" s="2983" t="s">
        <v>3153</v>
      </c>
      <c r="F6" s="2986"/>
      <c r="G6" s="2986"/>
      <c r="H6" s="2986"/>
      <c r="I6" s="2986"/>
    </row>
    <row r="7" spans="1:9" s="2991" customFormat="1">
      <c r="A7" s="2985" t="s">
        <v>3162</v>
      </c>
      <c r="B7" s="2985">
        <v>1315.17</v>
      </c>
      <c r="C7" s="2985" t="s">
        <v>3163</v>
      </c>
      <c r="D7" s="2985">
        <v>1315.17</v>
      </c>
      <c r="E7" s="2984" t="s">
        <v>3156</v>
      </c>
      <c r="F7" s="2985"/>
      <c r="G7" s="2986"/>
      <c r="H7" s="2986"/>
      <c r="I7" s="2986"/>
    </row>
    <row r="8" spans="1:9" s="2991" customFormat="1">
      <c r="A8" s="2985" t="s">
        <v>3164</v>
      </c>
      <c r="B8" s="2985">
        <v>26.43</v>
      </c>
      <c r="C8" s="2985" t="s">
        <v>3165</v>
      </c>
      <c r="D8" s="2986"/>
      <c r="E8" s="2986"/>
      <c r="F8" s="2986"/>
      <c r="G8" s="2986"/>
      <c r="H8" s="2986"/>
      <c r="I8" s="2986"/>
    </row>
    <row r="9" spans="1:9">
      <c r="A9" s="2988" t="s">
        <v>3166</v>
      </c>
      <c r="B9" s="2988">
        <v>37.799999999999997</v>
      </c>
      <c r="C9" s="2988" t="s">
        <v>3167</v>
      </c>
      <c r="D9" s="2982"/>
      <c r="E9" s="2982"/>
      <c r="F9" s="2982"/>
      <c r="G9" s="2982"/>
      <c r="H9" s="2982"/>
      <c r="I9" s="2982"/>
    </row>
    <row r="10" spans="1:9">
      <c r="A10" s="2988" t="s">
        <v>3168</v>
      </c>
      <c r="B10" s="2988">
        <v>64.959999999999994</v>
      </c>
      <c r="C10" s="2988" t="s">
        <v>3169</v>
      </c>
      <c r="D10" s="2982"/>
      <c r="E10" s="2982"/>
      <c r="F10" s="2982"/>
      <c r="G10" s="2982"/>
      <c r="H10" s="2982"/>
      <c r="I10" s="2982"/>
    </row>
    <row r="11" spans="1:9">
      <c r="A11" s="2988" t="s">
        <v>3170</v>
      </c>
      <c r="B11" s="2988">
        <v>27.01</v>
      </c>
      <c r="C11" s="2988" t="s">
        <v>3171</v>
      </c>
      <c r="D11" s="2982"/>
      <c r="E11" s="2982"/>
      <c r="F11" s="2982"/>
      <c r="G11" s="2982"/>
      <c r="H11" s="2982"/>
      <c r="I11" s="2982"/>
    </row>
    <row r="12" spans="1:9">
      <c r="A12" s="2988" t="s">
        <v>3172</v>
      </c>
      <c r="B12" s="2988">
        <v>28.81</v>
      </c>
      <c r="C12" s="2988" t="s">
        <v>3173</v>
      </c>
      <c r="D12" s="2982"/>
      <c r="E12" s="2982"/>
      <c r="F12" s="2982"/>
      <c r="G12" s="2982"/>
      <c r="H12" s="2982"/>
      <c r="I12" s="2982"/>
    </row>
    <row r="13" spans="1:9">
      <c r="A13" s="2988" t="s">
        <v>3174</v>
      </c>
      <c r="B13" s="2988">
        <v>50.99</v>
      </c>
      <c r="C13" s="2988" t="s">
        <v>3175</v>
      </c>
      <c r="D13" s="2982"/>
      <c r="E13" s="2982"/>
      <c r="F13" s="2982"/>
      <c r="G13" s="2982"/>
      <c r="H13" s="2982"/>
      <c r="I13" s="2982"/>
    </row>
    <row r="14" spans="1:9">
      <c r="A14" s="2988" t="s">
        <v>3176</v>
      </c>
      <c r="B14" s="2988">
        <v>60.18</v>
      </c>
      <c r="C14" s="2988" t="s">
        <v>3177</v>
      </c>
      <c r="D14" s="2982"/>
      <c r="E14" s="2982"/>
      <c r="F14" s="2982"/>
      <c r="G14" s="2982"/>
      <c r="H14" s="2982"/>
      <c r="I14" s="2982"/>
    </row>
    <row r="15" spans="1:9">
      <c r="A15" s="2988" t="s">
        <v>3178</v>
      </c>
      <c r="B15" s="2988">
        <v>22.6</v>
      </c>
      <c r="C15" s="2988" t="s">
        <v>3179</v>
      </c>
      <c r="D15" s="2982"/>
      <c r="E15" s="2982"/>
      <c r="F15" s="2982"/>
      <c r="G15" s="2982"/>
      <c r="H15" s="2982"/>
      <c r="I15" s="2982"/>
    </row>
    <row r="16" spans="1:9">
      <c r="A16" s="2988" t="s">
        <v>3180</v>
      </c>
      <c r="B16" s="2988">
        <v>28.01</v>
      </c>
      <c r="C16" s="2988" t="s">
        <v>3181</v>
      </c>
      <c r="D16" s="2982"/>
      <c r="E16" s="2982"/>
      <c r="F16" s="2982"/>
      <c r="G16" s="2982"/>
      <c r="H16" s="2982"/>
      <c r="I16" s="2982"/>
    </row>
    <row r="17" spans="1:9">
      <c r="A17" s="2988" t="s">
        <v>3182</v>
      </c>
      <c r="B17" s="2988">
        <v>48.52</v>
      </c>
      <c r="C17" s="2988" t="s">
        <v>3183</v>
      </c>
      <c r="D17" s="2982"/>
      <c r="E17" s="2982"/>
      <c r="F17" s="2982"/>
      <c r="G17" s="2982"/>
      <c r="H17" s="2982"/>
      <c r="I17" s="2982"/>
    </row>
    <row r="18" spans="1:9">
      <c r="A18" s="2988" t="s">
        <v>3184</v>
      </c>
      <c r="B18" s="2988">
        <v>34.21</v>
      </c>
      <c r="C18" s="2988" t="s">
        <v>3185</v>
      </c>
      <c r="D18" s="2982"/>
      <c r="E18" s="2982"/>
      <c r="F18" s="2982"/>
      <c r="G18" s="2982"/>
      <c r="H18" s="2982"/>
      <c r="I18" s="2982"/>
    </row>
    <row r="19" spans="1:9">
      <c r="A19" s="2988" t="s">
        <v>3186</v>
      </c>
      <c r="B19" s="2988">
        <v>42.45</v>
      </c>
      <c r="C19" s="2988" t="s">
        <v>3187</v>
      </c>
      <c r="D19" s="2982"/>
      <c r="E19" s="2982"/>
      <c r="F19" s="2982"/>
      <c r="G19" s="2982"/>
      <c r="H19" s="2982"/>
      <c r="I19" s="2982"/>
    </row>
    <row r="20" spans="1:9">
      <c r="A20" s="2988" t="s">
        <v>3188</v>
      </c>
      <c r="B20" s="2988">
        <v>42.45</v>
      </c>
      <c r="C20" s="2988" t="s">
        <v>3189</v>
      </c>
      <c r="D20" s="2982"/>
      <c r="E20" s="2982"/>
      <c r="F20" s="2982"/>
      <c r="G20" s="2982"/>
      <c r="H20" s="2982"/>
      <c r="I20" s="2982"/>
    </row>
    <row r="21" spans="1:9">
      <c r="A21" s="2988" t="s">
        <v>3190</v>
      </c>
      <c r="B21" s="2988">
        <v>42.45</v>
      </c>
      <c r="C21" s="2988" t="s">
        <v>3191</v>
      </c>
      <c r="D21" s="2982"/>
      <c r="E21" s="2982"/>
      <c r="F21" s="2982"/>
      <c r="G21" s="2982"/>
      <c r="H21" s="2982"/>
      <c r="I21" s="2982"/>
    </row>
    <row r="22" spans="1:9">
      <c r="A22" s="2988" t="s">
        <v>3192</v>
      </c>
      <c r="B22" s="2988">
        <v>41.81</v>
      </c>
      <c r="C22" s="2988" t="s">
        <v>3193</v>
      </c>
      <c r="D22" s="2982"/>
      <c r="E22" s="2982"/>
      <c r="F22" s="2982"/>
      <c r="G22" s="2982"/>
      <c r="H22" s="2982"/>
      <c r="I22" s="2982"/>
    </row>
    <row r="23" spans="1:9">
      <c r="A23" s="2988" t="s">
        <v>3194</v>
      </c>
      <c r="B23" s="2988">
        <v>25.88</v>
      </c>
      <c r="C23" s="2988" t="s">
        <v>3195</v>
      </c>
      <c r="D23" s="2982"/>
      <c r="E23" s="2982"/>
      <c r="F23" s="2982"/>
      <c r="G23" s="2982"/>
      <c r="H23" s="2982"/>
      <c r="I23" s="2982"/>
    </row>
    <row r="24" spans="1:9">
      <c r="A24" s="2988" t="s">
        <v>3196</v>
      </c>
      <c r="B24" s="2988">
        <v>39.04</v>
      </c>
      <c r="C24" s="2988" t="s">
        <v>3197</v>
      </c>
      <c r="D24" s="2982"/>
      <c r="E24" s="2982"/>
      <c r="F24" s="2982"/>
      <c r="G24" s="2982"/>
      <c r="H24" s="2982"/>
      <c r="I24" s="2982"/>
    </row>
    <row r="25" spans="1:9">
      <c r="A25" s="2988" t="s">
        <v>3198</v>
      </c>
      <c r="B25" s="2988">
        <v>77.22</v>
      </c>
      <c r="C25" s="2988" t="s">
        <v>3199</v>
      </c>
      <c r="D25" s="2982"/>
      <c r="E25" s="2982"/>
      <c r="F25" s="2982"/>
      <c r="G25" s="2982"/>
      <c r="H25" s="2982"/>
      <c r="I25" s="2982"/>
    </row>
    <row r="26" spans="1:9">
      <c r="A26" s="2988" t="s">
        <v>3200</v>
      </c>
      <c r="B26" s="2988">
        <v>70.98</v>
      </c>
      <c r="C26" s="2988" t="s">
        <v>3201</v>
      </c>
      <c r="D26" s="2982"/>
      <c r="E26" s="2982"/>
      <c r="F26" s="2982"/>
      <c r="G26" s="2982"/>
      <c r="H26" s="2982"/>
      <c r="I26" s="2982"/>
    </row>
    <row r="27" spans="1:9">
      <c r="A27" s="2988" t="s">
        <v>3202</v>
      </c>
      <c r="B27" s="2988">
        <v>69.91</v>
      </c>
      <c r="C27" s="2988" t="s">
        <v>3203</v>
      </c>
      <c r="D27" s="2982"/>
      <c r="E27" s="2982"/>
      <c r="F27" s="2982"/>
      <c r="G27" s="2982"/>
      <c r="H27" s="2982"/>
      <c r="I27" s="2982"/>
    </row>
    <row r="28" spans="1:9">
      <c r="A28" s="2988" t="s">
        <v>3204</v>
      </c>
      <c r="B28" s="2988">
        <v>71.180000000000007</v>
      </c>
      <c r="C28" s="2988" t="s">
        <v>3205</v>
      </c>
      <c r="D28" s="2982"/>
      <c r="E28" s="2982"/>
      <c r="F28" s="2982"/>
      <c r="G28" s="2982"/>
      <c r="H28" s="2982"/>
      <c r="I28" s="2982"/>
    </row>
    <row r="29" spans="1:9">
      <c r="A29" s="2988" t="s">
        <v>3206</v>
      </c>
      <c r="B29" s="2988">
        <v>114.79</v>
      </c>
      <c r="C29" s="2988" t="s">
        <v>3207</v>
      </c>
      <c r="D29" s="2982"/>
      <c r="E29" s="2982"/>
      <c r="F29" s="2982"/>
      <c r="G29" s="2982"/>
      <c r="H29" s="2982"/>
      <c r="I29" s="2982"/>
    </row>
    <row r="30" spans="1:9">
      <c r="A30" s="2988" t="s">
        <v>3208</v>
      </c>
      <c r="B30" s="2988">
        <v>37.21</v>
      </c>
      <c r="C30" s="2988" t="s">
        <v>3209</v>
      </c>
      <c r="D30" s="2982"/>
      <c r="E30" s="2982"/>
      <c r="F30" s="2982"/>
      <c r="G30" s="2982"/>
      <c r="H30" s="2982"/>
      <c r="I30" s="2982"/>
    </row>
    <row r="31" spans="1:9">
      <c r="A31" s="2988" t="s">
        <v>3210</v>
      </c>
      <c r="B31" s="2988">
        <v>38.590000000000003</v>
      </c>
      <c r="C31" s="2988" t="s">
        <v>3211</v>
      </c>
      <c r="D31" s="2982"/>
      <c r="E31" s="2982"/>
      <c r="F31" s="2982"/>
      <c r="G31" s="2982"/>
      <c r="H31" s="2982"/>
      <c r="I31" s="2982"/>
    </row>
    <row r="32" spans="1:9">
      <c r="A32" s="2988" t="s">
        <v>3212</v>
      </c>
      <c r="B32" s="2988">
        <v>37.9</v>
      </c>
      <c r="C32" s="2988" t="s">
        <v>3213</v>
      </c>
      <c r="D32" s="2982"/>
      <c r="E32" s="2982"/>
      <c r="F32" s="2982"/>
      <c r="G32" s="2982"/>
      <c r="H32" s="2982"/>
      <c r="I32" s="2982"/>
    </row>
    <row r="33" spans="1:9">
      <c r="A33" s="2988" t="s">
        <v>3214</v>
      </c>
      <c r="B33" s="2988">
        <v>38.590000000000003</v>
      </c>
      <c r="C33" s="2988" t="s">
        <v>3215</v>
      </c>
      <c r="D33" s="2982"/>
      <c r="E33" s="2982"/>
      <c r="F33" s="2982"/>
      <c r="G33" s="2982"/>
      <c r="H33" s="2982"/>
      <c r="I33" s="2982"/>
    </row>
    <row r="34" spans="1:9">
      <c r="A34" s="2988" t="s">
        <v>3216</v>
      </c>
      <c r="B34" s="2988">
        <v>45.48</v>
      </c>
      <c r="C34" s="2988" t="s">
        <v>3217</v>
      </c>
      <c r="D34" s="2982"/>
      <c r="E34" s="2982"/>
      <c r="F34" s="2982"/>
      <c r="G34" s="2982"/>
      <c r="H34" s="2982"/>
      <c r="I34" s="2982"/>
    </row>
    <row r="35" spans="1:9">
      <c r="A35" s="2988" t="s">
        <v>3218</v>
      </c>
      <c r="B35" s="2988">
        <v>46.17</v>
      </c>
      <c r="C35" s="2988" t="s">
        <v>3219</v>
      </c>
      <c r="D35" s="2982"/>
      <c r="E35" s="2982"/>
      <c r="F35" s="2982"/>
      <c r="G35" s="2982"/>
      <c r="H35" s="2982"/>
      <c r="I35" s="2982"/>
    </row>
    <row r="36" spans="1:9">
      <c r="A36" s="2988" t="s">
        <v>3220</v>
      </c>
      <c r="B36" s="2988">
        <v>46.17</v>
      </c>
      <c r="C36" s="2988" t="s">
        <v>3221</v>
      </c>
      <c r="D36" s="2982"/>
      <c r="E36" s="2982"/>
      <c r="F36" s="2982"/>
      <c r="G36" s="2982"/>
      <c r="H36" s="2982"/>
      <c r="I36" s="2982"/>
    </row>
    <row r="37" spans="1:9">
      <c r="A37" s="2988" t="s">
        <v>3222</v>
      </c>
      <c r="B37" s="2988">
        <v>46.17</v>
      </c>
      <c r="C37" s="2988" t="s">
        <v>3223</v>
      </c>
      <c r="D37" s="2982"/>
      <c r="E37" s="2982"/>
      <c r="F37" s="2982"/>
      <c r="G37" s="2982"/>
      <c r="H37" s="2982"/>
      <c r="I37" s="2982"/>
    </row>
    <row r="38" spans="1:9">
      <c r="A38" s="2988" t="s">
        <v>3224</v>
      </c>
      <c r="B38" s="2988">
        <v>41.35</v>
      </c>
      <c r="C38" s="2988" t="s">
        <v>3225</v>
      </c>
      <c r="D38" s="2982"/>
      <c r="E38" s="2982"/>
      <c r="F38" s="2982"/>
      <c r="G38" s="2982"/>
      <c r="H38" s="2982"/>
      <c r="I38" s="2982"/>
    </row>
    <row r="39" spans="1:9">
      <c r="A39" s="2988" t="s">
        <v>3226</v>
      </c>
      <c r="B39" s="2988">
        <v>41.35</v>
      </c>
      <c r="C39" s="2988" t="s">
        <v>3227</v>
      </c>
      <c r="D39" s="2982"/>
      <c r="E39" s="2982"/>
      <c r="F39" s="2982"/>
      <c r="G39" s="2982"/>
      <c r="H39" s="2982"/>
      <c r="I39" s="2982"/>
    </row>
    <row r="40" spans="1:9">
      <c r="A40" s="2988" t="s">
        <v>3228</v>
      </c>
      <c r="B40" s="2988">
        <v>41.35</v>
      </c>
      <c r="C40" s="2988" t="s">
        <v>3229</v>
      </c>
      <c r="D40" s="2982">
        <v>1528.01</v>
      </c>
      <c r="E40" s="2983" t="s">
        <v>3230</v>
      </c>
      <c r="F40" s="2982"/>
      <c r="G40" s="2982"/>
      <c r="H40" s="2982"/>
      <c r="I40" s="2982"/>
    </row>
    <row r="41" spans="1:9" s="2991" customFormat="1">
      <c r="A41" s="2985" t="s">
        <v>3231</v>
      </c>
      <c r="B41" s="2985">
        <v>2592.6999999999998</v>
      </c>
      <c r="C41" s="2985" t="s">
        <v>3232</v>
      </c>
      <c r="D41" s="2986">
        <v>2592.6999999999998</v>
      </c>
      <c r="E41" s="2984" t="s">
        <v>3233</v>
      </c>
      <c r="F41" s="2985"/>
      <c r="G41" s="2986"/>
      <c r="H41" s="2986"/>
      <c r="I41" s="2986"/>
    </row>
    <row r="42" spans="1:9" s="2991" customFormat="1">
      <c r="A42" s="2985" t="s">
        <v>3234</v>
      </c>
      <c r="B42" s="2985">
        <v>34.630000000000003</v>
      </c>
      <c r="C42" s="2985" t="s">
        <v>3235</v>
      </c>
      <c r="D42" s="2986"/>
      <c r="E42" s="2986"/>
      <c r="F42" s="2986"/>
      <c r="G42" s="2986"/>
      <c r="H42" s="2986"/>
      <c r="I42" s="2986"/>
    </row>
    <row r="43" spans="1:9" s="2991" customFormat="1">
      <c r="A43" s="2985" t="s">
        <v>3236</v>
      </c>
      <c r="B43" s="2985">
        <v>1298.05</v>
      </c>
      <c r="C43" s="2985" t="s">
        <v>3237</v>
      </c>
      <c r="D43" s="2986">
        <v>1332.68</v>
      </c>
      <c r="E43" s="2983" t="s">
        <v>3230</v>
      </c>
      <c r="F43" s="2986"/>
      <c r="G43" s="2986"/>
      <c r="H43" s="2986"/>
      <c r="I43" s="2986"/>
    </row>
    <row r="44" spans="1:9" s="2991" customFormat="1">
      <c r="A44" s="2985" t="s">
        <v>3238</v>
      </c>
      <c r="B44" s="2985">
        <v>1174.06</v>
      </c>
      <c r="C44" s="2985" t="s">
        <v>3239</v>
      </c>
      <c r="D44" s="2986">
        <v>1174.06</v>
      </c>
      <c r="E44" s="2984" t="s">
        <v>3233</v>
      </c>
      <c r="F44" s="2985"/>
      <c r="G44" s="2986"/>
      <c r="H44" s="2986"/>
      <c r="I44" s="2986"/>
    </row>
    <row r="45" spans="1:9" s="2991" customFormat="1">
      <c r="A45" s="2985" t="s">
        <v>3240</v>
      </c>
      <c r="B45" s="2985">
        <v>1091.3</v>
      </c>
      <c r="C45" s="2985" t="s">
        <v>3241</v>
      </c>
      <c r="D45" s="2986">
        <v>1091.3</v>
      </c>
      <c r="E45" s="2984" t="s">
        <v>3242</v>
      </c>
      <c r="F45" s="2985"/>
      <c r="G45" s="2986"/>
      <c r="H45" s="2986"/>
      <c r="I45" s="2986"/>
    </row>
    <row r="46" spans="1:9" s="2991" customFormat="1">
      <c r="A46" s="2985" t="s">
        <v>3243</v>
      </c>
      <c r="B46" s="2985">
        <v>1886.31</v>
      </c>
      <c r="C46" s="2985" t="s">
        <v>3244</v>
      </c>
      <c r="D46" s="2986">
        <v>1886.31</v>
      </c>
      <c r="E46" s="2983" t="s">
        <v>3230</v>
      </c>
      <c r="F46" s="2986"/>
      <c r="G46" s="2986"/>
      <c r="H46" s="2986"/>
      <c r="I46" s="2986"/>
    </row>
    <row r="47" spans="1:9" s="2991" customFormat="1">
      <c r="A47" s="2985" t="s">
        <v>3245</v>
      </c>
      <c r="B47" s="2985">
        <v>23.37</v>
      </c>
      <c r="C47" s="2985" t="s">
        <v>3246</v>
      </c>
      <c r="D47" s="2986"/>
      <c r="E47" s="2986"/>
      <c r="F47" s="2986"/>
      <c r="G47" s="2986"/>
      <c r="H47" s="2986"/>
      <c r="I47" s="2986"/>
    </row>
    <row r="48" spans="1:9" s="2991" customFormat="1">
      <c r="A48" s="2985" t="s">
        <v>3247</v>
      </c>
      <c r="B48" s="2985">
        <v>42.37</v>
      </c>
      <c r="C48" s="2985" t="s">
        <v>3248</v>
      </c>
      <c r="D48" s="2986"/>
      <c r="E48" s="2986"/>
      <c r="F48" s="2986"/>
      <c r="G48" s="2986"/>
      <c r="H48" s="2986"/>
      <c r="I48" s="2986"/>
    </row>
    <row r="49" spans="1:9" s="2991" customFormat="1">
      <c r="A49" s="2985" t="s">
        <v>3249</v>
      </c>
      <c r="B49" s="2985">
        <v>45.01</v>
      </c>
      <c r="C49" s="2985" t="s">
        <v>3250</v>
      </c>
      <c r="D49" s="2986"/>
      <c r="E49" s="2986"/>
      <c r="F49" s="2986"/>
      <c r="G49" s="2986"/>
      <c r="H49" s="2986"/>
      <c r="I49" s="2986"/>
    </row>
    <row r="50" spans="1:9" s="2991" customFormat="1">
      <c r="A50" s="2985" t="s">
        <v>3251</v>
      </c>
      <c r="B50" s="2985">
        <v>47.94</v>
      </c>
      <c r="C50" s="2985" t="s">
        <v>3252</v>
      </c>
      <c r="D50" s="2986"/>
      <c r="E50" s="2986"/>
      <c r="F50" s="2986"/>
      <c r="G50" s="2986"/>
      <c r="H50" s="2986"/>
      <c r="I50" s="2986"/>
    </row>
    <row r="51" spans="1:9" s="2991" customFormat="1">
      <c r="A51" s="2985" t="s">
        <v>3253</v>
      </c>
      <c r="B51" s="2985">
        <v>48.02</v>
      </c>
      <c r="C51" s="2985" t="s">
        <v>3254</v>
      </c>
      <c r="D51" s="2986"/>
      <c r="E51" s="2986"/>
      <c r="F51" s="2986"/>
      <c r="G51" s="2986"/>
      <c r="H51" s="2986"/>
      <c r="I51" s="2986"/>
    </row>
    <row r="52" spans="1:9" s="2991" customFormat="1">
      <c r="A52" s="2983" t="s">
        <v>3255</v>
      </c>
      <c r="B52" s="2985">
        <v>45.01</v>
      </c>
      <c r="C52" s="2985" t="s">
        <v>3256</v>
      </c>
      <c r="D52" s="2986"/>
      <c r="E52" s="2986"/>
      <c r="F52" s="2986"/>
      <c r="G52" s="2986"/>
      <c r="H52" s="2986"/>
      <c r="I52" s="2986"/>
    </row>
    <row r="53" spans="1:9" s="2991" customFormat="1">
      <c r="A53" s="2985" t="s">
        <v>3257</v>
      </c>
      <c r="B53" s="2985">
        <v>45.01</v>
      </c>
      <c r="C53" s="2985" t="s">
        <v>3258</v>
      </c>
      <c r="D53" s="2986"/>
      <c r="E53" s="2986"/>
      <c r="F53" s="2986"/>
      <c r="G53" s="2986"/>
      <c r="H53" s="2986"/>
      <c r="I53" s="2986"/>
    </row>
    <row r="54" spans="1:9" s="2991" customFormat="1">
      <c r="A54" s="2985" t="s">
        <v>3259</v>
      </c>
      <c r="B54" s="2985">
        <v>45.01</v>
      </c>
      <c r="C54" s="2985" t="s">
        <v>3260</v>
      </c>
      <c r="D54" s="2986"/>
      <c r="E54" s="2986"/>
      <c r="F54" s="2986"/>
      <c r="G54" s="2986"/>
      <c r="H54" s="2986"/>
      <c r="I54" s="2986"/>
    </row>
    <row r="55" spans="1:9" s="2991" customFormat="1">
      <c r="A55" s="2985" t="s">
        <v>3261</v>
      </c>
      <c r="B55" s="2985">
        <v>50.02</v>
      </c>
      <c r="C55" s="2985" t="s">
        <v>3262</v>
      </c>
      <c r="D55" s="2986"/>
      <c r="E55" s="2986"/>
      <c r="F55" s="2986"/>
      <c r="G55" s="2986"/>
      <c r="H55" s="2986"/>
      <c r="I55" s="2986"/>
    </row>
    <row r="56" spans="1:9" s="2991" customFormat="1">
      <c r="A56" s="2985" t="s">
        <v>3263</v>
      </c>
      <c r="B56" s="2985">
        <v>45.01</v>
      </c>
      <c r="C56" s="2985" t="s">
        <v>3264</v>
      </c>
      <c r="D56" s="2986"/>
      <c r="E56" s="2986"/>
      <c r="F56" s="2986"/>
      <c r="G56" s="2986"/>
      <c r="H56" s="2986"/>
      <c r="I56" s="2986"/>
    </row>
    <row r="57" spans="1:9" s="2991" customFormat="1">
      <c r="A57" s="2985" t="s">
        <v>3265</v>
      </c>
      <c r="B57" s="2985">
        <v>47.87</v>
      </c>
      <c r="C57" s="2985" t="s">
        <v>3266</v>
      </c>
      <c r="D57" s="2986"/>
      <c r="E57" s="2986"/>
      <c r="F57" s="2986"/>
      <c r="G57" s="2986"/>
      <c r="H57" s="2986"/>
      <c r="I57" s="2986"/>
    </row>
    <row r="58" spans="1:9" s="2991" customFormat="1">
      <c r="A58" s="2985" t="s">
        <v>3267</v>
      </c>
      <c r="B58" s="2985">
        <v>45.01</v>
      </c>
      <c r="C58" s="2985" t="s">
        <v>3268</v>
      </c>
      <c r="D58" s="2986"/>
      <c r="E58" s="2986"/>
      <c r="F58" s="2986"/>
      <c r="G58" s="2986"/>
      <c r="H58" s="2986"/>
      <c r="I58" s="2986"/>
    </row>
    <row r="59" spans="1:9" s="2991" customFormat="1">
      <c r="A59" s="2985" t="s">
        <v>3269</v>
      </c>
      <c r="B59" s="2985">
        <v>45.01</v>
      </c>
      <c r="C59" s="2985" t="s">
        <v>3270</v>
      </c>
      <c r="D59" s="2986"/>
      <c r="E59" s="2986"/>
      <c r="F59" s="2986"/>
      <c r="G59" s="2986"/>
      <c r="H59" s="2986"/>
      <c r="I59" s="2986"/>
    </row>
    <row r="60" spans="1:9" s="2991" customFormat="1">
      <c r="A60" s="2985" t="s">
        <v>3271</v>
      </c>
      <c r="B60" s="2985">
        <v>45.01</v>
      </c>
      <c r="C60" s="2985" t="s">
        <v>3272</v>
      </c>
      <c r="D60" s="2986"/>
      <c r="E60" s="2986"/>
      <c r="F60" s="2986"/>
      <c r="G60" s="2986"/>
      <c r="H60" s="2986"/>
      <c r="I60" s="2986"/>
    </row>
    <row r="61" spans="1:9" s="2991" customFormat="1">
      <c r="A61" s="2985" t="s">
        <v>3273</v>
      </c>
      <c r="B61" s="2985">
        <v>45.01</v>
      </c>
      <c r="C61" s="2985" t="s">
        <v>3274</v>
      </c>
      <c r="D61" s="2986"/>
      <c r="E61" s="2986"/>
      <c r="F61" s="2986"/>
      <c r="G61" s="2986"/>
      <c r="H61" s="2986"/>
      <c r="I61" s="2986"/>
    </row>
    <row r="62" spans="1:9" s="2991" customFormat="1">
      <c r="A62" s="2985" t="s">
        <v>3275</v>
      </c>
      <c r="B62" s="2985">
        <v>45.83</v>
      </c>
      <c r="C62" s="2985" t="s">
        <v>3276</v>
      </c>
      <c r="D62" s="2986"/>
      <c r="E62" s="2986"/>
      <c r="F62" s="2986"/>
      <c r="G62" s="2986"/>
      <c r="H62" s="2986"/>
      <c r="I62" s="2986"/>
    </row>
    <row r="63" spans="1:9" s="2991" customFormat="1">
      <c r="A63" s="2985" t="s">
        <v>3277</v>
      </c>
      <c r="B63" s="2985">
        <v>40.590000000000003</v>
      </c>
      <c r="C63" s="2985" t="s">
        <v>3278</v>
      </c>
      <c r="D63" s="2986"/>
      <c r="E63" s="2986"/>
      <c r="F63" s="2986"/>
      <c r="G63" s="2986"/>
      <c r="H63" s="2986"/>
      <c r="I63" s="2986"/>
    </row>
    <row r="64" spans="1:9" s="2991" customFormat="1">
      <c r="A64" s="2985" t="s">
        <v>3279</v>
      </c>
      <c r="B64" s="2985">
        <v>83.05</v>
      </c>
      <c r="C64" s="2985" t="s">
        <v>3280</v>
      </c>
      <c r="D64" s="2986"/>
      <c r="E64" s="2986"/>
      <c r="F64" s="2986"/>
      <c r="G64" s="2986"/>
      <c r="H64" s="2986"/>
      <c r="I64" s="2986"/>
    </row>
    <row r="65" spans="1:9" s="2991" customFormat="1">
      <c r="A65" s="2985" t="s">
        <v>3281</v>
      </c>
      <c r="B65" s="2985">
        <v>55.66</v>
      </c>
      <c r="C65" s="2985" t="s">
        <v>3282</v>
      </c>
      <c r="D65" s="2986"/>
      <c r="E65" s="2986"/>
      <c r="F65" s="2986"/>
      <c r="G65" s="2986"/>
      <c r="H65" s="2986"/>
      <c r="I65" s="2986"/>
    </row>
    <row r="66" spans="1:9" s="2991" customFormat="1">
      <c r="A66" s="2985" t="s">
        <v>3283</v>
      </c>
      <c r="B66" s="2985">
        <v>55.95</v>
      </c>
      <c r="C66" s="2985" t="s">
        <v>3284</v>
      </c>
      <c r="D66" s="2986"/>
      <c r="E66" s="2986"/>
      <c r="F66" s="2986"/>
      <c r="G66" s="2986"/>
      <c r="H66" s="2986"/>
      <c r="I66" s="2986"/>
    </row>
    <row r="67" spans="1:9" s="2991" customFormat="1">
      <c r="A67" s="2985" t="s">
        <v>3285</v>
      </c>
      <c r="B67" s="2985">
        <v>55.95</v>
      </c>
      <c r="C67" s="2985" t="s">
        <v>3286</v>
      </c>
      <c r="D67" s="2986"/>
      <c r="E67" s="2986"/>
      <c r="F67" s="2986"/>
      <c r="G67" s="2986"/>
      <c r="H67" s="2986"/>
      <c r="I67" s="2986"/>
    </row>
    <row r="68" spans="1:9" s="2991" customFormat="1">
      <c r="A68" s="2985" t="s">
        <v>3287</v>
      </c>
      <c r="B68" s="2985">
        <v>55.66</v>
      </c>
      <c r="C68" s="2985" t="s">
        <v>3288</v>
      </c>
      <c r="D68" s="2986"/>
      <c r="E68" s="2986"/>
      <c r="F68" s="2986"/>
      <c r="G68" s="2986"/>
      <c r="H68" s="2986"/>
      <c r="I68" s="2986"/>
    </row>
    <row r="69" spans="1:9" s="2991" customFormat="1">
      <c r="A69" s="2985" t="s">
        <v>3289</v>
      </c>
      <c r="B69" s="2985">
        <v>55.95</v>
      </c>
      <c r="C69" s="2985" t="s">
        <v>3290</v>
      </c>
      <c r="D69" s="2986"/>
      <c r="E69" s="2986"/>
      <c r="F69" s="2986"/>
      <c r="G69" s="2986"/>
      <c r="H69" s="2986"/>
      <c r="I69" s="2986"/>
    </row>
    <row r="70" spans="1:9" s="2991" customFormat="1">
      <c r="A70" s="2985" t="s">
        <v>3291</v>
      </c>
      <c r="B70" s="2985">
        <v>55.95</v>
      </c>
      <c r="C70" s="2985" t="s">
        <v>3292</v>
      </c>
      <c r="D70" s="2986"/>
      <c r="E70" s="2986"/>
      <c r="F70" s="2986"/>
      <c r="G70" s="2986"/>
      <c r="H70" s="2986"/>
      <c r="I70" s="2986"/>
    </row>
    <row r="71" spans="1:9" s="2991" customFormat="1">
      <c r="A71" s="2985" t="s">
        <v>3293</v>
      </c>
      <c r="B71" s="2985">
        <v>73.31</v>
      </c>
      <c r="C71" s="2985" t="s">
        <v>3294</v>
      </c>
      <c r="D71" s="2986"/>
      <c r="E71" s="2986"/>
      <c r="F71" s="2986"/>
      <c r="G71" s="2986"/>
      <c r="H71" s="2986"/>
      <c r="I71" s="2986"/>
    </row>
    <row r="72" spans="1:9" s="2991" customFormat="1">
      <c r="A72" s="2985" t="s">
        <v>3295</v>
      </c>
      <c r="B72" s="2985">
        <v>39.26</v>
      </c>
      <c r="C72" s="2985" t="s">
        <v>3296</v>
      </c>
      <c r="D72" s="2986"/>
      <c r="E72" s="2986"/>
      <c r="F72" s="2986"/>
      <c r="G72" s="2986"/>
      <c r="H72" s="2986"/>
      <c r="I72" s="2986"/>
    </row>
    <row r="73" spans="1:9" s="2991" customFormat="1">
      <c r="A73" s="2985" t="s">
        <v>3297</v>
      </c>
      <c r="B73" s="2985">
        <v>41.42</v>
      </c>
      <c r="C73" s="2985" t="s">
        <v>3298</v>
      </c>
      <c r="D73" s="2986"/>
      <c r="E73" s="2986"/>
      <c r="F73" s="2986"/>
      <c r="G73" s="2986"/>
      <c r="H73" s="2986"/>
      <c r="I73" s="2986"/>
    </row>
    <row r="74" spans="1:9" s="2991" customFormat="1">
      <c r="A74" s="2985" t="s">
        <v>3299</v>
      </c>
      <c r="B74" s="2985">
        <v>57.01</v>
      </c>
      <c r="C74" s="2985" t="s">
        <v>3300</v>
      </c>
      <c r="D74" s="2986"/>
      <c r="E74" s="2986"/>
      <c r="F74" s="2986"/>
      <c r="G74" s="2986"/>
      <c r="H74" s="2986"/>
      <c r="I74" s="2986"/>
    </row>
    <row r="75" spans="1:9" s="2991" customFormat="1">
      <c r="A75" s="2985" t="s">
        <v>3301</v>
      </c>
      <c r="B75" s="2985">
        <v>58.89</v>
      </c>
      <c r="C75" s="2985" t="s">
        <v>3302</v>
      </c>
      <c r="D75" s="2986"/>
      <c r="E75" s="2986"/>
      <c r="F75" s="2986"/>
      <c r="G75" s="2986"/>
      <c r="H75" s="2986"/>
      <c r="I75" s="2986"/>
    </row>
    <row r="76" spans="1:9" s="2991" customFormat="1">
      <c r="A76" s="2985" t="s">
        <v>3303</v>
      </c>
      <c r="B76" s="2985">
        <v>58.67</v>
      </c>
      <c r="C76" s="2985" t="s">
        <v>3304</v>
      </c>
      <c r="D76" s="2986"/>
      <c r="E76" s="2986"/>
      <c r="F76" s="2986"/>
      <c r="G76" s="2986"/>
      <c r="H76" s="2986"/>
      <c r="I76" s="2986"/>
    </row>
    <row r="77" spans="1:9" s="2991" customFormat="1">
      <c r="A77" s="2985" t="s">
        <v>3305</v>
      </c>
      <c r="B77" s="2985">
        <v>57.85</v>
      </c>
      <c r="C77" s="2985" t="s">
        <v>3306</v>
      </c>
      <c r="D77" s="2986"/>
      <c r="E77" s="2986"/>
      <c r="F77" s="2986"/>
      <c r="G77" s="2986"/>
      <c r="H77" s="2986"/>
      <c r="I77" s="2986"/>
    </row>
    <row r="78" spans="1:9" s="2991" customFormat="1">
      <c r="A78" s="2985" t="s">
        <v>3307</v>
      </c>
      <c r="B78" s="2985">
        <v>55.66</v>
      </c>
      <c r="C78" s="2985" t="s">
        <v>3308</v>
      </c>
      <c r="D78" s="2986"/>
      <c r="E78" s="2986"/>
      <c r="F78" s="2986"/>
      <c r="G78" s="2986"/>
      <c r="H78" s="2986"/>
      <c r="I78" s="2986"/>
    </row>
    <row r="79" spans="1:9" s="2991" customFormat="1">
      <c r="A79" s="2985" t="s">
        <v>3309</v>
      </c>
      <c r="B79" s="2985">
        <v>96.66</v>
      </c>
      <c r="C79" s="2985" t="s">
        <v>3310</v>
      </c>
      <c r="D79" s="2986">
        <v>1708</v>
      </c>
      <c r="E79" s="2984" t="s">
        <v>3233</v>
      </c>
      <c r="F79" s="2986"/>
      <c r="G79" s="2986"/>
      <c r="H79" s="2986"/>
      <c r="I79" s="2986"/>
    </row>
    <row r="80" spans="1:9" s="2991" customFormat="1">
      <c r="A80" s="2985" t="s">
        <v>3311</v>
      </c>
      <c r="B80" s="2985">
        <v>39.57</v>
      </c>
      <c r="C80" s="2985" t="s">
        <v>3312</v>
      </c>
      <c r="D80" s="2986"/>
      <c r="E80" s="2986"/>
      <c r="F80" s="2986"/>
      <c r="G80" s="2986"/>
      <c r="H80" s="2986"/>
      <c r="I80" s="2986"/>
    </row>
    <row r="81" spans="1:9" s="2991" customFormat="1">
      <c r="A81" s="2985" t="s">
        <v>3313</v>
      </c>
      <c r="B81" s="2985">
        <v>42.13</v>
      </c>
      <c r="C81" s="2985" t="s">
        <v>3314</v>
      </c>
      <c r="D81" s="2986"/>
      <c r="E81" s="2986"/>
      <c r="F81" s="2986"/>
      <c r="G81" s="2986"/>
      <c r="H81" s="2986"/>
      <c r="I81" s="2986"/>
    </row>
    <row r="82" spans="1:9" s="2991" customFormat="1">
      <c r="A82" s="2985" t="s">
        <v>3315</v>
      </c>
      <c r="B82" s="2985">
        <v>42.13</v>
      </c>
      <c r="C82" s="2985" t="s">
        <v>3316</v>
      </c>
      <c r="D82" s="2986"/>
      <c r="E82" s="2986"/>
      <c r="F82" s="2986"/>
      <c r="G82" s="2986"/>
      <c r="H82" s="2986"/>
      <c r="I82" s="2986"/>
    </row>
    <row r="83" spans="1:9" s="2991" customFormat="1">
      <c r="A83" s="2985" t="s">
        <v>3317</v>
      </c>
      <c r="B83" s="2985">
        <v>42.13</v>
      </c>
      <c r="C83" s="2985" t="s">
        <v>3318</v>
      </c>
      <c r="D83" s="2986"/>
      <c r="E83" s="2986"/>
      <c r="F83" s="2986"/>
      <c r="G83" s="2986"/>
      <c r="H83" s="2986"/>
      <c r="I83" s="2986"/>
    </row>
    <row r="84" spans="1:9" s="2991" customFormat="1">
      <c r="A84" s="2985" t="s">
        <v>3319</v>
      </c>
      <c r="B84" s="2985">
        <v>42.13</v>
      </c>
      <c r="C84" s="2985" t="s">
        <v>3320</v>
      </c>
      <c r="D84" s="2986"/>
      <c r="E84" s="2986"/>
      <c r="F84" s="2986"/>
      <c r="G84" s="2986"/>
      <c r="H84" s="2986"/>
      <c r="I84" s="2986"/>
    </row>
    <row r="85" spans="1:9" s="2991" customFormat="1">
      <c r="A85" s="2985" t="s">
        <v>3321</v>
      </c>
      <c r="B85" s="2985">
        <v>42.13</v>
      </c>
      <c r="C85" s="2985" t="s">
        <v>3322</v>
      </c>
      <c r="D85" s="2986"/>
      <c r="E85" s="2986"/>
      <c r="F85" s="2986"/>
      <c r="G85" s="2986"/>
      <c r="H85" s="2986"/>
      <c r="I85" s="2986"/>
    </row>
    <row r="86" spans="1:9" s="2991" customFormat="1">
      <c r="A86" s="2985" t="s">
        <v>3323</v>
      </c>
      <c r="B86" s="2985">
        <v>42.13</v>
      </c>
      <c r="C86" s="2985" t="s">
        <v>3324</v>
      </c>
      <c r="D86" s="2986"/>
      <c r="E86" s="2986"/>
      <c r="F86" s="2986"/>
      <c r="G86" s="2986"/>
      <c r="H86" s="2986"/>
      <c r="I86" s="2986"/>
    </row>
    <row r="87" spans="1:9" s="2991" customFormat="1">
      <c r="A87" s="2985" t="s">
        <v>3325</v>
      </c>
      <c r="B87" s="2985">
        <v>50.52</v>
      </c>
      <c r="C87" s="2985" t="s">
        <v>3326</v>
      </c>
      <c r="D87" s="2986"/>
      <c r="E87" s="2986"/>
      <c r="F87" s="2986"/>
      <c r="G87" s="2986"/>
      <c r="H87" s="2986"/>
      <c r="I87" s="2986"/>
    </row>
    <row r="88" spans="1:9" s="2991" customFormat="1">
      <c r="A88" s="2985" t="s">
        <v>3327</v>
      </c>
      <c r="B88" s="2985">
        <v>42.13</v>
      </c>
      <c r="C88" s="2985" t="s">
        <v>3328</v>
      </c>
      <c r="D88" s="2986"/>
      <c r="E88" s="2986"/>
      <c r="F88" s="2986"/>
      <c r="G88" s="2986"/>
      <c r="H88" s="2986"/>
      <c r="I88" s="2986"/>
    </row>
    <row r="89" spans="1:9" s="2991" customFormat="1">
      <c r="A89" s="2985" t="s">
        <v>3329</v>
      </c>
      <c r="B89" s="2985">
        <v>42.13</v>
      </c>
      <c r="C89" s="2985" t="s">
        <v>3330</v>
      </c>
      <c r="D89" s="2986"/>
      <c r="E89" s="2986"/>
      <c r="F89" s="2986"/>
      <c r="G89" s="2986"/>
      <c r="H89" s="2986"/>
      <c r="I89" s="2986"/>
    </row>
    <row r="90" spans="1:9" s="2991" customFormat="1">
      <c r="A90" s="2985" t="s">
        <v>3331</v>
      </c>
      <c r="B90" s="2985">
        <v>42.13</v>
      </c>
      <c r="C90" s="2985" t="s">
        <v>3332</v>
      </c>
      <c r="D90" s="2986"/>
      <c r="E90" s="2986"/>
      <c r="F90" s="2986"/>
      <c r="G90" s="2986"/>
      <c r="H90" s="2986"/>
      <c r="I90" s="2986"/>
    </row>
    <row r="91" spans="1:9" s="2991" customFormat="1">
      <c r="A91" s="2985" t="s">
        <v>3333</v>
      </c>
      <c r="B91" s="2985">
        <v>42.13</v>
      </c>
      <c r="C91" s="2985" t="s">
        <v>3334</v>
      </c>
      <c r="D91" s="2986"/>
      <c r="E91" s="2986"/>
      <c r="F91" s="2986"/>
      <c r="G91" s="2986"/>
      <c r="H91" s="2986"/>
      <c r="I91" s="2986"/>
    </row>
    <row r="92" spans="1:9" s="2991" customFormat="1">
      <c r="A92" s="2985" t="s">
        <v>3335</v>
      </c>
      <c r="B92" s="2985">
        <v>42.13</v>
      </c>
      <c r="C92" s="2985" t="s">
        <v>3336</v>
      </c>
      <c r="D92" s="2986"/>
      <c r="E92" s="2986"/>
      <c r="F92" s="2986"/>
      <c r="G92" s="2986"/>
      <c r="H92" s="2986"/>
      <c r="I92" s="2986"/>
    </row>
    <row r="93" spans="1:9" s="2991" customFormat="1">
      <c r="A93" s="2985" t="s">
        <v>3337</v>
      </c>
      <c r="B93" s="2985">
        <v>42.13</v>
      </c>
      <c r="C93" s="2985" t="s">
        <v>3338</v>
      </c>
      <c r="D93" s="2986"/>
      <c r="E93" s="2986"/>
      <c r="F93" s="2986"/>
      <c r="G93" s="2986"/>
      <c r="H93" s="2986"/>
      <c r="I93" s="2986"/>
    </row>
    <row r="94" spans="1:9" s="2991" customFormat="1">
      <c r="A94" s="2985" t="s">
        <v>3339</v>
      </c>
      <c r="B94" s="2985">
        <v>42.98</v>
      </c>
      <c r="C94" s="2985" t="s">
        <v>3340</v>
      </c>
      <c r="D94" s="2986"/>
      <c r="E94" s="2986"/>
      <c r="F94" s="2986"/>
      <c r="G94" s="2986"/>
      <c r="H94" s="2986"/>
      <c r="I94" s="2986"/>
    </row>
    <row r="95" spans="1:9" s="2991" customFormat="1">
      <c r="A95" s="2985" t="s">
        <v>3341</v>
      </c>
      <c r="B95" s="2985">
        <v>35.65</v>
      </c>
      <c r="C95" s="2985" t="s">
        <v>3342</v>
      </c>
      <c r="D95" s="2986"/>
      <c r="E95" s="2986"/>
      <c r="F95" s="2986"/>
      <c r="G95" s="2986"/>
      <c r="H95" s="2986"/>
      <c r="I95" s="2986"/>
    </row>
    <row r="96" spans="1:9" s="2991" customFormat="1">
      <c r="A96" s="2985" t="s">
        <v>3343</v>
      </c>
      <c r="B96" s="2985">
        <v>41.83</v>
      </c>
      <c r="C96" s="2985" t="s">
        <v>3344</v>
      </c>
      <c r="D96" s="2986"/>
      <c r="E96" s="2986"/>
      <c r="F96" s="2986"/>
      <c r="G96" s="2986"/>
      <c r="H96" s="2986"/>
      <c r="I96" s="2986"/>
    </row>
    <row r="97" spans="1:9" s="2991" customFormat="1">
      <c r="A97" s="2985" t="s">
        <v>3345</v>
      </c>
      <c r="B97" s="2985">
        <v>42.13</v>
      </c>
      <c r="C97" s="2985" t="s">
        <v>3346</v>
      </c>
      <c r="D97" s="2986"/>
      <c r="E97" s="2986"/>
      <c r="F97" s="2986"/>
      <c r="G97" s="2986"/>
      <c r="H97" s="2986"/>
      <c r="I97" s="2986"/>
    </row>
    <row r="98" spans="1:9" s="2991" customFormat="1">
      <c r="A98" s="2985" t="s">
        <v>3347</v>
      </c>
      <c r="B98" s="2985">
        <v>42.13</v>
      </c>
      <c r="C98" s="2985" t="s">
        <v>3348</v>
      </c>
      <c r="D98" s="2986"/>
      <c r="E98" s="2986"/>
      <c r="F98" s="2986"/>
      <c r="G98" s="2986"/>
      <c r="H98" s="2986"/>
      <c r="I98" s="2986"/>
    </row>
    <row r="99" spans="1:9" s="2991" customFormat="1">
      <c r="A99" s="2985" t="s">
        <v>3349</v>
      </c>
      <c r="B99" s="2985">
        <v>41.83</v>
      </c>
      <c r="C99" s="2985" t="s">
        <v>3350</v>
      </c>
      <c r="D99" s="2986"/>
      <c r="E99" s="2986"/>
      <c r="F99" s="2986"/>
      <c r="G99" s="2986"/>
      <c r="H99" s="2986"/>
      <c r="I99" s="2986"/>
    </row>
    <row r="100" spans="1:9" s="2991" customFormat="1">
      <c r="A100" s="2985" t="s">
        <v>3351</v>
      </c>
      <c r="B100" s="2985">
        <v>42.13</v>
      </c>
      <c r="C100" s="2985" t="s">
        <v>3352</v>
      </c>
      <c r="D100" s="2986"/>
      <c r="E100" s="2986"/>
      <c r="F100" s="2986"/>
      <c r="G100" s="2986"/>
      <c r="H100" s="2986"/>
      <c r="I100" s="2986"/>
    </row>
    <row r="101" spans="1:9" s="2991" customFormat="1">
      <c r="A101" s="2985" t="s">
        <v>3353</v>
      </c>
      <c r="B101" s="2985">
        <v>42.13</v>
      </c>
      <c r="C101" s="2985" t="s">
        <v>3354</v>
      </c>
      <c r="D101" s="2986"/>
      <c r="E101" s="2986"/>
      <c r="F101" s="2986"/>
      <c r="G101" s="2986"/>
      <c r="H101" s="2986"/>
      <c r="I101" s="2986"/>
    </row>
    <row r="102" spans="1:9" s="2991" customFormat="1">
      <c r="A102" s="2985" t="s">
        <v>3355</v>
      </c>
      <c r="B102" s="2985">
        <v>42.13</v>
      </c>
      <c r="C102" s="2985" t="s">
        <v>3356</v>
      </c>
      <c r="D102" s="2986"/>
      <c r="E102" s="2986"/>
      <c r="F102" s="2986"/>
      <c r="G102" s="2986"/>
      <c r="H102" s="2986"/>
      <c r="I102" s="2986"/>
    </row>
    <row r="103" spans="1:9" s="2991" customFormat="1">
      <c r="A103" s="2985" t="s">
        <v>3357</v>
      </c>
      <c r="B103" s="2985">
        <v>63.28</v>
      </c>
      <c r="C103" s="2985" t="s">
        <v>3358</v>
      </c>
      <c r="D103" s="2986"/>
      <c r="E103" s="2986"/>
      <c r="F103" s="2986"/>
      <c r="G103" s="2986"/>
      <c r="H103" s="2986"/>
      <c r="I103" s="2986"/>
    </row>
    <row r="104" spans="1:9" s="2991" customFormat="1">
      <c r="A104" s="2985" t="s">
        <v>3359</v>
      </c>
      <c r="B104" s="2985">
        <v>62.1</v>
      </c>
      <c r="C104" s="2985" t="s">
        <v>3360</v>
      </c>
      <c r="D104" s="2986"/>
      <c r="E104" s="2986"/>
      <c r="F104" s="2986"/>
      <c r="G104" s="2986"/>
      <c r="H104" s="2986"/>
      <c r="I104" s="2986"/>
    </row>
    <row r="105" spans="1:9" s="2991" customFormat="1">
      <c r="A105" s="2985" t="s">
        <v>3361</v>
      </c>
      <c r="B105" s="2985">
        <v>42.13</v>
      </c>
      <c r="C105" s="2985" t="s">
        <v>3362</v>
      </c>
      <c r="D105" s="2986"/>
      <c r="E105" s="2986"/>
      <c r="F105" s="2986"/>
      <c r="G105" s="2986"/>
      <c r="H105" s="2986"/>
      <c r="I105" s="2986"/>
    </row>
    <row r="106" spans="1:9" s="2991" customFormat="1">
      <c r="A106" s="2985" t="s">
        <v>3363</v>
      </c>
      <c r="B106" s="2985">
        <v>42.13</v>
      </c>
      <c r="C106" s="2985" t="s">
        <v>3364</v>
      </c>
      <c r="D106" s="2986"/>
      <c r="E106" s="2986"/>
      <c r="F106" s="2986"/>
      <c r="G106" s="2986"/>
      <c r="H106" s="2986"/>
      <c r="I106" s="2986"/>
    </row>
    <row r="107" spans="1:9" s="2991" customFormat="1">
      <c r="A107" s="2985" t="s">
        <v>3365</v>
      </c>
      <c r="B107" s="2985">
        <v>41.83</v>
      </c>
      <c r="C107" s="2985" t="s">
        <v>3366</v>
      </c>
      <c r="D107" s="2986"/>
      <c r="E107" s="2986"/>
      <c r="F107" s="2986"/>
      <c r="G107" s="2986"/>
      <c r="H107" s="2986"/>
      <c r="I107" s="2986"/>
    </row>
    <row r="108" spans="1:9" s="2991" customFormat="1">
      <c r="A108" s="2985" t="s">
        <v>3367</v>
      </c>
      <c r="B108" s="2985">
        <v>42.13</v>
      </c>
      <c r="C108" s="2985" t="s">
        <v>3368</v>
      </c>
      <c r="D108" s="2986"/>
      <c r="E108" s="2986"/>
      <c r="F108" s="2986"/>
      <c r="G108" s="2986"/>
      <c r="H108" s="2986"/>
      <c r="I108" s="2986"/>
    </row>
    <row r="109" spans="1:9" s="2991" customFormat="1">
      <c r="A109" s="2985" t="s">
        <v>3369</v>
      </c>
      <c r="B109" s="2985">
        <v>41.83</v>
      </c>
      <c r="C109" s="2985" t="s">
        <v>3370</v>
      </c>
      <c r="D109" s="2986"/>
      <c r="E109" s="2986"/>
      <c r="F109" s="2986"/>
      <c r="G109" s="2986"/>
      <c r="H109" s="2986"/>
      <c r="I109" s="2986"/>
    </row>
    <row r="110" spans="1:9" s="2991" customFormat="1">
      <c r="A110" s="2985" t="s">
        <v>3371</v>
      </c>
      <c r="B110" s="2985">
        <v>57.34</v>
      </c>
      <c r="C110" s="2985" t="s">
        <v>3372</v>
      </c>
      <c r="D110" s="2986">
        <v>1361.36</v>
      </c>
      <c r="E110" s="2984" t="s">
        <v>3242</v>
      </c>
      <c r="F110" s="2986"/>
      <c r="G110" s="2986"/>
      <c r="H110" s="2986"/>
      <c r="I110" s="2986"/>
    </row>
    <row r="111" spans="1:9" s="2991" customFormat="1">
      <c r="A111" s="2985" t="s">
        <v>3373</v>
      </c>
      <c r="B111" s="2985">
        <v>720.27</v>
      </c>
      <c r="C111" s="2985" t="s">
        <v>3374</v>
      </c>
      <c r="D111" s="2985">
        <v>720.27</v>
      </c>
      <c r="E111" s="2983" t="s">
        <v>3230</v>
      </c>
      <c r="F111" s="2986"/>
      <c r="G111" s="2986"/>
      <c r="H111" s="2986"/>
      <c r="I111" s="2986"/>
    </row>
    <row r="112" spans="1:9" s="2994" customFormat="1">
      <c r="A112" s="2992" t="s">
        <v>3375</v>
      </c>
      <c r="B112" s="2992">
        <v>2406.44</v>
      </c>
      <c r="C112" s="2992" t="s">
        <v>3376</v>
      </c>
      <c r="D112" s="2993"/>
      <c r="E112" s="2993"/>
      <c r="F112" s="2993"/>
      <c r="G112" s="2993"/>
      <c r="H112" s="2993"/>
      <c r="I112" s="2993"/>
    </row>
    <row r="113" spans="1:9">
      <c r="A113" s="2988" t="s">
        <v>3377</v>
      </c>
      <c r="B113" s="2988">
        <v>123.82</v>
      </c>
      <c r="C113" s="2988" t="s">
        <v>3378</v>
      </c>
      <c r="D113" s="2982"/>
      <c r="E113" s="2982"/>
      <c r="F113" s="2982"/>
      <c r="G113" s="2982"/>
      <c r="H113" s="2982"/>
      <c r="I113" s="2982"/>
    </row>
    <row r="114" spans="1:9">
      <c r="A114" s="2988" t="s">
        <v>3379</v>
      </c>
      <c r="B114" s="2988">
        <v>58.65</v>
      </c>
      <c r="C114" s="2988" t="s">
        <v>3380</v>
      </c>
      <c r="D114" s="2982"/>
      <c r="E114" s="2982"/>
      <c r="F114" s="2982"/>
      <c r="G114" s="2982"/>
      <c r="H114" s="2982"/>
      <c r="I114" s="2982"/>
    </row>
    <row r="115" spans="1:9">
      <c r="A115" s="2988" t="s">
        <v>3381</v>
      </c>
      <c r="B115" s="2988">
        <v>58.65</v>
      </c>
      <c r="C115" s="2988" t="s">
        <v>3382</v>
      </c>
      <c r="D115" s="2982"/>
      <c r="E115" s="2982"/>
      <c r="F115" s="2982"/>
      <c r="G115" s="2982"/>
      <c r="H115" s="2982"/>
      <c r="I115" s="2982"/>
    </row>
    <row r="116" spans="1:9">
      <c r="A116" s="2988" t="s">
        <v>3383</v>
      </c>
      <c r="B116" s="2988">
        <v>58.65</v>
      </c>
      <c r="C116" s="2988" t="s">
        <v>3384</v>
      </c>
      <c r="D116" s="2982"/>
      <c r="E116" s="2982"/>
      <c r="F116" s="2982"/>
      <c r="G116" s="2982"/>
      <c r="H116" s="2982"/>
      <c r="I116" s="2982"/>
    </row>
    <row r="117" spans="1:9">
      <c r="A117" s="2988" t="s">
        <v>3385</v>
      </c>
      <c r="B117" s="2988">
        <v>58.65</v>
      </c>
      <c r="C117" s="2988" t="s">
        <v>3386</v>
      </c>
      <c r="D117" s="2982"/>
      <c r="E117" s="2982"/>
      <c r="F117" s="2982"/>
      <c r="G117" s="2982"/>
      <c r="H117" s="2982"/>
      <c r="I117" s="2982"/>
    </row>
    <row r="118" spans="1:9">
      <c r="A118" s="2988" t="s">
        <v>3387</v>
      </c>
      <c r="B118" s="2988">
        <v>58.65</v>
      </c>
      <c r="C118" s="2988" t="s">
        <v>3388</v>
      </c>
      <c r="D118" s="2982"/>
      <c r="E118" s="2982"/>
      <c r="F118" s="2982"/>
      <c r="G118" s="2982"/>
      <c r="H118" s="2982"/>
      <c r="I118" s="2982"/>
    </row>
    <row r="119" spans="1:9">
      <c r="A119" s="2988" t="s">
        <v>3389</v>
      </c>
      <c r="B119" s="2988">
        <v>58.65</v>
      </c>
      <c r="C119" s="2988" t="s">
        <v>3390</v>
      </c>
      <c r="D119" s="2982"/>
      <c r="E119" s="2982"/>
      <c r="F119" s="2982"/>
      <c r="G119" s="2982"/>
      <c r="H119" s="2982"/>
      <c r="I119" s="2982"/>
    </row>
    <row r="120" spans="1:9">
      <c r="A120" s="2988" t="s">
        <v>3391</v>
      </c>
      <c r="B120" s="2988">
        <v>58.65</v>
      </c>
      <c r="C120" s="2988" t="s">
        <v>3392</v>
      </c>
      <c r="D120" s="2982"/>
      <c r="E120" s="2982"/>
      <c r="F120" s="2982"/>
      <c r="G120" s="2982"/>
      <c r="H120" s="2982"/>
      <c r="I120" s="2982"/>
    </row>
    <row r="121" spans="1:9">
      <c r="A121" s="2988" t="s">
        <v>3393</v>
      </c>
      <c r="B121" s="2988">
        <v>58.65</v>
      </c>
      <c r="C121" s="2988" t="s">
        <v>3394</v>
      </c>
      <c r="D121" s="2982"/>
      <c r="E121" s="2982"/>
      <c r="F121" s="2982"/>
      <c r="G121" s="2982"/>
      <c r="H121" s="2982"/>
      <c r="I121" s="2982"/>
    </row>
    <row r="122" spans="1:9">
      <c r="A122" s="2988" t="s">
        <v>3395</v>
      </c>
      <c r="B122" s="2988">
        <v>58.65</v>
      </c>
      <c r="C122" s="2988" t="s">
        <v>3396</v>
      </c>
      <c r="D122" s="2982"/>
      <c r="E122" s="2982"/>
      <c r="F122" s="2982"/>
      <c r="G122" s="2982"/>
      <c r="H122" s="2982"/>
      <c r="I122" s="2982"/>
    </row>
    <row r="123" spans="1:9">
      <c r="A123" s="2988" t="s">
        <v>3397</v>
      </c>
      <c r="B123" s="2988">
        <v>58.65</v>
      </c>
      <c r="C123" s="2988" t="s">
        <v>3398</v>
      </c>
      <c r="D123" s="2982"/>
      <c r="E123" s="2982"/>
      <c r="F123" s="2982"/>
      <c r="G123" s="2982"/>
      <c r="H123" s="2982"/>
      <c r="I123" s="2982"/>
    </row>
    <row r="124" spans="1:9">
      <c r="A124" s="2988" t="s">
        <v>3399</v>
      </c>
      <c r="B124" s="2988">
        <v>53.35</v>
      </c>
      <c r="C124" s="2988" t="s">
        <v>3400</v>
      </c>
      <c r="D124" s="2982"/>
      <c r="E124" s="2982"/>
      <c r="F124" s="2982"/>
      <c r="G124" s="2982"/>
      <c r="H124" s="2982"/>
      <c r="I124" s="2982"/>
    </row>
    <row r="125" spans="1:9">
      <c r="A125" s="2988" t="s">
        <v>3401</v>
      </c>
      <c r="B125" s="2988">
        <v>122.69</v>
      </c>
      <c r="C125" s="2988" t="s">
        <v>3402</v>
      </c>
      <c r="D125" s="2982"/>
      <c r="E125" s="2982"/>
      <c r="F125" s="2982"/>
      <c r="G125" s="2982"/>
      <c r="H125" s="2982"/>
      <c r="I125" s="2982"/>
    </row>
    <row r="126" spans="1:9">
      <c r="A126" s="2988" t="s">
        <v>3403</v>
      </c>
      <c r="B126" s="2988">
        <v>83.16</v>
      </c>
      <c r="C126" s="2988" t="s">
        <v>3404</v>
      </c>
      <c r="D126" s="2982"/>
      <c r="E126" s="2982"/>
      <c r="F126" s="2982"/>
      <c r="G126" s="2982"/>
      <c r="H126" s="2982"/>
      <c r="I126" s="2982"/>
    </row>
    <row r="127" spans="1:9">
      <c r="A127" s="2988" t="s">
        <v>3405</v>
      </c>
      <c r="B127" s="2988">
        <v>89.03</v>
      </c>
      <c r="C127" s="2988" t="s">
        <v>3406</v>
      </c>
      <c r="D127" s="2982"/>
      <c r="E127" s="2982"/>
      <c r="F127" s="2982"/>
      <c r="G127" s="2982"/>
      <c r="H127" s="2982"/>
      <c r="I127" s="2982"/>
    </row>
    <row r="128" spans="1:9">
      <c r="A128" s="2988" t="s">
        <v>3407</v>
      </c>
      <c r="B128" s="2988">
        <v>80.650000000000006</v>
      </c>
      <c r="C128" s="2988" t="s">
        <v>3408</v>
      </c>
      <c r="D128" s="2982"/>
      <c r="E128" s="2982"/>
      <c r="F128" s="2982"/>
      <c r="G128" s="2982"/>
      <c r="H128" s="2982"/>
      <c r="I128" s="2982"/>
    </row>
    <row r="129" spans="1:9">
      <c r="A129" s="2988" t="s">
        <v>3409</v>
      </c>
      <c r="B129" s="2988">
        <v>127.75</v>
      </c>
      <c r="C129" s="2988" t="s">
        <v>3410</v>
      </c>
      <c r="D129" s="2982"/>
      <c r="E129" s="2982"/>
      <c r="F129" s="2982"/>
      <c r="G129" s="2982"/>
      <c r="H129" s="2982"/>
      <c r="I129" s="2982"/>
    </row>
    <row r="130" spans="1:9">
      <c r="A130" s="2988" t="s">
        <v>3411</v>
      </c>
      <c r="B130" s="2988">
        <v>66.48</v>
      </c>
      <c r="C130" s="2988" t="s">
        <v>3412</v>
      </c>
      <c r="D130" s="2982"/>
      <c r="E130" s="2982"/>
      <c r="F130" s="2982"/>
      <c r="G130" s="2982"/>
      <c r="H130" s="2982"/>
      <c r="I130" s="2982"/>
    </row>
    <row r="131" spans="1:9">
      <c r="A131" s="2988" t="s">
        <v>3413</v>
      </c>
      <c r="B131" s="2988">
        <v>67.680000000000007</v>
      </c>
      <c r="C131" s="2988" t="s">
        <v>3414</v>
      </c>
      <c r="D131" s="2982"/>
      <c r="E131" s="2982"/>
      <c r="F131" s="2982"/>
      <c r="G131" s="2982"/>
      <c r="H131" s="2982"/>
      <c r="I131" s="2982"/>
    </row>
    <row r="132" spans="1:9">
      <c r="A132" s="2988" t="s">
        <v>3415</v>
      </c>
      <c r="B132" s="2988">
        <v>67.680000000000007</v>
      </c>
      <c r="C132" s="2988" t="s">
        <v>3416</v>
      </c>
      <c r="D132" s="2982"/>
      <c r="E132" s="2982"/>
      <c r="F132" s="2982"/>
      <c r="G132" s="2982"/>
      <c r="H132" s="2982"/>
      <c r="I132" s="2982"/>
    </row>
    <row r="133" spans="1:9">
      <c r="A133" s="2988" t="s">
        <v>3417</v>
      </c>
      <c r="B133" s="2988">
        <v>63.87</v>
      </c>
      <c r="C133" s="2988" t="s">
        <v>3418</v>
      </c>
      <c r="D133" s="2982"/>
      <c r="E133" s="2982"/>
      <c r="F133" s="2982"/>
      <c r="G133" s="2982"/>
      <c r="H133" s="2982"/>
      <c r="I133" s="2982"/>
    </row>
    <row r="134" spans="1:9">
      <c r="A134" s="2988" t="s">
        <v>3419</v>
      </c>
      <c r="B134" s="2988">
        <v>67.680000000000007</v>
      </c>
      <c r="C134" s="2988" t="s">
        <v>3420</v>
      </c>
      <c r="D134" s="2982"/>
      <c r="E134" s="2982"/>
      <c r="F134" s="2982"/>
      <c r="G134" s="2982"/>
      <c r="H134" s="2982"/>
      <c r="I134" s="2982"/>
    </row>
    <row r="135" spans="1:9">
      <c r="A135" s="2988" t="s">
        <v>3421</v>
      </c>
      <c r="B135" s="2988">
        <v>67.680000000000007</v>
      </c>
      <c r="C135" s="2988" t="s">
        <v>3422</v>
      </c>
      <c r="D135" s="2982"/>
      <c r="E135" s="2982"/>
      <c r="F135" s="2982"/>
      <c r="G135" s="2982"/>
      <c r="H135" s="2982"/>
      <c r="I135" s="2982"/>
    </row>
    <row r="136" spans="1:9">
      <c r="A136" s="2988" t="s">
        <v>3423</v>
      </c>
      <c r="B136" s="2988">
        <v>68.89</v>
      </c>
      <c r="C136" s="2988" t="s">
        <v>3424</v>
      </c>
      <c r="D136" s="2982"/>
      <c r="E136" s="2982"/>
      <c r="F136" s="2982"/>
      <c r="G136" s="2982"/>
      <c r="H136" s="2982"/>
      <c r="I136" s="2982"/>
    </row>
    <row r="137" spans="1:9">
      <c r="A137" s="2988" t="s">
        <v>3425</v>
      </c>
      <c r="B137" s="2988">
        <v>44.18</v>
      </c>
      <c r="C137" s="2988" t="s">
        <v>3426</v>
      </c>
      <c r="D137" s="2982"/>
      <c r="E137" s="2982"/>
      <c r="F137" s="2982"/>
      <c r="G137" s="2982"/>
      <c r="H137" s="2982"/>
      <c r="I137" s="2982"/>
    </row>
    <row r="138" spans="1:9">
      <c r="A138" s="2988" t="s">
        <v>3427</v>
      </c>
      <c r="B138" s="2988">
        <v>43.93</v>
      </c>
      <c r="C138" s="2988" t="s">
        <v>3428</v>
      </c>
      <c r="D138" s="2982"/>
      <c r="E138" s="2982"/>
      <c r="F138" s="2982"/>
      <c r="G138" s="2982"/>
      <c r="H138" s="2982"/>
      <c r="I138" s="2982"/>
    </row>
    <row r="139" spans="1:9">
      <c r="A139" s="2988" t="s">
        <v>3429</v>
      </c>
      <c r="B139" s="2988">
        <v>42.05</v>
      </c>
      <c r="C139" s="2988" t="s">
        <v>3430</v>
      </c>
      <c r="D139" s="2982"/>
      <c r="E139" s="2982"/>
      <c r="F139" s="2982"/>
      <c r="G139" s="2982"/>
      <c r="H139" s="2982"/>
      <c r="I139" s="2982"/>
    </row>
    <row r="140" spans="1:9">
      <c r="A140" s="2988" t="s">
        <v>3431</v>
      </c>
      <c r="B140" s="2988">
        <v>46.06</v>
      </c>
      <c r="C140" s="2988" t="s">
        <v>3432</v>
      </c>
      <c r="D140" s="2982"/>
      <c r="E140" s="2982"/>
      <c r="F140" s="2982"/>
      <c r="G140" s="2982"/>
      <c r="H140" s="2982"/>
      <c r="I140" s="2982"/>
    </row>
    <row r="141" spans="1:9">
      <c r="A141" s="2988" t="s">
        <v>3433</v>
      </c>
      <c r="B141" s="2988">
        <v>68.89</v>
      </c>
      <c r="C141" s="2988" t="s">
        <v>3434</v>
      </c>
      <c r="D141" s="2982"/>
      <c r="E141" s="2982"/>
      <c r="F141" s="2982"/>
      <c r="G141" s="2982"/>
      <c r="H141" s="2982"/>
      <c r="I141" s="2982"/>
    </row>
    <row r="142" spans="1:9">
      <c r="A142" s="2988" t="s">
        <v>3435</v>
      </c>
      <c r="B142" s="2988">
        <v>67.680000000000007</v>
      </c>
      <c r="C142" s="2988" t="s">
        <v>3436</v>
      </c>
      <c r="D142" s="2982"/>
      <c r="E142" s="2982"/>
      <c r="F142" s="2982"/>
      <c r="G142" s="2982"/>
      <c r="H142" s="2982"/>
      <c r="I142" s="2982"/>
    </row>
    <row r="143" spans="1:9">
      <c r="A143" s="2988" t="s">
        <v>3437</v>
      </c>
      <c r="B143" s="2988">
        <v>67.680000000000007</v>
      </c>
      <c r="C143" s="2988" t="s">
        <v>3438</v>
      </c>
      <c r="D143" s="2982"/>
      <c r="E143" s="2982"/>
      <c r="F143" s="2982"/>
      <c r="G143" s="2982"/>
      <c r="H143" s="2982"/>
      <c r="I143" s="2982"/>
    </row>
    <row r="144" spans="1:9">
      <c r="A144" s="2988" t="s">
        <v>3439</v>
      </c>
      <c r="B144" s="2988">
        <v>63.87</v>
      </c>
      <c r="C144" s="2988" t="s">
        <v>3440</v>
      </c>
      <c r="D144" s="2982"/>
      <c r="E144" s="2982"/>
      <c r="F144" s="2982"/>
      <c r="G144" s="2982"/>
      <c r="H144" s="2982"/>
      <c r="I144" s="2982"/>
    </row>
    <row r="145" spans="1:9">
      <c r="A145" s="2988" t="s">
        <v>3441</v>
      </c>
      <c r="B145" s="2988">
        <v>67.680000000000007</v>
      </c>
      <c r="C145" s="2988" t="s">
        <v>3442</v>
      </c>
      <c r="D145" s="2982"/>
      <c r="E145" s="2982"/>
      <c r="F145" s="2982"/>
      <c r="G145" s="2982"/>
      <c r="H145" s="2982"/>
      <c r="I145" s="2982"/>
    </row>
    <row r="146" spans="1:9">
      <c r="A146" s="2988" t="s">
        <v>3443</v>
      </c>
      <c r="B146" s="2988">
        <v>67.680000000000007</v>
      </c>
      <c r="C146" s="2988" t="s">
        <v>3444</v>
      </c>
      <c r="D146" s="2982"/>
      <c r="E146" s="2982"/>
      <c r="F146" s="2982"/>
      <c r="G146" s="2982"/>
      <c r="H146" s="2982"/>
      <c r="I146" s="2982"/>
    </row>
    <row r="147" spans="1:9">
      <c r="A147" s="2988" t="s">
        <v>3445</v>
      </c>
      <c r="B147" s="2988">
        <v>83.4</v>
      </c>
      <c r="C147" s="2988" t="s">
        <v>3446</v>
      </c>
      <c r="D147" s="2982"/>
      <c r="E147" s="2982"/>
      <c r="F147" s="2982"/>
      <c r="G147" s="2982"/>
      <c r="H147" s="2982"/>
      <c r="I147" s="2982"/>
    </row>
    <row r="148" spans="1:9">
      <c r="A148" s="2988" t="s">
        <v>3447</v>
      </c>
      <c r="B148" s="2988">
        <v>121.05</v>
      </c>
      <c r="C148" s="2988" t="s">
        <v>3448</v>
      </c>
      <c r="D148" s="2982"/>
      <c r="E148" s="2982"/>
      <c r="F148" s="2982"/>
      <c r="G148" s="2982"/>
      <c r="H148" s="2982"/>
      <c r="I148" s="2982"/>
    </row>
    <row r="149" spans="1:9">
      <c r="A149" s="2988" t="s">
        <v>3449</v>
      </c>
      <c r="B149" s="2988">
        <v>71.489999999999995</v>
      </c>
      <c r="C149" s="2988" t="s">
        <v>3450</v>
      </c>
      <c r="D149" s="2982"/>
      <c r="E149" s="2982"/>
      <c r="F149" s="2982"/>
      <c r="G149" s="2982"/>
      <c r="H149" s="2982"/>
      <c r="I149" s="2982"/>
    </row>
    <row r="150" spans="1:9">
      <c r="A150" s="2988" t="s">
        <v>3451</v>
      </c>
      <c r="B150" s="2988">
        <v>57.9</v>
      </c>
      <c r="C150" s="2988" t="s">
        <v>3452</v>
      </c>
      <c r="D150" s="2982"/>
      <c r="E150" s="2982"/>
      <c r="F150" s="2982"/>
      <c r="G150" s="2982"/>
      <c r="H150" s="2982"/>
      <c r="I150" s="2982"/>
    </row>
    <row r="151" spans="1:9">
      <c r="A151" s="2988" t="s">
        <v>3453</v>
      </c>
      <c r="B151" s="2988">
        <v>57.9</v>
      </c>
      <c r="C151" s="2988" t="s">
        <v>3454</v>
      </c>
      <c r="D151" s="2982"/>
      <c r="E151" s="2982"/>
      <c r="F151" s="2982"/>
      <c r="G151" s="2982"/>
      <c r="H151" s="2982"/>
      <c r="I151" s="2982"/>
    </row>
    <row r="152" spans="1:9">
      <c r="A152" s="2988" t="s">
        <v>3455</v>
      </c>
      <c r="B152" s="2988">
        <v>78.66</v>
      </c>
      <c r="C152" s="2988" t="s">
        <v>3456</v>
      </c>
      <c r="D152" s="2982"/>
      <c r="E152" s="2982"/>
      <c r="F152" s="2982"/>
      <c r="G152" s="2982"/>
      <c r="H152" s="2982"/>
      <c r="I152" s="2982"/>
    </row>
    <row r="153" spans="1:9">
      <c r="A153" s="2988" t="s">
        <v>3457</v>
      </c>
      <c r="B153" s="2988">
        <v>120.98</v>
      </c>
      <c r="C153" s="2988" t="s">
        <v>3458</v>
      </c>
      <c r="D153" s="2982"/>
      <c r="E153" s="2982"/>
      <c r="F153" s="2982"/>
      <c r="G153" s="2982"/>
      <c r="H153" s="2982"/>
      <c r="I153" s="2982"/>
    </row>
    <row r="154" spans="1:9">
      <c r="A154" s="2988" t="s">
        <v>3459</v>
      </c>
      <c r="B154" s="2988">
        <v>67.489999999999995</v>
      </c>
      <c r="C154" s="2988" t="s">
        <v>3460</v>
      </c>
      <c r="D154" s="2982"/>
      <c r="E154" s="2982"/>
      <c r="F154" s="2982"/>
      <c r="G154" s="2982"/>
      <c r="H154" s="2982"/>
      <c r="I154" s="2982"/>
    </row>
    <row r="155" spans="1:9">
      <c r="A155" s="2988" t="s">
        <v>3461</v>
      </c>
      <c r="B155" s="2988">
        <v>61.8</v>
      </c>
      <c r="C155" s="2988" t="s">
        <v>3462</v>
      </c>
      <c r="D155" s="2982"/>
      <c r="E155" s="2982"/>
      <c r="F155" s="2982"/>
      <c r="G155" s="2982"/>
      <c r="H155" s="2982"/>
      <c r="I155" s="2982"/>
    </row>
    <row r="156" spans="1:9">
      <c r="A156" s="2988" t="s">
        <v>3463</v>
      </c>
      <c r="B156" s="2988">
        <v>59.85</v>
      </c>
      <c r="C156" s="2988" t="s">
        <v>3464</v>
      </c>
      <c r="D156" s="2982"/>
      <c r="E156" s="2982"/>
      <c r="F156" s="2982"/>
      <c r="G156" s="2982"/>
      <c r="H156" s="2982"/>
      <c r="I156" s="2982"/>
    </row>
    <row r="157" spans="1:9">
      <c r="A157" s="2988" t="s">
        <v>3465</v>
      </c>
      <c r="B157" s="2988">
        <v>31.18</v>
      </c>
      <c r="C157" s="2988" t="s">
        <v>3466</v>
      </c>
      <c r="D157" s="2982"/>
      <c r="E157" s="2982"/>
      <c r="F157" s="2982"/>
      <c r="G157" s="2982"/>
      <c r="H157" s="2982"/>
      <c r="I157" s="2982"/>
    </row>
    <row r="158" spans="1:9">
      <c r="A158" s="2988" t="s">
        <v>3467</v>
      </c>
      <c r="B158" s="2988">
        <v>61.98</v>
      </c>
      <c r="C158" s="2988" t="s">
        <v>3468</v>
      </c>
      <c r="D158" s="2982"/>
      <c r="E158" s="2982"/>
      <c r="F158" s="2982"/>
      <c r="G158" s="2982"/>
      <c r="H158" s="2982"/>
      <c r="I158" s="2982"/>
    </row>
    <row r="159" spans="1:9">
      <c r="A159" s="2988" t="s">
        <v>3469</v>
      </c>
      <c r="B159" s="2988">
        <v>115.2</v>
      </c>
      <c r="C159" s="2988" t="s">
        <v>3470</v>
      </c>
      <c r="D159" s="2982"/>
      <c r="E159" s="2982"/>
      <c r="F159" s="2982"/>
      <c r="G159" s="2982"/>
      <c r="H159" s="2982"/>
      <c r="I159" s="2982"/>
    </row>
    <row r="160" spans="1:9">
      <c r="A160" s="2988" t="s">
        <v>3471</v>
      </c>
      <c r="B160" s="2988">
        <v>125.88</v>
      </c>
      <c r="C160" s="2988" t="s">
        <v>3472</v>
      </c>
      <c r="D160" s="2982"/>
      <c r="E160" s="2982"/>
      <c r="F160" s="2982"/>
      <c r="G160" s="2982"/>
      <c r="H160" s="2982"/>
      <c r="I160" s="2982"/>
    </row>
    <row r="161" spans="1:9">
      <c r="A161" s="2988" t="s">
        <v>3473</v>
      </c>
      <c r="B161" s="2988">
        <v>90.5</v>
      </c>
      <c r="C161" s="2988" t="s">
        <v>3474</v>
      </c>
      <c r="D161" s="2982"/>
      <c r="E161" s="2982"/>
      <c r="F161" s="2982"/>
      <c r="G161" s="2982"/>
      <c r="H161" s="2982"/>
      <c r="I161" s="2982"/>
    </row>
    <row r="162" spans="1:9">
      <c r="A162" s="2988" t="s">
        <v>3475</v>
      </c>
      <c r="B162" s="2988">
        <v>74.680000000000007</v>
      </c>
      <c r="C162" s="2988" t="s">
        <v>3476</v>
      </c>
      <c r="D162" s="2982"/>
      <c r="E162" s="2982"/>
      <c r="F162" s="2982"/>
      <c r="G162" s="2982"/>
      <c r="H162" s="2982"/>
      <c r="I162" s="2982"/>
    </row>
    <row r="163" spans="1:9">
      <c r="A163" s="2988" t="s">
        <v>3477</v>
      </c>
      <c r="B163" s="2988">
        <v>41.86</v>
      </c>
      <c r="C163" s="2988" t="s">
        <v>3478</v>
      </c>
      <c r="D163" s="2982"/>
      <c r="E163" s="2982"/>
      <c r="F163" s="2982"/>
      <c r="G163" s="2982"/>
      <c r="H163" s="2982"/>
      <c r="I163" s="2982"/>
    </row>
    <row r="164" spans="1:9">
      <c r="A164" s="2988" t="s">
        <v>3479</v>
      </c>
      <c r="B164" s="2988">
        <v>41.86</v>
      </c>
      <c r="C164" s="2988" t="s">
        <v>3480</v>
      </c>
      <c r="D164" s="2982"/>
      <c r="E164" s="2982"/>
      <c r="F164" s="2982"/>
      <c r="G164" s="2982"/>
      <c r="H164" s="2982"/>
      <c r="I164" s="2982"/>
    </row>
    <row r="165" spans="1:9">
      <c r="A165" s="2988" t="s">
        <v>3481</v>
      </c>
      <c r="B165" s="2988">
        <v>74.680000000000007</v>
      </c>
      <c r="C165" s="2988" t="s">
        <v>3482</v>
      </c>
      <c r="D165" s="2982"/>
      <c r="E165" s="2982"/>
      <c r="F165" s="2982"/>
      <c r="G165" s="2982"/>
      <c r="H165" s="2982"/>
      <c r="I165" s="2982"/>
    </row>
    <row r="166" spans="1:9">
      <c r="A166" s="2988" t="s">
        <v>3483</v>
      </c>
      <c r="B166" s="2988">
        <v>90.5</v>
      </c>
      <c r="C166" s="2988" t="s">
        <v>3484</v>
      </c>
      <c r="D166" s="2982"/>
      <c r="E166" s="2982"/>
      <c r="F166" s="2982"/>
      <c r="G166" s="2982"/>
      <c r="H166" s="2982"/>
      <c r="I166" s="2982"/>
    </row>
    <row r="167" spans="1:9">
      <c r="A167" s="2988" t="s">
        <v>3485</v>
      </c>
      <c r="B167" s="2988">
        <v>125.9</v>
      </c>
      <c r="C167" s="2988" t="s">
        <v>3486</v>
      </c>
      <c r="D167" s="2982"/>
      <c r="E167" s="2982"/>
      <c r="F167" s="2982"/>
      <c r="G167" s="2982"/>
      <c r="H167" s="2982"/>
      <c r="I167" s="2982"/>
    </row>
    <row r="168" spans="1:9">
      <c r="A168" s="2988" t="s">
        <v>3487</v>
      </c>
      <c r="B168" s="2988">
        <v>115.22</v>
      </c>
      <c r="C168" s="2988" t="s">
        <v>3488</v>
      </c>
      <c r="D168" s="2982"/>
      <c r="E168" s="2982"/>
      <c r="F168" s="2982"/>
      <c r="G168" s="2982"/>
      <c r="H168" s="2982"/>
      <c r="I168" s="2982"/>
    </row>
    <row r="169" spans="1:9">
      <c r="A169" s="2988" t="s">
        <v>3489</v>
      </c>
      <c r="B169" s="2988">
        <v>61.98</v>
      </c>
      <c r="C169" s="2988" t="s">
        <v>3490</v>
      </c>
      <c r="D169" s="2982"/>
      <c r="E169" s="2982"/>
      <c r="F169" s="2982"/>
      <c r="G169" s="2982"/>
      <c r="H169" s="2982"/>
      <c r="I169" s="2982"/>
    </row>
    <row r="170" spans="1:9">
      <c r="A170" s="2988" t="s">
        <v>3491</v>
      </c>
      <c r="B170" s="2988">
        <v>84.76</v>
      </c>
      <c r="C170" s="2988" t="s">
        <v>3492</v>
      </c>
      <c r="D170" s="2982"/>
      <c r="E170" s="2982"/>
      <c r="F170" s="2982"/>
      <c r="G170" s="2982"/>
      <c r="H170" s="2982"/>
      <c r="I170" s="2982"/>
    </row>
    <row r="171" spans="1:9">
      <c r="A171" s="2988" t="s">
        <v>3493</v>
      </c>
      <c r="B171" s="2988">
        <v>67.489999999999995</v>
      </c>
      <c r="C171" s="2988" t="s">
        <v>3494</v>
      </c>
      <c r="D171" s="2982"/>
      <c r="E171" s="2982"/>
      <c r="F171" s="2982"/>
      <c r="G171" s="2982"/>
      <c r="H171" s="2982"/>
      <c r="I171" s="2982"/>
    </row>
    <row r="172" spans="1:9">
      <c r="A172" s="2988" t="s">
        <v>3495</v>
      </c>
      <c r="B172" s="2988">
        <v>118.86</v>
      </c>
      <c r="C172" s="2988" t="s">
        <v>3496</v>
      </c>
      <c r="D172" s="2982"/>
      <c r="E172" s="2982"/>
      <c r="F172" s="2982"/>
      <c r="G172" s="2982"/>
      <c r="H172" s="2982"/>
      <c r="I172" s="2982"/>
    </row>
    <row r="173" spans="1:9">
      <c r="A173" s="2988" t="s">
        <v>3497</v>
      </c>
      <c r="B173" s="2988">
        <v>109.81</v>
      </c>
      <c r="C173" s="2988" t="s">
        <v>3498</v>
      </c>
      <c r="D173" s="2982"/>
      <c r="E173" s="2982"/>
      <c r="F173" s="2982"/>
      <c r="G173" s="2982"/>
      <c r="H173" s="2982"/>
      <c r="I173" s="2982"/>
    </row>
    <row r="174" spans="1:9">
      <c r="A174" s="2988" t="s">
        <v>3499</v>
      </c>
      <c r="B174" s="2988">
        <v>15.79</v>
      </c>
      <c r="C174" s="2988" t="s">
        <v>3500</v>
      </c>
      <c r="D174" s="2982"/>
      <c r="E174" s="2982"/>
      <c r="F174" s="2982"/>
      <c r="G174" s="2982"/>
      <c r="H174" s="2982"/>
      <c r="I174" s="2982"/>
    </row>
    <row r="175" spans="1:9">
      <c r="A175" s="2988" t="s">
        <v>3501</v>
      </c>
      <c r="B175" s="2988">
        <v>21.64</v>
      </c>
      <c r="C175" s="2988" t="s">
        <v>3502</v>
      </c>
      <c r="D175" s="2982">
        <f>SUM(B112:B175)</f>
        <v>6973.3400000000011</v>
      </c>
      <c r="E175" s="2982"/>
      <c r="F175" s="2982"/>
      <c r="G175" s="2982"/>
      <c r="H175" s="2982"/>
      <c r="I175" s="2982"/>
    </row>
    <row r="176" spans="1:9">
      <c r="A176" s="2988" t="s">
        <v>3503</v>
      </c>
      <c r="B176" s="2988">
        <v>4537.3</v>
      </c>
      <c r="C176" s="2988" t="s">
        <v>3504</v>
      </c>
      <c r="D176" s="2982"/>
      <c r="E176" s="2982"/>
      <c r="F176" s="2982"/>
      <c r="G176" s="2982"/>
      <c r="H176" s="2982"/>
      <c r="I176" s="2982"/>
    </row>
    <row r="177" spans="1:9">
      <c r="A177" s="2988" t="s">
        <v>3505</v>
      </c>
      <c r="B177" s="2988">
        <v>109.84</v>
      </c>
      <c r="C177" s="2988" t="s">
        <v>3506</v>
      </c>
      <c r="D177" s="2982"/>
      <c r="E177" s="2982"/>
      <c r="F177" s="2982"/>
      <c r="G177" s="2982"/>
      <c r="H177" s="2982"/>
      <c r="I177" s="2982"/>
    </row>
    <row r="178" spans="1:9">
      <c r="A178" s="2988" t="s">
        <v>3507</v>
      </c>
      <c r="B178" s="2988">
        <v>99.91</v>
      </c>
      <c r="C178" s="2988" t="s">
        <v>3508</v>
      </c>
      <c r="D178" s="2982"/>
      <c r="E178" s="2982"/>
      <c r="F178" s="2982"/>
      <c r="G178" s="2982"/>
      <c r="H178" s="2982"/>
      <c r="I178" s="2982"/>
    </row>
    <row r="179" spans="1:9">
      <c r="A179" s="2988" t="s">
        <v>3509</v>
      </c>
      <c r="B179" s="2988">
        <v>95.83</v>
      </c>
      <c r="C179" s="2988" t="s">
        <v>3510</v>
      </c>
      <c r="D179" s="2982"/>
      <c r="E179" s="2982"/>
      <c r="F179" s="2982"/>
      <c r="G179" s="2982"/>
      <c r="H179" s="2982"/>
      <c r="I179" s="2982"/>
    </row>
    <row r="180" spans="1:9">
      <c r="A180" s="2988" t="s">
        <v>3511</v>
      </c>
      <c r="B180" s="2988">
        <v>95.83</v>
      </c>
      <c r="C180" s="2988" t="s">
        <v>3512</v>
      </c>
      <c r="D180" s="2982"/>
      <c r="E180" s="2982"/>
      <c r="F180" s="2982"/>
      <c r="G180" s="2982"/>
      <c r="H180" s="2982"/>
      <c r="I180" s="2982"/>
    </row>
    <row r="181" spans="1:9">
      <c r="A181" s="2988" t="s">
        <v>3513</v>
      </c>
      <c r="B181" s="2988">
        <v>82.58</v>
      </c>
      <c r="C181" s="2988" t="s">
        <v>3514</v>
      </c>
      <c r="D181" s="2982"/>
      <c r="E181" s="2982"/>
      <c r="F181" s="2982"/>
      <c r="G181" s="2982"/>
      <c r="H181" s="2982"/>
      <c r="I181" s="2982"/>
    </row>
    <row r="182" spans="1:9">
      <c r="A182" s="2988" t="s">
        <v>3515</v>
      </c>
      <c r="B182" s="2988">
        <v>82.58</v>
      </c>
      <c r="C182" s="2988" t="s">
        <v>3516</v>
      </c>
      <c r="D182" s="2982"/>
      <c r="E182" s="2982"/>
      <c r="F182" s="2982"/>
      <c r="G182" s="2982"/>
      <c r="H182" s="2982"/>
      <c r="I182" s="2982"/>
    </row>
    <row r="183" spans="1:9">
      <c r="A183" s="2988" t="s">
        <v>3517</v>
      </c>
      <c r="B183" s="2988">
        <v>89.71</v>
      </c>
      <c r="C183" s="2988" t="s">
        <v>3518</v>
      </c>
      <c r="D183" s="2982"/>
      <c r="E183" s="2982"/>
      <c r="F183" s="2982"/>
      <c r="G183" s="2982"/>
      <c r="H183" s="2982"/>
      <c r="I183" s="2982"/>
    </row>
    <row r="184" spans="1:9">
      <c r="A184" s="2988" t="s">
        <v>3519</v>
      </c>
      <c r="B184" s="2988">
        <v>152.02000000000001</v>
      </c>
      <c r="C184" s="2988" t="s">
        <v>3520</v>
      </c>
      <c r="D184" s="2982"/>
      <c r="E184" s="2982"/>
      <c r="F184" s="2982"/>
      <c r="G184" s="2982"/>
      <c r="H184" s="2982"/>
      <c r="I184" s="2982"/>
    </row>
    <row r="185" spans="1:9">
      <c r="A185" s="2988" t="s">
        <v>3521</v>
      </c>
      <c r="B185" s="2988">
        <v>128.06</v>
      </c>
      <c r="C185" s="2988" t="s">
        <v>3522</v>
      </c>
      <c r="D185" s="2982"/>
      <c r="E185" s="2982"/>
      <c r="F185" s="2982"/>
      <c r="G185" s="2982"/>
      <c r="H185" s="2982"/>
      <c r="I185" s="2982"/>
    </row>
    <row r="186" spans="1:9">
      <c r="A186" s="2988" t="s">
        <v>3523</v>
      </c>
      <c r="B186" s="2988">
        <v>122.06</v>
      </c>
      <c r="C186" s="2988" t="s">
        <v>3524</v>
      </c>
      <c r="D186" s="2982"/>
      <c r="E186" s="2982"/>
      <c r="F186" s="2982"/>
      <c r="G186" s="2982"/>
      <c r="H186" s="2982"/>
      <c r="I186" s="2982"/>
    </row>
    <row r="187" spans="1:9">
      <c r="A187" s="2988" t="s">
        <v>3525</v>
      </c>
      <c r="B187" s="2988">
        <v>132.03</v>
      </c>
      <c r="C187" s="2988" t="s">
        <v>3526</v>
      </c>
      <c r="D187" s="2982"/>
      <c r="E187" s="2982"/>
      <c r="F187" s="2982"/>
      <c r="G187" s="2982"/>
      <c r="H187" s="2982"/>
      <c r="I187" s="2982"/>
    </row>
    <row r="188" spans="1:9">
      <c r="A188" s="2988" t="s">
        <v>3527</v>
      </c>
      <c r="B188" s="2988">
        <v>134.41999999999999</v>
      </c>
      <c r="C188" s="2988" t="s">
        <v>3528</v>
      </c>
      <c r="D188" s="2982"/>
      <c r="E188" s="2982"/>
      <c r="F188" s="2982"/>
      <c r="G188" s="2982"/>
      <c r="H188" s="2982"/>
      <c r="I188" s="2982"/>
    </row>
    <row r="189" spans="1:9">
      <c r="A189" s="2988" t="s">
        <v>3529</v>
      </c>
      <c r="B189" s="2988">
        <v>144.72</v>
      </c>
      <c r="C189" s="2988" t="s">
        <v>3530</v>
      </c>
      <c r="D189" s="2982"/>
      <c r="E189" s="2982"/>
      <c r="F189" s="2982"/>
      <c r="G189" s="2982"/>
      <c r="H189" s="2982"/>
      <c r="I189" s="2982"/>
    </row>
    <row r="190" spans="1:9">
      <c r="A190" s="2988" t="s">
        <v>3531</v>
      </c>
      <c r="B190" s="2988">
        <v>46.72</v>
      </c>
      <c r="C190" s="2988" t="s">
        <v>3532</v>
      </c>
      <c r="D190" s="2982"/>
      <c r="E190" s="2982"/>
      <c r="F190" s="2982"/>
      <c r="G190" s="2982"/>
      <c r="H190" s="2982"/>
      <c r="I190" s="2982"/>
    </row>
    <row r="191" spans="1:9">
      <c r="A191" s="2988" t="s">
        <v>3533</v>
      </c>
      <c r="B191" s="2988">
        <v>52.43</v>
      </c>
      <c r="C191" s="2988" t="s">
        <v>3534</v>
      </c>
      <c r="D191" s="2982"/>
      <c r="E191" s="2982"/>
      <c r="F191" s="2982"/>
      <c r="G191" s="2982"/>
      <c r="H191" s="2982"/>
      <c r="I191" s="2982"/>
    </row>
    <row r="192" spans="1:9">
      <c r="A192" s="2988" t="s">
        <v>3535</v>
      </c>
      <c r="B192" s="2988">
        <v>51.96</v>
      </c>
      <c r="C192" s="2988" t="s">
        <v>3536</v>
      </c>
      <c r="D192" s="2982"/>
      <c r="E192" s="2982"/>
      <c r="F192" s="2982"/>
      <c r="G192" s="2982"/>
      <c r="H192" s="2982"/>
      <c r="I192" s="2982"/>
    </row>
    <row r="193" spans="1:9">
      <c r="A193" s="2988" t="s">
        <v>3537</v>
      </c>
      <c r="B193" s="2988">
        <v>45.29</v>
      </c>
      <c r="C193" s="2988" t="s">
        <v>3538</v>
      </c>
      <c r="D193" s="2982"/>
      <c r="E193" s="2982"/>
      <c r="F193" s="2982"/>
      <c r="G193" s="2982"/>
      <c r="H193" s="2982"/>
      <c r="I193" s="2982"/>
    </row>
    <row r="194" spans="1:9">
      <c r="A194" s="2988" t="s">
        <v>3539</v>
      </c>
      <c r="B194" s="2988">
        <v>49.16</v>
      </c>
      <c r="C194" s="2988" t="s">
        <v>3540</v>
      </c>
      <c r="D194" s="2982"/>
      <c r="E194" s="2982"/>
      <c r="F194" s="2982"/>
      <c r="G194" s="2982"/>
      <c r="H194" s="2982"/>
      <c r="I194" s="2982"/>
    </row>
    <row r="195" spans="1:9">
      <c r="A195" s="2988" t="s">
        <v>3541</v>
      </c>
      <c r="B195" s="2988">
        <v>43.47</v>
      </c>
      <c r="C195" s="2988" t="s">
        <v>3542</v>
      </c>
      <c r="D195" s="2982"/>
      <c r="E195" s="2982"/>
      <c r="F195" s="2982"/>
      <c r="G195" s="2982"/>
      <c r="H195" s="2982"/>
      <c r="I195" s="2982"/>
    </row>
    <row r="196" spans="1:9">
      <c r="A196" s="2988" t="s">
        <v>3543</v>
      </c>
      <c r="B196" s="2988">
        <v>42.93</v>
      </c>
      <c r="C196" s="2988" t="s">
        <v>3544</v>
      </c>
      <c r="D196" s="2982"/>
      <c r="E196" s="2982"/>
      <c r="F196" s="2982"/>
      <c r="G196" s="2982"/>
      <c r="H196" s="2982"/>
      <c r="I196" s="2982"/>
    </row>
    <row r="197" spans="1:9">
      <c r="A197" s="2988" t="s">
        <v>3545</v>
      </c>
      <c r="B197" s="2988">
        <v>39.17</v>
      </c>
      <c r="C197" s="2988" t="s">
        <v>3546</v>
      </c>
      <c r="D197" s="2982"/>
      <c r="E197" s="2982"/>
      <c r="F197" s="2982"/>
      <c r="G197" s="2982"/>
      <c r="H197" s="2982"/>
      <c r="I197" s="2982"/>
    </row>
    <row r="198" spans="1:9">
      <c r="A198" s="2988" t="s">
        <v>3547</v>
      </c>
      <c r="B198" s="2988">
        <v>29.16</v>
      </c>
      <c r="C198" s="2988" t="s">
        <v>3548</v>
      </c>
      <c r="D198" s="2982"/>
      <c r="E198" s="2982"/>
      <c r="F198" s="2982"/>
      <c r="G198" s="2982"/>
      <c r="H198" s="2982"/>
      <c r="I198" s="2982"/>
    </row>
    <row r="199" spans="1:9">
      <c r="A199" s="2988" t="s">
        <v>3549</v>
      </c>
      <c r="B199" s="2988">
        <v>34.74</v>
      </c>
      <c r="C199" s="2988" t="s">
        <v>3550</v>
      </c>
      <c r="D199" s="2982"/>
      <c r="E199" s="2982"/>
      <c r="F199" s="2982"/>
      <c r="G199" s="2982"/>
      <c r="H199" s="2982"/>
      <c r="I199" s="2982"/>
    </row>
    <row r="200" spans="1:9">
      <c r="A200" s="2988" t="s">
        <v>3551</v>
      </c>
      <c r="B200" s="2988">
        <v>34.74</v>
      </c>
      <c r="C200" s="2988" t="s">
        <v>3552</v>
      </c>
      <c r="D200" s="2982"/>
      <c r="E200" s="2982"/>
      <c r="F200" s="2982"/>
      <c r="G200" s="2982"/>
      <c r="H200" s="2982"/>
      <c r="I200" s="2982"/>
    </row>
    <row r="201" spans="1:9">
      <c r="A201" s="2988" t="s">
        <v>3553</v>
      </c>
      <c r="B201" s="2988">
        <v>34.74</v>
      </c>
      <c r="C201" s="2988" t="s">
        <v>3554</v>
      </c>
      <c r="D201" s="2982"/>
      <c r="E201" s="2982"/>
      <c r="F201" s="2982"/>
      <c r="G201" s="2982"/>
      <c r="H201" s="2982"/>
      <c r="I201" s="2982"/>
    </row>
    <row r="202" spans="1:9">
      <c r="A202" s="2988" t="s">
        <v>3555</v>
      </c>
      <c r="B202" s="2988">
        <v>36.08</v>
      </c>
      <c r="C202" s="2988" t="s">
        <v>3556</v>
      </c>
      <c r="D202" s="2982"/>
      <c r="E202" s="2982"/>
      <c r="F202" s="2982"/>
      <c r="G202" s="2982"/>
      <c r="H202" s="2982"/>
      <c r="I202" s="2982"/>
    </row>
    <row r="203" spans="1:9">
      <c r="A203" s="2988" t="s">
        <v>3557</v>
      </c>
      <c r="B203" s="2988">
        <v>38.979999999999997</v>
      </c>
      <c r="C203" s="2988" t="s">
        <v>3558</v>
      </c>
      <c r="D203" s="2982"/>
      <c r="E203" s="2982"/>
      <c r="F203" s="2982"/>
      <c r="G203" s="2982"/>
      <c r="H203" s="2982"/>
      <c r="I203" s="2982"/>
    </row>
    <row r="204" spans="1:9">
      <c r="A204" s="2988" t="s">
        <v>3559</v>
      </c>
      <c r="B204" s="2988">
        <v>36.21</v>
      </c>
      <c r="C204" s="2988" t="s">
        <v>3560</v>
      </c>
      <c r="D204" s="2982"/>
      <c r="E204" s="2982"/>
      <c r="F204" s="2982"/>
      <c r="G204" s="2982"/>
      <c r="H204" s="2982"/>
      <c r="I204" s="2982"/>
    </row>
    <row r="205" spans="1:9">
      <c r="A205" s="2988" t="s">
        <v>3561</v>
      </c>
      <c r="B205" s="2988">
        <v>40.630000000000003</v>
      </c>
      <c r="C205" s="2988" t="s">
        <v>3562</v>
      </c>
      <c r="D205" s="2982"/>
      <c r="E205" s="2982"/>
      <c r="F205" s="2982"/>
      <c r="G205" s="2982"/>
      <c r="H205" s="2982"/>
      <c r="I205" s="2982"/>
    </row>
    <row r="206" spans="1:9">
      <c r="A206" s="2988" t="s">
        <v>3563</v>
      </c>
      <c r="B206" s="2988">
        <v>38.549999999999997</v>
      </c>
      <c r="C206" s="2988" t="s">
        <v>3564</v>
      </c>
      <c r="D206" s="2982"/>
      <c r="E206" s="2982"/>
      <c r="F206" s="2982"/>
      <c r="G206" s="2982"/>
      <c r="H206" s="2982"/>
      <c r="I206" s="2982"/>
    </row>
    <row r="207" spans="1:9">
      <c r="A207" s="2988" t="s">
        <v>3565</v>
      </c>
      <c r="B207" s="2988">
        <v>36.36</v>
      </c>
      <c r="C207" s="2988" t="s">
        <v>3566</v>
      </c>
      <c r="D207" s="2982"/>
      <c r="E207" s="2982"/>
      <c r="F207" s="2982"/>
      <c r="G207" s="2982"/>
      <c r="H207" s="2982"/>
      <c r="I207" s="2982"/>
    </row>
    <row r="208" spans="1:9">
      <c r="A208" s="2988" t="s">
        <v>3567</v>
      </c>
      <c r="B208" s="2988">
        <v>39.32</v>
      </c>
      <c r="C208" s="2988" t="s">
        <v>3568</v>
      </c>
      <c r="D208" s="2982"/>
      <c r="E208" s="2982"/>
      <c r="F208" s="2982"/>
      <c r="G208" s="2982"/>
      <c r="H208" s="2982"/>
      <c r="I208" s="2982"/>
    </row>
    <row r="209" spans="1:9">
      <c r="A209" s="2988" t="s">
        <v>3569</v>
      </c>
      <c r="B209" s="2988">
        <v>39.32</v>
      </c>
      <c r="C209" s="2988" t="s">
        <v>3570</v>
      </c>
      <c r="D209" s="2982"/>
      <c r="E209" s="2982"/>
      <c r="F209" s="2982"/>
      <c r="G209" s="2982"/>
      <c r="H209" s="2982"/>
      <c r="I209" s="2982"/>
    </row>
    <row r="210" spans="1:9">
      <c r="A210" s="2988" t="s">
        <v>3571</v>
      </c>
      <c r="B210" s="2988">
        <v>39.32</v>
      </c>
      <c r="C210" s="2988" t="s">
        <v>3572</v>
      </c>
      <c r="D210" s="2982"/>
      <c r="E210" s="2982"/>
      <c r="F210" s="2982"/>
      <c r="G210" s="2982"/>
      <c r="H210" s="2982"/>
      <c r="I210" s="2982"/>
    </row>
    <row r="211" spans="1:9">
      <c r="A211" s="2988" t="s">
        <v>3573</v>
      </c>
      <c r="B211" s="2988">
        <v>34.9</v>
      </c>
      <c r="C211" s="2988" t="s">
        <v>3574</v>
      </c>
      <c r="D211" s="2982"/>
      <c r="E211" s="2982"/>
      <c r="F211" s="2982"/>
      <c r="G211" s="2982"/>
      <c r="H211" s="2982"/>
      <c r="I211" s="2982"/>
    </row>
    <row r="212" spans="1:9">
      <c r="A212" s="2988" t="s">
        <v>3575</v>
      </c>
      <c r="B212" s="2988">
        <v>40.86</v>
      </c>
      <c r="C212" s="2988" t="s">
        <v>3576</v>
      </c>
      <c r="D212" s="2982"/>
      <c r="E212" s="2982"/>
      <c r="F212" s="2982"/>
      <c r="G212" s="2982"/>
      <c r="H212" s="2982"/>
      <c r="I212" s="2982"/>
    </row>
    <row r="213" spans="1:9">
      <c r="A213" s="2988" t="s">
        <v>3577</v>
      </c>
      <c r="B213" s="2988">
        <v>66.98</v>
      </c>
      <c r="C213" s="2988" t="s">
        <v>3578</v>
      </c>
      <c r="D213" s="2982"/>
      <c r="E213" s="2982"/>
      <c r="F213" s="2982"/>
      <c r="G213" s="2982"/>
      <c r="H213" s="2982"/>
      <c r="I213" s="2982"/>
    </row>
    <row r="214" spans="1:9">
      <c r="A214" s="2988" t="s">
        <v>3579</v>
      </c>
      <c r="B214" s="2988">
        <v>290.89</v>
      </c>
      <c r="C214" s="2988" t="s">
        <v>3580</v>
      </c>
      <c r="D214" s="2982"/>
      <c r="E214" s="2982"/>
      <c r="F214" s="2982"/>
      <c r="G214" s="2982"/>
      <c r="H214" s="2982"/>
      <c r="I214" s="2982"/>
    </row>
    <row r="215" spans="1:9">
      <c r="A215" s="2988" t="s">
        <v>3581</v>
      </c>
      <c r="B215" s="2988">
        <v>56.83</v>
      </c>
      <c r="C215" s="2988" t="s">
        <v>3582</v>
      </c>
      <c r="D215" s="2982"/>
      <c r="E215" s="2982"/>
      <c r="F215" s="2982"/>
      <c r="G215" s="2982"/>
      <c r="H215" s="2982"/>
      <c r="I215" s="2982"/>
    </row>
    <row r="216" spans="1:9">
      <c r="A216" s="2988" t="s">
        <v>3583</v>
      </c>
      <c r="B216" s="2988">
        <v>33.770000000000003</v>
      </c>
      <c r="C216" s="2988" t="s">
        <v>3584</v>
      </c>
      <c r="D216" s="2982"/>
      <c r="E216" s="2982"/>
      <c r="F216" s="2982"/>
      <c r="G216" s="2982"/>
      <c r="H216" s="2982"/>
      <c r="I216" s="2982"/>
    </row>
    <row r="217" spans="1:9">
      <c r="A217" s="2988" t="s">
        <v>3585</v>
      </c>
      <c r="B217" s="2988">
        <v>42.77</v>
      </c>
      <c r="C217" s="2988" t="s">
        <v>3586</v>
      </c>
      <c r="D217" s="2982"/>
      <c r="E217" s="2982"/>
      <c r="F217" s="2982"/>
      <c r="G217" s="2982"/>
      <c r="H217" s="2982"/>
      <c r="I217" s="2982"/>
    </row>
    <row r="218" spans="1:9">
      <c r="A218" s="2988" t="s">
        <v>3587</v>
      </c>
      <c r="B218" s="2988">
        <v>40.159999999999997</v>
      </c>
      <c r="C218" s="2988" t="s">
        <v>3588</v>
      </c>
      <c r="D218" s="2982"/>
      <c r="E218" s="2982"/>
      <c r="F218" s="2982"/>
      <c r="G218" s="2982"/>
      <c r="H218" s="2982"/>
      <c r="I218" s="2982"/>
    </row>
    <row r="219" spans="1:9">
      <c r="A219" s="2988" t="s">
        <v>3589</v>
      </c>
      <c r="B219" s="2988">
        <v>40.950000000000003</v>
      </c>
      <c r="C219" s="2988" t="s">
        <v>3590</v>
      </c>
      <c r="D219" s="2982"/>
      <c r="E219" s="2982"/>
      <c r="F219" s="2982"/>
      <c r="G219" s="2982"/>
      <c r="H219" s="2982"/>
      <c r="I219" s="2982"/>
    </row>
    <row r="220" spans="1:9">
      <c r="A220" s="2988" t="s">
        <v>3591</v>
      </c>
      <c r="B220" s="2988">
        <v>42.77</v>
      </c>
      <c r="C220" s="2988" t="s">
        <v>3592</v>
      </c>
      <c r="D220" s="2982"/>
      <c r="E220" s="2982"/>
      <c r="F220" s="2982"/>
      <c r="G220" s="2982"/>
      <c r="H220" s="2982"/>
      <c r="I220" s="2982"/>
    </row>
    <row r="221" spans="1:9">
      <c r="A221" s="2988" t="s">
        <v>3593</v>
      </c>
      <c r="B221" s="2988">
        <v>42.77</v>
      </c>
      <c r="C221" s="2988" t="s">
        <v>3594</v>
      </c>
      <c r="D221" s="2982"/>
      <c r="E221" s="2982"/>
      <c r="F221" s="2982"/>
      <c r="G221" s="2982"/>
      <c r="H221" s="2982"/>
      <c r="I221" s="2982"/>
    </row>
    <row r="222" spans="1:9">
      <c r="A222" s="2988" t="s">
        <v>3595</v>
      </c>
      <c r="B222" s="2988">
        <v>42.77</v>
      </c>
      <c r="C222" s="2988" t="s">
        <v>3596</v>
      </c>
      <c r="D222" s="2982"/>
      <c r="E222" s="2982"/>
      <c r="F222" s="2982"/>
      <c r="G222" s="2982"/>
      <c r="H222" s="2982"/>
      <c r="I222" s="2982"/>
    </row>
    <row r="223" spans="1:9">
      <c r="A223" s="2988" t="s">
        <v>3597</v>
      </c>
      <c r="B223" s="2988">
        <v>42.77</v>
      </c>
      <c r="C223" s="2988" t="s">
        <v>3598</v>
      </c>
      <c r="D223" s="2982"/>
      <c r="E223" s="2982"/>
      <c r="F223" s="2982"/>
      <c r="G223" s="2982"/>
      <c r="H223" s="2982"/>
      <c r="I223" s="2982"/>
    </row>
    <row r="224" spans="1:9">
      <c r="A224" s="2988" t="s">
        <v>3599</v>
      </c>
      <c r="B224" s="2988">
        <v>44.11</v>
      </c>
      <c r="C224" s="2988" t="s">
        <v>3600</v>
      </c>
      <c r="D224" s="2982"/>
      <c r="E224" s="2982"/>
      <c r="F224" s="2982"/>
      <c r="G224" s="2982"/>
      <c r="H224" s="2982"/>
      <c r="I224" s="2982"/>
    </row>
    <row r="225" spans="1:9">
      <c r="A225" s="2988" t="s">
        <v>3601</v>
      </c>
      <c r="B225" s="2988">
        <v>43.33</v>
      </c>
      <c r="C225" s="2988" t="s">
        <v>3602</v>
      </c>
      <c r="D225" s="2982"/>
      <c r="E225" s="2982"/>
      <c r="F225" s="2982"/>
      <c r="G225" s="2982"/>
      <c r="H225" s="2982"/>
      <c r="I225" s="2982"/>
    </row>
    <row r="226" spans="1:9">
      <c r="A226" s="2988" t="s">
        <v>3603</v>
      </c>
      <c r="B226" s="2988">
        <v>25.2</v>
      </c>
      <c r="C226" s="2988" t="s">
        <v>3604</v>
      </c>
      <c r="D226" s="2982"/>
      <c r="E226" s="2982"/>
      <c r="F226" s="2982"/>
      <c r="G226" s="2982"/>
      <c r="H226" s="2982"/>
      <c r="I226" s="2982"/>
    </row>
    <row r="227" spans="1:9">
      <c r="A227" s="2988" t="s">
        <v>3605</v>
      </c>
      <c r="B227" s="2988">
        <v>33.79</v>
      </c>
      <c r="C227" s="2988" t="s">
        <v>3606</v>
      </c>
      <c r="D227" s="2982"/>
      <c r="E227" s="2982"/>
      <c r="F227" s="2982"/>
      <c r="G227" s="2982"/>
      <c r="H227" s="2982"/>
      <c r="I227" s="2982"/>
    </row>
    <row r="228" spans="1:9">
      <c r="A228" s="2988" t="s">
        <v>3607</v>
      </c>
      <c r="B228" s="2988">
        <v>31.46</v>
      </c>
      <c r="C228" s="2988" t="s">
        <v>3608</v>
      </c>
      <c r="D228" s="2982"/>
      <c r="E228" s="2982"/>
      <c r="F228" s="2982"/>
      <c r="G228" s="2982"/>
      <c r="H228" s="2982"/>
      <c r="I228" s="2982"/>
    </row>
    <row r="229" spans="1:9">
      <c r="A229" s="2988" t="s">
        <v>3609</v>
      </c>
      <c r="B229" s="2988">
        <v>27.53</v>
      </c>
      <c r="C229" s="2988" t="s">
        <v>3610</v>
      </c>
      <c r="D229" s="2982"/>
      <c r="E229" s="2982"/>
      <c r="F229" s="2982"/>
      <c r="G229" s="2982"/>
      <c r="H229" s="2982"/>
      <c r="I229" s="2982"/>
    </row>
    <row r="230" spans="1:9">
      <c r="A230" s="2988" t="s">
        <v>3611</v>
      </c>
      <c r="B230" s="2988">
        <v>27.53</v>
      </c>
      <c r="C230" s="2988" t="s">
        <v>3612</v>
      </c>
      <c r="D230" s="2982"/>
      <c r="E230" s="2982"/>
      <c r="F230" s="2982"/>
      <c r="G230" s="2982"/>
      <c r="H230" s="2982"/>
      <c r="I230" s="2982"/>
    </row>
    <row r="231" spans="1:9">
      <c r="A231" s="2988" t="s">
        <v>3613</v>
      </c>
      <c r="B231" s="2988">
        <v>31.46</v>
      </c>
      <c r="C231" s="2988" t="s">
        <v>3614</v>
      </c>
      <c r="D231" s="2982"/>
      <c r="E231" s="2982"/>
      <c r="F231" s="2982"/>
      <c r="G231" s="2982"/>
      <c r="H231" s="2982"/>
      <c r="I231" s="2982"/>
    </row>
    <row r="232" spans="1:9">
      <c r="A232" s="2988" t="s">
        <v>3615</v>
      </c>
      <c r="B232" s="2988">
        <v>31.46</v>
      </c>
      <c r="C232" s="2988" t="s">
        <v>3616</v>
      </c>
      <c r="D232" s="2982"/>
      <c r="E232" s="2982"/>
      <c r="F232" s="2982"/>
      <c r="G232" s="2982"/>
      <c r="H232" s="2982"/>
      <c r="I232" s="2982"/>
    </row>
    <row r="233" spans="1:9">
      <c r="A233" s="2988" t="s">
        <v>3617</v>
      </c>
      <c r="B233" s="2988">
        <v>27.53</v>
      </c>
      <c r="C233" s="2988" t="s">
        <v>3618</v>
      </c>
      <c r="D233" s="2982"/>
      <c r="E233" s="2982"/>
      <c r="F233" s="2982"/>
      <c r="G233" s="2982"/>
      <c r="H233" s="2982"/>
      <c r="I233" s="2982"/>
    </row>
    <row r="234" spans="1:9">
      <c r="A234" s="2988" t="s">
        <v>3619</v>
      </c>
      <c r="B234" s="2988">
        <v>27.53</v>
      </c>
      <c r="C234" s="2988" t="s">
        <v>3620</v>
      </c>
      <c r="D234" s="2982"/>
      <c r="E234" s="2982"/>
      <c r="F234" s="2982"/>
      <c r="G234" s="2982"/>
      <c r="H234" s="2982"/>
      <c r="I234" s="2982"/>
    </row>
    <row r="235" spans="1:9">
      <c r="A235" s="2988" t="s">
        <v>3621</v>
      </c>
      <c r="B235" s="2988">
        <v>31.46</v>
      </c>
      <c r="C235" s="2988" t="s">
        <v>3622</v>
      </c>
      <c r="D235" s="2982"/>
      <c r="E235" s="2982"/>
      <c r="F235" s="2982"/>
      <c r="G235" s="2982"/>
      <c r="H235" s="2982"/>
      <c r="I235" s="2982"/>
    </row>
    <row r="236" spans="1:9">
      <c r="A236" s="2988" t="s">
        <v>3623</v>
      </c>
      <c r="B236" s="2988">
        <v>33.79</v>
      </c>
      <c r="C236" s="2988" t="s">
        <v>3624</v>
      </c>
      <c r="D236" s="2982"/>
      <c r="E236" s="2982"/>
      <c r="F236" s="2982"/>
      <c r="G236" s="2982"/>
      <c r="H236" s="2982"/>
      <c r="I236" s="2982"/>
    </row>
    <row r="237" spans="1:9">
      <c r="A237" s="2988" t="s">
        <v>3625</v>
      </c>
      <c r="B237" s="2988">
        <v>25.15</v>
      </c>
      <c r="C237" s="2988" t="s">
        <v>3626</v>
      </c>
      <c r="D237" s="2982"/>
      <c r="E237" s="2982"/>
      <c r="F237" s="2982"/>
      <c r="G237" s="2982"/>
      <c r="H237" s="2982"/>
      <c r="I237" s="2982"/>
    </row>
    <row r="238" spans="1:9">
      <c r="A238" s="2988" t="s">
        <v>3627</v>
      </c>
      <c r="B238" s="2988">
        <v>43.33</v>
      </c>
      <c r="C238" s="2988" t="s">
        <v>3628</v>
      </c>
      <c r="D238" s="2982"/>
      <c r="E238" s="2982"/>
      <c r="F238" s="2982"/>
      <c r="G238" s="2982"/>
      <c r="H238" s="2982"/>
      <c r="I238" s="2982"/>
    </row>
    <row r="239" spans="1:9">
      <c r="A239" s="2988" t="s">
        <v>3629</v>
      </c>
      <c r="B239" s="2988">
        <v>44.11</v>
      </c>
      <c r="C239" s="2988" t="s">
        <v>3630</v>
      </c>
      <c r="D239" s="2982"/>
      <c r="E239" s="2982"/>
      <c r="F239" s="2982"/>
      <c r="G239" s="2982"/>
      <c r="H239" s="2982"/>
      <c r="I239" s="2982"/>
    </row>
    <row r="240" spans="1:9">
      <c r="A240" s="2988" t="s">
        <v>3631</v>
      </c>
      <c r="B240" s="2988">
        <v>42.77</v>
      </c>
      <c r="C240" s="2988" t="s">
        <v>3632</v>
      </c>
      <c r="D240" s="2982"/>
      <c r="E240" s="2982"/>
      <c r="F240" s="2982"/>
      <c r="G240" s="2982"/>
      <c r="H240" s="2982"/>
      <c r="I240" s="2982"/>
    </row>
    <row r="241" spans="1:9">
      <c r="A241" s="2988" t="s">
        <v>3633</v>
      </c>
      <c r="B241" s="2988">
        <v>42.77</v>
      </c>
      <c r="C241" s="2988" t="s">
        <v>3634</v>
      </c>
      <c r="D241" s="2982"/>
      <c r="E241" s="2982"/>
      <c r="F241" s="2982"/>
      <c r="G241" s="2982"/>
      <c r="H241" s="2982"/>
      <c r="I241" s="2982"/>
    </row>
    <row r="242" spans="1:9">
      <c r="A242" s="2988" t="s">
        <v>3635</v>
      </c>
      <c r="B242" s="2988">
        <v>42.77</v>
      </c>
      <c r="C242" s="2988" t="s">
        <v>3636</v>
      </c>
      <c r="D242" s="2982"/>
      <c r="E242" s="2982"/>
      <c r="F242" s="2982"/>
      <c r="G242" s="2982"/>
      <c r="H242" s="2982"/>
      <c r="I242" s="2982"/>
    </row>
    <row r="243" spans="1:9">
      <c r="A243" s="2988" t="s">
        <v>3637</v>
      </c>
      <c r="B243" s="2988">
        <v>42.77</v>
      </c>
      <c r="C243" s="2988" t="s">
        <v>3638</v>
      </c>
      <c r="D243" s="2982"/>
      <c r="E243" s="2982"/>
      <c r="F243" s="2982"/>
      <c r="G243" s="2982"/>
      <c r="H243" s="2982"/>
      <c r="I243" s="2982"/>
    </row>
    <row r="244" spans="1:9">
      <c r="A244" s="2988" t="s">
        <v>3639</v>
      </c>
      <c r="B244" s="2988">
        <v>40.950000000000003</v>
      </c>
      <c r="C244" s="2988" t="s">
        <v>3640</v>
      </c>
      <c r="D244" s="2982"/>
      <c r="E244" s="2982"/>
      <c r="F244" s="2982"/>
      <c r="G244" s="2982"/>
      <c r="H244" s="2982"/>
      <c r="I244" s="2982"/>
    </row>
    <row r="245" spans="1:9">
      <c r="A245" s="2988" t="s">
        <v>3641</v>
      </c>
      <c r="B245" s="2988">
        <v>40.159999999999997</v>
      </c>
      <c r="C245" s="2988" t="s">
        <v>3642</v>
      </c>
      <c r="D245" s="2982"/>
      <c r="E245" s="2982"/>
      <c r="F245" s="2982"/>
      <c r="G245" s="2982"/>
      <c r="H245" s="2982"/>
      <c r="I245" s="2982"/>
    </row>
    <row r="246" spans="1:9">
      <c r="A246" s="2988" t="s">
        <v>3643</v>
      </c>
      <c r="B246" s="2988">
        <v>42.77</v>
      </c>
      <c r="C246" s="2988" t="s">
        <v>3644</v>
      </c>
      <c r="D246" s="2982"/>
      <c r="E246" s="2982"/>
      <c r="F246" s="2982"/>
      <c r="G246" s="2982"/>
      <c r="H246" s="2982"/>
      <c r="I246" s="2982"/>
    </row>
    <row r="247" spans="1:9">
      <c r="A247" s="2988" t="s">
        <v>3645</v>
      </c>
      <c r="B247" s="2988">
        <v>33.770000000000003</v>
      </c>
      <c r="C247" s="2988" t="s">
        <v>3646</v>
      </c>
      <c r="D247" s="2982"/>
      <c r="E247" s="2982"/>
      <c r="F247" s="2982"/>
      <c r="G247" s="2982"/>
      <c r="H247" s="2982"/>
      <c r="I247" s="2982"/>
    </row>
    <row r="248" spans="1:9">
      <c r="A248" s="2988" t="s">
        <v>3647</v>
      </c>
      <c r="B248" s="2988">
        <v>56.83</v>
      </c>
      <c r="C248" s="2988" t="s">
        <v>3648</v>
      </c>
      <c r="D248" s="2982"/>
      <c r="E248" s="2982"/>
      <c r="F248" s="2982"/>
      <c r="G248" s="2982"/>
      <c r="H248" s="2982"/>
      <c r="I248" s="2982"/>
    </row>
    <row r="249" spans="1:9">
      <c r="A249" s="2988" t="s">
        <v>3649</v>
      </c>
      <c r="B249" s="2988">
        <v>21.72</v>
      </c>
      <c r="C249" s="2988" t="s">
        <v>3650</v>
      </c>
      <c r="D249" s="2982"/>
      <c r="E249" s="2982"/>
      <c r="F249" s="2982"/>
      <c r="G249" s="2982"/>
      <c r="H249" s="2982"/>
      <c r="I249" s="2982"/>
    </row>
    <row r="250" spans="1:9">
      <c r="A250" s="2988" t="s">
        <v>3651</v>
      </c>
      <c r="B250" s="2988">
        <v>25.18</v>
      </c>
      <c r="C250" s="2988" t="s">
        <v>3652</v>
      </c>
      <c r="D250" s="2982"/>
      <c r="E250" s="2982"/>
      <c r="F250" s="2982"/>
      <c r="G250" s="2982"/>
      <c r="H250" s="2982"/>
      <c r="I250" s="2982"/>
    </row>
    <row r="251" spans="1:9">
      <c r="A251" s="2988" t="s">
        <v>3653</v>
      </c>
      <c r="B251" s="2988">
        <v>45.6</v>
      </c>
      <c r="C251" s="2988" t="s">
        <v>3654</v>
      </c>
      <c r="D251" s="2982"/>
      <c r="E251" s="2982"/>
      <c r="F251" s="2982"/>
      <c r="G251" s="2982"/>
      <c r="H251" s="2982"/>
      <c r="I251" s="2982"/>
    </row>
    <row r="252" spans="1:9">
      <c r="A252" s="2988" t="s">
        <v>3655</v>
      </c>
      <c r="B252" s="2988">
        <v>108</v>
      </c>
      <c r="C252" s="2988" t="s">
        <v>3656</v>
      </c>
      <c r="D252" s="2982"/>
      <c r="E252" s="2982"/>
      <c r="F252" s="2982"/>
      <c r="G252" s="2982"/>
      <c r="H252" s="2982"/>
      <c r="I252" s="2982"/>
    </row>
    <row r="253" spans="1:9">
      <c r="A253" s="2988" t="s">
        <v>3657</v>
      </c>
      <c r="B253" s="2988">
        <v>118.55</v>
      </c>
      <c r="C253" s="2988" t="s">
        <v>3658</v>
      </c>
      <c r="D253" s="2982"/>
      <c r="E253" s="2982"/>
      <c r="F253" s="2982"/>
      <c r="G253" s="2982"/>
      <c r="H253" s="2982"/>
      <c r="I253" s="2982"/>
    </row>
    <row r="254" spans="1:9">
      <c r="A254" s="2988" t="s">
        <v>3659</v>
      </c>
      <c r="B254" s="2988">
        <v>123.39</v>
      </c>
      <c r="C254" s="2988" t="s">
        <v>3660</v>
      </c>
      <c r="D254" s="2982"/>
      <c r="E254" s="2982"/>
      <c r="F254" s="2982"/>
      <c r="G254" s="2982"/>
      <c r="H254" s="2982"/>
      <c r="I254" s="2982"/>
    </row>
    <row r="255" spans="1:9">
      <c r="A255" s="2988" t="s">
        <v>3661</v>
      </c>
      <c r="B255" s="2988">
        <v>226.32</v>
      </c>
      <c r="C255" s="2988" t="s">
        <v>3662</v>
      </c>
      <c r="D255" s="2982"/>
      <c r="E255" s="2982"/>
      <c r="F255" s="2982"/>
      <c r="G255" s="2982"/>
      <c r="H255" s="2982"/>
      <c r="I255" s="2982"/>
    </row>
    <row r="256" spans="1:9">
      <c r="A256" s="2988" t="s">
        <v>3663</v>
      </c>
      <c r="B256" s="2988">
        <v>156.44999999999999</v>
      </c>
      <c r="C256" s="2988" t="s">
        <v>3664</v>
      </c>
      <c r="D256" s="2982"/>
      <c r="E256" s="2982"/>
      <c r="F256" s="2982"/>
      <c r="G256" s="2982"/>
      <c r="H256" s="2982"/>
      <c r="I256" s="2982"/>
    </row>
    <row r="257" spans="1:9">
      <c r="A257" s="2988" t="s">
        <v>3665</v>
      </c>
      <c r="B257" s="2988">
        <v>87.72</v>
      </c>
      <c r="C257" s="2988" t="s">
        <v>3666</v>
      </c>
      <c r="D257" s="2982"/>
      <c r="E257" s="2982"/>
      <c r="F257" s="2982"/>
      <c r="G257" s="2982"/>
      <c r="H257" s="2982"/>
      <c r="I257" s="2982"/>
    </row>
    <row r="258" spans="1:9">
      <c r="A258" s="2988" t="s">
        <v>3667</v>
      </c>
      <c r="B258" s="2988">
        <v>71.41</v>
      </c>
      <c r="C258" s="2988" t="s">
        <v>3668</v>
      </c>
      <c r="D258" s="2982"/>
      <c r="E258" s="2982"/>
      <c r="F258" s="2982"/>
      <c r="G258" s="2982"/>
      <c r="H258" s="2982"/>
      <c r="I258" s="2982"/>
    </row>
    <row r="259" spans="1:9">
      <c r="A259" s="2988" t="s">
        <v>3669</v>
      </c>
      <c r="B259" s="2988">
        <v>183.35</v>
      </c>
      <c r="C259" s="2988" t="s">
        <v>3670</v>
      </c>
      <c r="D259" s="2982"/>
      <c r="E259" s="2982"/>
      <c r="F259" s="2982"/>
      <c r="G259" s="2982"/>
      <c r="H259" s="2982"/>
      <c r="I259" s="2982"/>
    </row>
    <row r="260" spans="1:9">
      <c r="A260" s="2988" t="s">
        <v>3671</v>
      </c>
      <c r="B260" s="2988">
        <v>203.49</v>
      </c>
      <c r="C260" s="2988" t="s">
        <v>3672</v>
      </c>
      <c r="D260" s="2982"/>
      <c r="E260" s="2982"/>
      <c r="F260" s="2982"/>
      <c r="G260" s="2982"/>
      <c r="H260" s="2982"/>
      <c r="I260" s="2982"/>
    </row>
    <row r="261" spans="1:9">
      <c r="A261" s="2988" t="s">
        <v>3673</v>
      </c>
      <c r="B261" s="2988">
        <v>143.85</v>
      </c>
      <c r="C261" s="2988" t="s">
        <v>3674</v>
      </c>
      <c r="D261" s="2982"/>
      <c r="E261" s="2982"/>
      <c r="F261" s="2982"/>
      <c r="G261" s="2982"/>
      <c r="H261" s="2982"/>
      <c r="I261" s="2982"/>
    </row>
    <row r="262" spans="1:9">
      <c r="A262" s="2988" t="s">
        <v>3675</v>
      </c>
      <c r="B262" s="2988">
        <v>144.99</v>
      </c>
      <c r="C262" s="2988" t="s">
        <v>3676</v>
      </c>
      <c r="D262" s="2982"/>
      <c r="E262" s="2982"/>
      <c r="F262" s="2982"/>
      <c r="G262" s="2982"/>
      <c r="H262" s="2982"/>
      <c r="I262" s="2982"/>
    </row>
    <row r="263" spans="1:9">
      <c r="A263" s="2988" t="s">
        <v>3677</v>
      </c>
      <c r="B263" s="2988">
        <v>155.53</v>
      </c>
      <c r="C263" s="2988" t="s">
        <v>3678</v>
      </c>
      <c r="D263" s="2982"/>
      <c r="E263" s="2982"/>
      <c r="F263" s="2982"/>
      <c r="G263" s="2982"/>
      <c r="H263" s="2982"/>
      <c r="I263" s="2982"/>
    </row>
    <row r="264" spans="1:9">
      <c r="A264" s="2988" t="s">
        <v>3679</v>
      </c>
      <c r="B264" s="2988">
        <v>136.25</v>
      </c>
      <c r="C264" s="2988" t="s">
        <v>3680</v>
      </c>
      <c r="D264" s="2982"/>
      <c r="E264" s="2982"/>
      <c r="F264" s="2982"/>
      <c r="G264" s="2982"/>
      <c r="H264" s="2982"/>
      <c r="I264" s="2982"/>
    </row>
    <row r="265" spans="1:9">
      <c r="A265" s="2988" t="s">
        <v>3681</v>
      </c>
      <c r="B265" s="2988">
        <v>235.24</v>
      </c>
      <c r="C265" s="2988" t="s">
        <v>3682</v>
      </c>
      <c r="D265" s="2982"/>
      <c r="E265" s="2982"/>
      <c r="F265" s="2982"/>
      <c r="G265" s="2982"/>
      <c r="H265" s="2982"/>
      <c r="I265" s="2982"/>
    </row>
    <row r="266" spans="1:9">
      <c r="A266" s="2988" t="s">
        <v>3683</v>
      </c>
      <c r="B266" s="2988">
        <v>235.24</v>
      </c>
      <c r="C266" s="2988" t="s">
        <v>3684</v>
      </c>
      <c r="D266" s="2982"/>
      <c r="E266" s="2982"/>
      <c r="F266" s="2982"/>
      <c r="G266" s="2982"/>
      <c r="H266" s="2982"/>
      <c r="I266" s="2982"/>
    </row>
    <row r="267" spans="1:9">
      <c r="A267" s="2988" t="s">
        <v>3685</v>
      </c>
      <c r="B267" s="2988">
        <v>136.25</v>
      </c>
      <c r="C267" s="2988" t="s">
        <v>3686</v>
      </c>
      <c r="D267" s="2982"/>
      <c r="E267" s="2982"/>
      <c r="F267" s="2982"/>
      <c r="G267" s="2982"/>
      <c r="H267" s="2982"/>
      <c r="I267" s="2982"/>
    </row>
    <row r="268" spans="1:9">
      <c r="A268" s="2988" t="s">
        <v>3687</v>
      </c>
      <c r="B268" s="2988">
        <v>155.53</v>
      </c>
      <c r="C268" s="2988" t="s">
        <v>3688</v>
      </c>
      <c r="D268" s="2982"/>
      <c r="E268" s="2982"/>
      <c r="F268" s="2982"/>
      <c r="G268" s="2982"/>
      <c r="H268" s="2982"/>
      <c r="I268" s="2982"/>
    </row>
    <row r="269" spans="1:9">
      <c r="A269" s="2988" t="s">
        <v>3689</v>
      </c>
      <c r="B269" s="2988">
        <v>144.99</v>
      </c>
      <c r="C269" s="2988" t="s">
        <v>3690</v>
      </c>
      <c r="D269" s="2982"/>
      <c r="E269" s="2982"/>
      <c r="F269" s="2982"/>
      <c r="G269" s="2982"/>
      <c r="H269" s="2982"/>
      <c r="I269" s="2982"/>
    </row>
    <row r="270" spans="1:9">
      <c r="A270" s="2988" t="s">
        <v>3691</v>
      </c>
      <c r="B270" s="2988">
        <v>144.13</v>
      </c>
      <c r="C270" s="2988" t="s">
        <v>3692</v>
      </c>
      <c r="D270" s="2982"/>
      <c r="E270" s="2982"/>
      <c r="F270" s="2982"/>
      <c r="G270" s="2982"/>
      <c r="H270" s="2982"/>
      <c r="I270" s="2982"/>
    </row>
    <row r="271" spans="1:9">
      <c r="A271" s="2988" t="s">
        <v>3693</v>
      </c>
      <c r="B271" s="2988">
        <v>206.6</v>
      </c>
      <c r="C271" s="2988" t="s">
        <v>3694</v>
      </c>
      <c r="D271" s="2982"/>
      <c r="E271" s="2982"/>
      <c r="F271" s="2982"/>
      <c r="G271" s="2982"/>
      <c r="H271" s="2982"/>
      <c r="I271" s="2982"/>
    </row>
    <row r="272" spans="1:9">
      <c r="A272" s="2988" t="s">
        <v>3695</v>
      </c>
      <c r="B272" s="2988">
        <v>183.35</v>
      </c>
      <c r="C272" s="2988" t="s">
        <v>3696</v>
      </c>
      <c r="D272" s="2982"/>
      <c r="E272" s="2982"/>
      <c r="F272" s="2982"/>
      <c r="G272" s="2982"/>
      <c r="H272" s="2982"/>
      <c r="I272" s="2982"/>
    </row>
    <row r="273" spans="1:9">
      <c r="A273" s="2988" t="s">
        <v>3697</v>
      </c>
      <c r="B273" s="2988">
        <v>71.41</v>
      </c>
      <c r="C273" s="2988" t="s">
        <v>3698</v>
      </c>
      <c r="D273" s="2982"/>
      <c r="E273" s="2982"/>
      <c r="F273" s="2982"/>
      <c r="G273" s="2982"/>
      <c r="H273" s="2982"/>
      <c r="I273" s="2982"/>
    </row>
    <row r="274" spans="1:9">
      <c r="A274" s="2988" t="s">
        <v>3699</v>
      </c>
      <c r="B274" s="2988">
        <v>87.72</v>
      </c>
      <c r="C274" s="2988" t="s">
        <v>3700</v>
      </c>
      <c r="D274" s="2982"/>
      <c r="E274" s="2982"/>
      <c r="F274" s="2982"/>
      <c r="G274" s="2982"/>
      <c r="H274" s="2982"/>
      <c r="I274" s="2982"/>
    </row>
    <row r="275" spans="1:9">
      <c r="A275" s="2988" t="s">
        <v>3701</v>
      </c>
      <c r="B275" s="2988">
        <v>156.53</v>
      </c>
      <c r="C275" s="2988" t="s">
        <v>3702</v>
      </c>
      <c r="D275" s="2982"/>
      <c r="E275" s="2982"/>
      <c r="F275" s="2982"/>
      <c r="G275" s="2982"/>
      <c r="H275" s="2982"/>
      <c r="I275" s="2982"/>
    </row>
    <row r="276" spans="1:9">
      <c r="A276" s="2988" t="s">
        <v>3703</v>
      </c>
      <c r="B276" s="2988">
        <v>226.45</v>
      </c>
      <c r="C276" s="2988" t="s">
        <v>3704</v>
      </c>
      <c r="D276" s="2982"/>
      <c r="E276" s="2982"/>
      <c r="F276" s="2982"/>
      <c r="G276" s="2982"/>
      <c r="H276" s="2982"/>
      <c r="I276" s="2982"/>
    </row>
    <row r="277" spans="1:9">
      <c r="A277" s="2988" t="s">
        <v>3705</v>
      </c>
      <c r="B277" s="2988">
        <v>91.69</v>
      </c>
      <c r="C277" s="2988" t="s">
        <v>3706</v>
      </c>
      <c r="D277" s="2982">
        <f>SUM(B176:B277)</f>
        <v>12616.620000000003</v>
      </c>
      <c r="E277" s="2982"/>
      <c r="F277" s="2982"/>
      <c r="G277" s="2982"/>
      <c r="H277" s="2982"/>
      <c r="I277" s="2982"/>
    </row>
    <row r="278" spans="1:9">
      <c r="A278" s="2988" t="s">
        <v>3707</v>
      </c>
      <c r="B278" s="2988">
        <v>3857.79</v>
      </c>
      <c r="C278" s="2988" t="s">
        <v>3708</v>
      </c>
      <c r="D278" s="2982"/>
      <c r="E278" s="2982"/>
      <c r="F278" s="2982"/>
      <c r="G278" s="2982"/>
      <c r="H278" s="2982"/>
      <c r="I278" s="2982"/>
    </row>
    <row r="279" spans="1:9">
      <c r="A279" s="2988" t="s">
        <v>3709</v>
      </c>
      <c r="B279" s="2988">
        <v>121.51</v>
      </c>
      <c r="C279" s="2988" t="s">
        <v>3710</v>
      </c>
      <c r="D279" s="2982"/>
      <c r="E279" s="2982"/>
      <c r="F279" s="2982"/>
      <c r="G279" s="2982"/>
      <c r="H279" s="2982"/>
      <c r="I279" s="2982"/>
    </row>
    <row r="280" spans="1:9">
      <c r="A280" s="2988" t="s">
        <v>3711</v>
      </c>
      <c r="B280" s="2988">
        <v>111.93</v>
      </c>
      <c r="C280" s="2988" t="s">
        <v>3712</v>
      </c>
      <c r="D280" s="2982"/>
      <c r="E280" s="2982"/>
      <c r="F280" s="2982"/>
      <c r="G280" s="2982"/>
      <c r="H280" s="2982"/>
      <c r="I280" s="2982"/>
    </row>
    <row r="281" spans="1:9">
      <c r="A281" s="2988" t="s">
        <v>3713</v>
      </c>
      <c r="B281" s="2988">
        <v>107.36</v>
      </c>
      <c r="C281" s="2988" t="s">
        <v>3714</v>
      </c>
      <c r="D281" s="2982"/>
      <c r="E281" s="2982"/>
      <c r="F281" s="2982"/>
      <c r="G281" s="2982"/>
      <c r="H281" s="2982"/>
      <c r="I281" s="2982"/>
    </row>
    <row r="282" spans="1:9">
      <c r="A282" s="2988" t="s">
        <v>3715</v>
      </c>
      <c r="B282" s="2988">
        <v>107.36</v>
      </c>
      <c r="C282" s="2988" t="s">
        <v>3716</v>
      </c>
      <c r="D282" s="2982"/>
      <c r="E282" s="2982"/>
      <c r="F282" s="2982"/>
      <c r="G282" s="2982"/>
      <c r="H282" s="2982"/>
      <c r="I282" s="2982"/>
    </row>
    <row r="283" spans="1:9">
      <c r="A283" s="2988" t="s">
        <v>3717</v>
      </c>
      <c r="B283" s="2988">
        <v>92.52</v>
      </c>
      <c r="C283" s="2988" t="s">
        <v>3718</v>
      </c>
      <c r="D283" s="2982"/>
      <c r="E283" s="2982"/>
      <c r="F283" s="2982"/>
      <c r="G283" s="2982"/>
      <c r="H283" s="2982"/>
      <c r="I283" s="2982"/>
    </row>
    <row r="284" spans="1:9">
      <c r="A284" s="2988" t="s">
        <v>3719</v>
      </c>
      <c r="B284" s="2988">
        <v>92.52</v>
      </c>
      <c r="C284" s="2988" t="s">
        <v>3720</v>
      </c>
      <c r="D284" s="2982"/>
      <c r="E284" s="2982"/>
      <c r="F284" s="2982"/>
      <c r="G284" s="2982"/>
      <c r="H284" s="2982"/>
      <c r="I284" s="2982"/>
    </row>
    <row r="285" spans="1:9">
      <c r="A285" s="2988" t="s">
        <v>3721</v>
      </c>
      <c r="B285" s="2988">
        <v>100.51</v>
      </c>
      <c r="C285" s="2988" t="s">
        <v>3722</v>
      </c>
      <c r="D285" s="2982"/>
      <c r="E285" s="2982"/>
      <c r="F285" s="2982"/>
      <c r="G285" s="2982"/>
      <c r="H285" s="2982"/>
      <c r="I285" s="2982"/>
    </row>
    <row r="286" spans="1:9">
      <c r="A286" s="2988" t="s">
        <v>3723</v>
      </c>
      <c r="B286" s="2988">
        <v>148.01</v>
      </c>
      <c r="C286" s="2988" t="s">
        <v>3724</v>
      </c>
      <c r="D286" s="2982"/>
      <c r="E286" s="2982"/>
      <c r="F286" s="2982"/>
      <c r="G286" s="2982"/>
      <c r="H286" s="2982"/>
      <c r="I286" s="2982"/>
    </row>
    <row r="287" spans="1:9">
      <c r="A287" s="2988" t="s">
        <v>3725</v>
      </c>
      <c r="B287" s="2988">
        <v>166.43</v>
      </c>
      <c r="C287" s="2988" t="s">
        <v>3726</v>
      </c>
      <c r="D287" s="2982"/>
      <c r="E287" s="2982"/>
      <c r="F287" s="2982"/>
      <c r="G287" s="2982"/>
      <c r="H287" s="2982"/>
      <c r="I287" s="2982"/>
    </row>
    <row r="288" spans="1:9">
      <c r="A288" s="2988" t="s">
        <v>3727</v>
      </c>
      <c r="B288" s="2988">
        <v>226.71</v>
      </c>
      <c r="C288" s="2988" t="s">
        <v>3728</v>
      </c>
      <c r="D288" s="2982"/>
      <c r="E288" s="2982"/>
      <c r="F288" s="2982"/>
      <c r="G288" s="2982"/>
      <c r="H288" s="2982"/>
      <c r="I288" s="2982"/>
    </row>
    <row r="289" spans="1:9">
      <c r="A289" s="2988" t="s">
        <v>3729</v>
      </c>
      <c r="B289" s="2988">
        <v>132.12</v>
      </c>
      <c r="C289" s="2988" t="s">
        <v>3730</v>
      </c>
      <c r="D289" s="2982"/>
      <c r="E289" s="2982"/>
      <c r="F289" s="2982"/>
      <c r="G289" s="2982"/>
      <c r="H289" s="2982"/>
      <c r="I289" s="2982"/>
    </row>
    <row r="290" spans="1:9">
      <c r="A290" s="2988" t="s">
        <v>3731</v>
      </c>
      <c r="B290" s="2988">
        <v>134.58000000000001</v>
      </c>
      <c r="C290" s="2988" t="s">
        <v>3732</v>
      </c>
      <c r="D290" s="2982"/>
      <c r="E290" s="2982"/>
      <c r="F290" s="2982"/>
      <c r="G290" s="2982"/>
      <c r="H290" s="2982"/>
      <c r="I290" s="2982"/>
    </row>
    <row r="291" spans="1:9">
      <c r="A291" s="2988" t="s">
        <v>3733</v>
      </c>
      <c r="B291" s="2988">
        <v>144.88</v>
      </c>
      <c r="C291" s="2988" t="s">
        <v>3734</v>
      </c>
      <c r="D291" s="2982"/>
      <c r="E291" s="2982"/>
      <c r="F291" s="2982"/>
      <c r="G291" s="2982"/>
      <c r="H291" s="2982"/>
      <c r="I291" s="2982"/>
    </row>
    <row r="292" spans="1:9">
      <c r="A292" s="2988" t="s">
        <v>3735</v>
      </c>
      <c r="B292" s="2988">
        <v>46.77</v>
      </c>
      <c r="C292" s="2988" t="s">
        <v>3736</v>
      </c>
      <c r="D292" s="2982"/>
      <c r="E292" s="2982"/>
      <c r="F292" s="2982"/>
      <c r="G292" s="2982"/>
      <c r="H292" s="2982"/>
      <c r="I292" s="2982"/>
    </row>
    <row r="293" spans="1:9">
      <c r="A293" s="2988" t="s">
        <v>3737</v>
      </c>
      <c r="B293" s="2988">
        <v>52.49</v>
      </c>
      <c r="C293" s="2988" t="s">
        <v>3738</v>
      </c>
      <c r="D293" s="2982"/>
      <c r="E293" s="2982"/>
      <c r="F293" s="2982"/>
      <c r="G293" s="2982"/>
      <c r="H293" s="2982"/>
      <c r="I293" s="2982"/>
    </row>
    <row r="294" spans="1:9">
      <c r="A294" s="2988" t="s">
        <v>3739</v>
      </c>
      <c r="B294" s="2988">
        <v>52.02</v>
      </c>
      <c r="C294" s="2988" t="s">
        <v>3740</v>
      </c>
      <c r="D294" s="2982"/>
      <c r="E294" s="2982"/>
      <c r="F294" s="2982"/>
      <c r="G294" s="2982"/>
      <c r="H294" s="2982"/>
      <c r="I294" s="2982"/>
    </row>
    <row r="295" spans="1:9">
      <c r="A295" s="2988" t="s">
        <v>3741</v>
      </c>
      <c r="B295" s="2988">
        <v>45.35</v>
      </c>
      <c r="C295" s="2988" t="s">
        <v>3742</v>
      </c>
      <c r="D295" s="2982"/>
      <c r="E295" s="2982"/>
      <c r="F295" s="2982"/>
      <c r="G295" s="2982"/>
      <c r="H295" s="2982"/>
      <c r="I295" s="2982"/>
    </row>
    <row r="296" spans="1:9">
      <c r="A296" s="2988" t="s">
        <v>3743</v>
      </c>
      <c r="B296" s="2988">
        <v>49.22</v>
      </c>
      <c r="C296" s="2988" t="s">
        <v>3744</v>
      </c>
      <c r="D296" s="2982"/>
      <c r="E296" s="2982"/>
      <c r="F296" s="2982"/>
      <c r="G296" s="2982"/>
      <c r="H296" s="2982"/>
      <c r="I296" s="2982"/>
    </row>
    <row r="297" spans="1:9">
      <c r="A297" s="2988" t="s">
        <v>3745</v>
      </c>
      <c r="B297" s="2988">
        <v>43.52</v>
      </c>
      <c r="C297" s="2988" t="s">
        <v>3746</v>
      </c>
      <c r="D297" s="2982"/>
      <c r="E297" s="2982"/>
      <c r="F297" s="2982"/>
      <c r="G297" s="2982"/>
      <c r="H297" s="2982"/>
      <c r="I297" s="2982"/>
    </row>
    <row r="298" spans="1:9">
      <c r="A298" s="2988" t="s">
        <v>3747</v>
      </c>
      <c r="B298" s="2988">
        <v>42.98</v>
      </c>
      <c r="C298" s="2988" t="s">
        <v>3748</v>
      </c>
      <c r="D298" s="2982"/>
      <c r="E298" s="2982"/>
      <c r="F298" s="2982"/>
      <c r="G298" s="2982"/>
      <c r="H298" s="2982"/>
      <c r="I298" s="2982"/>
    </row>
    <row r="299" spans="1:9">
      <c r="A299" s="2988" t="s">
        <v>3749</v>
      </c>
      <c r="B299" s="2988">
        <v>39.22</v>
      </c>
      <c r="C299" s="2988" t="s">
        <v>3750</v>
      </c>
      <c r="D299" s="2982"/>
      <c r="E299" s="2982"/>
      <c r="F299" s="2982"/>
      <c r="G299" s="2982"/>
      <c r="H299" s="2982"/>
      <c r="I299" s="2982"/>
    </row>
    <row r="300" spans="1:9">
      <c r="A300" s="2988" t="s">
        <v>3751</v>
      </c>
      <c r="B300" s="2988">
        <v>33.42</v>
      </c>
      <c r="C300" s="2988" t="s">
        <v>3752</v>
      </c>
      <c r="D300" s="2982"/>
      <c r="E300" s="2982"/>
      <c r="F300" s="2982"/>
      <c r="G300" s="2982"/>
      <c r="H300" s="2982"/>
      <c r="I300" s="2982"/>
    </row>
    <row r="301" spans="1:9">
      <c r="A301" s="2988" t="s">
        <v>3753</v>
      </c>
      <c r="B301" s="2988">
        <v>40.659999999999997</v>
      </c>
      <c r="C301" s="2988" t="s">
        <v>3754</v>
      </c>
      <c r="D301" s="2982"/>
      <c r="E301" s="2982"/>
      <c r="F301" s="2982"/>
      <c r="G301" s="2982"/>
      <c r="H301" s="2982"/>
      <c r="I301" s="2982"/>
    </row>
    <row r="302" spans="1:9">
      <c r="A302" s="2988" t="s">
        <v>3755</v>
      </c>
      <c r="B302" s="2988">
        <v>41.59</v>
      </c>
      <c r="C302" s="2988" t="s">
        <v>3756</v>
      </c>
      <c r="D302" s="2982"/>
      <c r="E302" s="2982"/>
      <c r="F302" s="2982"/>
      <c r="G302" s="2982"/>
      <c r="H302" s="2982"/>
      <c r="I302" s="2982"/>
    </row>
    <row r="303" spans="1:9">
      <c r="A303" s="2988" t="s">
        <v>3757</v>
      </c>
      <c r="B303" s="2988">
        <v>42.53</v>
      </c>
      <c r="C303" s="2988" t="s">
        <v>3758</v>
      </c>
      <c r="D303" s="2982"/>
      <c r="E303" s="2982"/>
      <c r="F303" s="2982"/>
      <c r="G303" s="2982"/>
      <c r="H303" s="2982"/>
      <c r="I303" s="2982"/>
    </row>
    <row r="304" spans="1:9">
      <c r="A304" s="2988" t="s">
        <v>3759</v>
      </c>
      <c r="B304" s="2988">
        <v>43.46</v>
      </c>
      <c r="C304" s="2988" t="s">
        <v>3760</v>
      </c>
      <c r="D304" s="2982"/>
      <c r="E304" s="2982"/>
      <c r="F304" s="2982"/>
      <c r="G304" s="2982"/>
      <c r="H304" s="2982"/>
      <c r="I304" s="2982"/>
    </row>
    <row r="305" spans="1:9">
      <c r="A305" s="2988" t="s">
        <v>3761</v>
      </c>
      <c r="B305" s="2988">
        <v>45.27</v>
      </c>
      <c r="C305" s="2988" t="s">
        <v>3762</v>
      </c>
      <c r="D305" s="2982"/>
      <c r="E305" s="2982"/>
      <c r="F305" s="2982"/>
      <c r="G305" s="2982"/>
      <c r="H305" s="2982"/>
      <c r="I305" s="2982"/>
    </row>
    <row r="306" spans="1:9">
      <c r="A306" s="2988" t="s">
        <v>3763</v>
      </c>
      <c r="B306" s="2988">
        <v>29.08</v>
      </c>
      <c r="C306" s="2988" t="s">
        <v>3764</v>
      </c>
      <c r="D306" s="2982"/>
      <c r="E306" s="2982"/>
      <c r="F306" s="2982"/>
      <c r="G306" s="2982"/>
      <c r="H306" s="2982"/>
      <c r="I306" s="2982"/>
    </row>
    <row r="307" spans="1:9">
      <c r="A307" s="2988" t="s">
        <v>3765</v>
      </c>
      <c r="B307" s="2988">
        <v>34.43</v>
      </c>
      <c r="C307" s="2988" t="s">
        <v>3766</v>
      </c>
      <c r="D307" s="2982"/>
      <c r="E307" s="2982"/>
      <c r="F307" s="2982"/>
      <c r="G307" s="2982"/>
      <c r="H307" s="2982"/>
      <c r="I307" s="2982"/>
    </row>
    <row r="308" spans="1:9">
      <c r="A308" s="2988" t="s">
        <v>3767</v>
      </c>
      <c r="B308" s="2988">
        <v>34.04</v>
      </c>
      <c r="C308" s="2988" t="s">
        <v>3768</v>
      </c>
      <c r="D308" s="2982"/>
      <c r="E308" s="2982"/>
      <c r="F308" s="2982"/>
      <c r="G308" s="2982"/>
      <c r="H308" s="2982"/>
      <c r="I308" s="2982"/>
    </row>
    <row r="309" spans="1:9">
      <c r="A309" s="2988" t="s">
        <v>3769</v>
      </c>
      <c r="B309" s="2988">
        <v>33.18</v>
      </c>
      <c r="C309" s="2988" t="s">
        <v>3770</v>
      </c>
      <c r="D309" s="2982"/>
      <c r="E309" s="2982"/>
      <c r="F309" s="2982"/>
      <c r="G309" s="2982"/>
      <c r="H309" s="2982"/>
      <c r="I309" s="2982"/>
    </row>
    <row r="310" spans="1:9">
      <c r="A310" s="2988" t="s">
        <v>3771</v>
      </c>
      <c r="B310" s="2988">
        <v>36.74</v>
      </c>
      <c r="C310" s="2988" t="s">
        <v>3772</v>
      </c>
      <c r="D310" s="2982"/>
      <c r="E310" s="2982"/>
      <c r="F310" s="2982"/>
      <c r="G310" s="2982"/>
      <c r="H310" s="2982"/>
      <c r="I310" s="2982"/>
    </row>
    <row r="311" spans="1:9">
      <c r="A311" s="2988" t="s">
        <v>3773</v>
      </c>
      <c r="B311" s="2988">
        <v>36.74</v>
      </c>
      <c r="C311" s="2988" t="s">
        <v>3774</v>
      </c>
      <c r="D311" s="2982"/>
      <c r="E311" s="2982"/>
      <c r="F311" s="2982"/>
      <c r="G311" s="2982"/>
      <c r="H311" s="2982"/>
      <c r="I311" s="2982"/>
    </row>
    <row r="312" spans="1:9">
      <c r="A312" s="2988" t="s">
        <v>3775</v>
      </c>
      <c r="B312" s="2988">
        <v>36.74</v>
      </c>
      <c r="C312" s="2988" t="s">
        <v>3776</v>
      </c>
      <c r="D312" s="2982"/>
      <c r="E312" s="2982"/>
      <c r="F312" s="2982"/>
      <c r="G312" s="2982"/>
      <c r="H312" s="2982"/>
      <c r="I312" s="2982"/>
    </row>
    <row r="313" spans="1:9">
      <c r="A313" s="2988" t="s">
        <v>3777</v>
      </c>
      <c r="B313" s="2988">
        <v>32.32</v>
      </c>
      <c r="C313" s="2988" t="s">
        <v>3778</v>
      </c>
      <c r="D313" s="2982"/>
      <c r="E313" s="2982"/>
      <c r="F313" s="2982"/>
      <c r="G313" s="2982"/>
      <c r="H313" s="2982"/>
      <c r="I313" s="2982"/>
    </row>
    <row r="314" spans="1:9">
      <c r="A314" s="2988" t="s">
        <v>3779</v>
      </c>
      <c r="B314" s="2988">
        <v>38.28</v>
      </c>
      <c r="C314" s="2988" t="s">
        <v>3780</v>
      </c>
      <c r="D314" s="2982"/>
      <c r="E314" s="2982"/>
      <c r="F314" s="2982"/>
      <c r="G314" s="2982"/>
      <c r="H314" s="2982"/>
      <c r="I314" s="2982"/>
    </row>
    <row r="315" spans="1:9">
      <c r="A315" s="2988" t="s">
        <v>3781</v>
      </c>
      <c r="B315" s="2988">
        <v>64.239999999999995</v>
      </c>
      <c r="C315" s="2988" t="s">
        <v>3782</v>
      </c>
      <c r="D315" s="2982"/>
      <c r="E315" s="2982"/>
      <c r="F315" s="2982"/>
      <c r="G315" s="2982"/>
      <c r="H315" s="2982"/>
      <c r="I315" s="2982"/>
    </row>
    <row r="316" spans="1:9">
      <c r="A316" s="2988" t="s">
        <v>3783</v>
      </c>
      <c r="B316" s="2988">
        <v>329.46</v>
      </c>
      <c r="C316" s="2988" t="s">
        <v>3784</v>
      </c>
      <c r="D316" s="2982"/>
      <c r="E316" s="2982"/>
      <c r="F316" s="2982"/>
      <c r="G316" s="2982"/>
      <c r="H316" s="2982"/>
      <c r="I316" s="2982"/>
    </row>
    <row r="317" spans="1:9">
      <c r="A317" s="2988" t="s">
        <v>3785</v>
      </c>
      <c r="B317" s="2988">
        <v>260.02</v>
      </c>
      <c r="C317" s="2988" t="s">
        <v>3786</v>
      </c>
      <c r="D317" s="2982"/>
      <c r="E317" s="2982"/>
      <c r="F317" s="2982"/>
      <c r="G317" s="2982"/>
      <c r="H317" s="2982"/>
      <c r="I317" s="2982"/>
    </row>
    <row r="318" spans="1:9">
      <c r="A318" s="2988" t="s">
        <v>3787</v>
      </c>
      <c r="B318" s="2988">
        <v>233.07</v>
      </c>
      <c r="C318" s="2988" t="s">
        <v>3788</v>
      </c>
      <c r="D318" s="2982"/>
      <c r="E318" s="2982"/>
      <c r="F318" s="2982"/>
      <c r="G318" s="2982"/>
      <c r="H318" s="2982"/>
      <c r="I318" s="2982"/>
    </row>
    <row r="319" spans="1:9">
      <c r="A319" s="2988" t="s">
        <v>3789</v>
      </c>
      <c r="B319" s="2988">
        <v>56.9</v>
      </c>
      <c r="C319" s="2988" t="s">
        <v>3790</v>
      </c>
      <c r="D319" s="2982"/>
      <c r="E319" s="2982"/>
      <c r="F319" s="2982"/>
      <c r="G319" s="2982"/>
      <c r="H319" s="2982"/>
      <c r="I319" s="2982"/>
    </row>
    <row r="320" spans="1:9">
      <c r="A320" s="2988" t="s">
        <v>3791</v>
      </c>
      <c r="B320" s="2988">
        <v>42.82</v>
      </c>
      <c r="C320" s="2988" t="s">
        <v>3792</v>
      </c>
      <c r="D320" s="2982"/>
      <c r="E320" s="2982"/>
      <c r="F320" s="2982"/>
      <c r="G320" s="2982"/>
      <c r="H320" s="2982"/>
      <c r="I320" s="2982"/>
    </row>
    <row r="321" spans="1:9">
      <c r="A321" s="2988" t="s">
        <v>3793</v>
      </c>
      <c r="B321" s="2988">
        <v>33.81</v>
      </c>
      <c r="C321" s="2988" t="s">
        <v>3794</v>
      </c>
      <c r="D321" s="2982"/>
      <c r="E321" s="2982"/>
      <c r="F321" s="2982"/>
      <c r="G321" s="2982"/>
      <c r="H321" s="2982"/>
      <c r="I321" s="2982"/>
    </row>
    <row r="322" spans="1:9">
      <c r="A322" s="2988" t="s">
        <v>3795</v>
      </c>
      <c r="B322" s="2988">
        <v>41</v>
      </c>
      <c r="C322" s="2988" t="s">
        <v>3796</v>
      </c>
      <c r="D322" s="2982"/>
      <c r="E322" s="2982"/>
      <c r="F322" s="2982"/>
      <c r="G322" s="2982"/>
      <c r="H322" s="2982"/>
      <c r="I322" s="2982"/>
    </row>
    <row r="323" spans="1:9">
      <c r="A323" s="2988" t="s">
        <v>3797</v>
      </c>
      <c r="B323" s="2988">
        <v>40.21</v>
      </c>
      <c r="C323" s="2988" t="s">
        <v>3798</v>
      </c>
      <c r="D323" s="2982"/>
      <c r="E323" s="2982"/>
      <c r="F323" s="2982"/>
      <c r="G323" s="2982"/>
      <c r="H323" s="2982"/>
      <c r="I323" s="2982"/>
    </row>
    <row r="324" spans="1:9">
      <c r="A324" s="2988" t="s">
        <v>3799</v>
      </c>
      <c r="B324" s="2988">
        <v>42.82</v>
      </c>
      <c r="C324" s="2988" t="s">
        <v>3800</v>
      </c>
      <c r="D324" s="2982"/>
      <c r="E324" s="2982"/>
      <c r="F324" s="2982"/>
      <c r="G324" s="2982"/>
      <c r="H324" s="2982"/>
      <c r="I324" s="2982"/>
    </row>
    <row r="325" spans="1:9">
      <c r="A325" s="2988" t="s">
        <v>3801</v>
      </c>
      <c r="B325" s="2988">
        <v>42.82</v>
      </c>
      <c r="C325" s="2988" t="s">
        <v>3802</v>
      </c>
      <c r="D325" s="2982"/>
      <c r="E325" s="2982"/>
      <c r="F325" s="2982"/>
      <c r="G325" s="2982"/>
      <c r="H325" s="2982"/>
      <c r="I325" s="2982"/>
    </row>
    <row r="326" spans="1:9">
      <c r="A326" s="2988" t="s">
        <v>3803</v>
      </c>
      <c r="B326" s="2988">
        <v>42.82</v>
      </c>
      <c r="C326" s="2988" t="s">
        <v>3804</v>
      </c>
      <c r="D326" s="2982"/>
      <c r="E326" s="2982"/>
      <c r="F326" s="2982"/>
      <c r="G326" s="2982"/>
      <c r="H326" s="2982"/>
      <c r="I326" s="2982"/>
    </row>
    <row r="327" spans="1:9">
      <c r="A327" s="2988" t="s">
        <v>3805</v>
      </c>
      <c r="B327" s="2988">
        <v>42.82</v>
      </c>
      <c r="C327" s="2988" t="s">
        <v>3806</v>
      </c>
      <c r="D327" s="2982"/>
      <c r="E327" s="2982"/>
      <c r="F327" s="2982"/>
      <c r="G327" s="2982"/>
      <c r="H327" s="2982"/>
      <c r="I327" s="2982"/>
    </row>
    <row r="328" spans="1:9">
      <c r="A328" s="2988" t="s">
        <v>3807</v>
      </c>
      <c r="B328" s="2988">
        <v>43.38</v>
      </c>
      <c r="C328" s="2988" t="s">
        <v>3808</v>
      </c>
      <c r="D328" s="2982"/>
      <c r="E328" s="2982"/>
      <c r="F328" s="2982"/>
      <c r="G328" s="2982"/>
      <c r="H328" s="2982"/>
      <c r="I328" s="2982"/>
    </row>
    <row r="329" spans="1:9">
      <c r="A329" s="2988" t="s">
        <v>3809</v>
      </c>
      <c r="B329" s="2988">
        <v>44.17</v>
      </c>
      <c r="C329" s="2988" t="s">
        <v>3810</v>
      </c>
      <c r="D329" s="2982"/>
      <c r="E329" s="2982"/>
      <c r="F329" s="2982"/>
      <c r="G329" s="2982"/>
      <c r="H329" s="2982"/>
      <c r="I329" s="2982"/>
    </row>
    <row r="330" spans="1:9">
      <c r="A330" s="2988" t="s">
        <v>3811</v>
      </c>
      <c r="B330" s="2988">
        <v>33.83</v>
      </c>
      <c r="C330" s="2988" t="s">
        <v>3812</v>
      </c>
      <c r="D330" s="2982"/>
      <c r="E330" s="2982"/>
      <c r="F330" s="2982"/>
      <c r="G330" s="2982"/>
      <c r="H330" s="2982"/>
      <c r="I330" s="2982"/>
    </row>
    <row r="331" spans="1:9">
      <c r="A331" s="2988" t="s">
        <v>3813</v>
      </c>
      <c r="B331" s="2988">
        <v>25.22</v>
      </c>
      <c r="C331" s="2988" t="s">
        <v>3814</v>
      </c>
      <c r="D331" s="2982"/>
      <c r="E331" s="2982"/>
      <c r="F331" s="2982"/>
      <c r="G331" s="2982"/>
      <c r="H331" s="2982"/>
      <c r="I331" s="2982"/>
    </row>
    <row r="332" spans="1:9">
      <c r="A332" s="2988" t="s">
        <v>3815</v>
      </c>
      <c r="B332" s="2988">
        <v>27.56</v>
      </c>
      <c r="C332" s="2988" t="s">
        <v>3816</v>
      </c>
      <c r="D332" s="2982"/>
      <c r="E332" s="2982"/>
      <c r="F332" s="2982"/>
      <c r="G332" s="2982"/>
      <c r="H332" s="2982"/>
      <c r="I332" s="2982"/>
    </row>
    <row r="333" spans="1:9">
      <c r="A333" s="2988" t="s">
        <v>3817</v>
      </c>
      <c r="B333" s="2988">
        <v>31.49</v>
      </c>
      <c r="C333" s="2988" t="s">
        <v>3818</v>
      </c>
      <c r="D333" s="2982"/>
      <c r="E333" s="2982"/>
      <c r="F333" s="2982"/>
      <c r="G333" s="2982"/>
      <c r="H333" s="2982"/>
      <c r="I333" s="2982"/>
    </row>
    <row r="334" spans="1:9">
      <c r="A334" s="2988" t="s">
        <v>3819</v>
      </c>
      <c r="B334" s="2988">
        <v>31.49</v>
      </c>
      <c r="C334" s="2988" t="s">
        <v>3820</v>
      </c>
      <c r="D334" s="2982"/>
      <c r="E334" s="2982"/>
      <c r="F334" s="2982"/>
      <c r="G334" s="2982"/>
      <c r="H334" s="2982"/>
      <c r="I334" s="2982"/>
    </row>
    <row r="335" spans="1:9">
      <c r="A335" s="2988" t="s">
        <v>3821</v>
      </c>
      <c r="B335" s="2988">
        <v>27.56</v>
      </c>
      <c r="C335" s="2988" t="s">
        <v>3822</v>
      </c>
      <c r="D335" s="2982"/>
      <c r="E335" s="2982"/>
      <c r="F335" s="2982"/>
      <c r="G335" s="2982"/>
      <c r="H335" s="2982"/>
      <c r="I335" s="2982"/>
    </row>
    <row r="336" spans="1:9">
      <c r="A336" s="2988" t="s">
        <v>3823</v>
      </c>
      <c r="B336" s="2988">
        <v>27.56</v>
      </c>
      <c r="C336" s="2988" t="s">
        <v>3824</v>
      </c>
      <c r="D336" s="2982"/>
      <c r="E336" s="2982"/>
      <c r="F336" s="2982"/>
      <c r="G336" s="2982"/>
      <c r="H336" s="2982"/>
      <c r="I336" s="2982"/>
    </row>
    <row r="337" spans="1:9">
      <c r="A337" s="2988" t="s">
        <v>3825</v>
      </c>
      <c r="B337" s="2988">
        <v>31.49</v>
      </c>
      <c r="C337" s="2988" t="s">
        <v>3826</v>
      </c>
      <c r="D337" s="2982"/>
      <c r="E337" s="2982"/>
      <c r="F337" s="2982"/>
      <c r="G337" s="2982"/>
      <c r="H337" s="2982"/>
      <c r="I337" s="2982"/>
    </row>
    <row r="338" spans="1:9">
      <c r="A338" s="2988" t="s">
        <v>3827</v>
      </c>
      <c r="B338" s="2988">
        <v>31.49</v>
      </c>
      <c r="C338" s="2988" t="s">
        <v>3828</v>
      </c>
      <c r="D338" s="2982"/>
      <c r="E338" s="2982"/>
      <c r="F338" s="2982"/>
      <c r="G338" s="2982"/>
      <c r="H338" s="2982"/>
      <c r="I338" s="2982"/>
    </row>
    <row r="339" spans="1:9">
      <c r="A339" s="2988" t="s">
        <v>3829</v>
      </c>
      <c r="B339" s="2988">
        <v>27.56</v>
      </c>
      <c r="C339" s="2988" t="s">
        <v>3830</v>
      </c>
      <c r="D339" s="2982"/>
      <c r="E339" s="2982"/>
      <c r="F339" s="2982"/>
      <c r="G339" s="2982"/>
      <c r="H339" s="2982"/>
      <c r="I339" s="2982"/>
    </row>
    <row r="340" spans="1:9">
      <c r="A340" s="2988" t="s">
        <v>3831</v>
      </c>
      <c r="B340" s="2988">
        <v>25.18</v>
      </c>
      <c r="C340" s="2988" t="s">
        <v>3832</v>
      </c>
      <c r="D340" s="2982"/>
      <c r="E340" s="2982"/>
      <c r="F340" s="2982"/>
      <c r="G340" s="2982"/>
      <c r="H340" s="2982"/>
      <c r="I340" s="2982"/>
    </row>
    <row r="341" spans="1:9">
      <c r="A341" s="2988" t="s">
        <v>3833</v>
      </c>
      <c r="B341" s="2988">
        <v>33.83</v>
      </c>
      <c r="C341" s="2988" t="s">
        <v>3834</v>
      </c>
      <c r="D341" s="2982"/>
      <c r="E341" s="2982"/>
      <c r="F341" s="2982"/>
      <c r="G341" s="2982"/>
      <c r="H341" s="2982"/>
      <c r="I341" s="2982"/>
    </row>
    <row r="342" spans="1:9">
      <c r="A342" s="2988" t="s">
        <v>3835</v>
      </c>
      <c r="B342" s="2988">
        <v>44.17</v>
      </c>
      <c r="C342" s="2988" t="s">
        <v>3836</v>
      </c>
      <c r="D342" s="2982"/>
      <c r="E342" s="2982"/>
      <c r="F342" s="2982"/>
      <c r="G342" s="2982"/>
      <c r="H342" s="2982"/>
      <c r="I342" s="2982"/>
    </row>
    <row r="343" spans="1:9">
      <c r="A343" s="2988" t="s">
        <v>3837</v>
      </c>
      <c r="B343" s="2988">
        <v>43.38</v>
      </c>
      <c r="C343" s="2988" t="s">
        <v>3838</v>
      </c>
      <c r="D343" s="2982"/>
      <c r="E343" s="2982"/>
      <c r="F343" s="2982"/>
      <c r="G343" s="2982"/>
      <c r="H343" s="2982"/>
      <c r="I343" s="2982"/>
    </row>
    <row r="344" spans="1:9">
      <c r="A344" s="2988" t="s">
        <v>3839</v>
      </c>
      <c r="B344" s="2988">
        <v>42.82</v>
      </c>
      <c r="C344" s="2988" t="s">
        <v>3840</v>
      </c>
      <c r="D344" s="2982"/>
      <c r="E344" s="2982"/>
      <c r="F344" s="2982"/>
      <c r="G344" s="2982"/>
      <c r="H344" s="2982"/>
      <c r="I344" s="2982"/>
    </row>
    <row r="345" spans="1:9">
      <c r="A345" s="2988" t="s">
        <v>3841</v>
      </c>
      <c r="B345" s="2988">
        <v>42.82</v>
      </c>
      <c r="C345" s="2988" t="s">
        <v>3842</v>
      </c>
      <c r="D345" s="2982"/>
      <c r="E345" s="2982"/>
      <c r="F345" s="2982"/>
      <c r="G345" s="2982"/>
      <c r="H345" s="2982"/>
      <c r="I345" s="2982"/>
    </row>
    <row r="346" spans="1:9">
      <c r="A346" s="2988" t="s">
        <v>3843</v>
      </c>
      <c r="B346" s="2988">
        <v>42.82</v>
      </c>
      <c r="C346" s="2988" t="s">
        <v>3844</v>
      </c>
      <c r="D346" s="2982"/>
      <c r="E346" s="2982"/>
      <c r="F346" s="2982"/>
      <c r="G346" s="2982"/>
      <c r="H346" s="2982"/>
      <c r="I346" s="2982"/>
    </row>
    <row r="347" spans="1:9">
      <c r="A347" s="2988" t="s">
        <v>3845</v>
      </c>
      <c r="B347" s="2988">
        <v>42.82</v>
      </c>
      <c r="C347" s="2988" t="s">
        <v>3846</v>
      </c>
      <c r="D347" s="2982"/>
      <c r="E347" s="2982"/>
      <c r="F347" s="2982"/>
      <c r="G347" s="2982"/>
      <c r="H347" s="2982"/>
      <c r="I347" s="2982"/>
    </row>
    <row r="348" spans="1:9">
      <c r="A348" s="2988" t="s">
        <v>3847</v>
      </c>
      <c r="B348" s="2988">
        <v>40.21</v>
      </c>
      <c r="C348" s="2988" t="s">
        <v>3848</v>
      </c>
      <c r="D348" s="2982"/>
      <c r="E348" s="2982"/>
      <c r="F348" s="2982"/>
      <c r="G348" s="2982"/>
      <c r="H348" s="2982"/>
      <c r="I348" s="2982"/>
    </row>
    <row r="349" spans="1:9">
      <c r="A349" s="2988" t="s">
        <v>3849</v>
      </c>
      <c r="B349" s="2988">
        <v>41</v>
      </c>
      <c r="C349" s="2988" t="s">
        <v>3850</v>
      </c>
      <c r="D349" s="2982"/>
      <c r="E349" s="2982"/>
      <c r="F349" s="2982"/>
      <c r="G349" s="2982"/>
      <c r="H349" s="2982"/>
      <c r="I349" s="2982"/>
    </row>
    <row r="350" spans="1:9">
      <c r="A350" s="2988" t="s">
        <v>3851</v>
      </c>
      <c r="B350" s="2988">
        <v>33.81</v>
      </c>
      <c r="C350" s="2988" t="s">
        <v>3852</v>
      </c>
      <c r="D350" s="2982"/>
      <c r="E350" s="2982"/>
      <c r="F350" s="2982"/>
      <c r="G350" s="2982"/>
      <c r="H350" s="2982"/>
      <c r="I350" s="2982"/>
    </row>
    <row r="351" spans="1:9">
      <c r="A351" s="2988" t="s">
        <v>3853</v>
      </c>
      <c r="B351" s="2988">
        <v>42.82</v>
      </c>
      <c r="C351" s="2988" t="s">
        <v>3854</v>
      </c>
      <c r="D351" s="2982"/>
      <c r="E351" s="2982"/>
      <c r="F351" s="2982"/>
      <c r="G351" s="2982"/>
      <c r="H351" s="2982"/>
      <c r="I351" s="2982"/>
    </row>
    <row r="352" spans="1:9">
      <c r="A352" s="2988" t="s">
        <v>3855</v>
      </c>
      <c r="B352" s="2988">
        <v>56.9</v>
      </c>
      <c r="C352" s="2988" t="s">
        <v>3856</v>
      </c>
      <c r="D352" s="2982"/>
      <c r="E352" s="2982"/>
      <c r="F352" s="2982"/>
      <c r="G352" s="2982"/>
      <c r="H352" s="2982"/>
      <c r="I352" s="2982"/>
    </row>
    <row r="353" spans="1:9">
      <c r="A353" s="2988" t="s">
        <v>3857</v>
      </c>
      <c r="B353" s="2988">
        <v>21.74</v>
      </c>
      <c r="C353" s="2988" t="s">
        <v>3858</v>
      </c>
      <c r="D353" s="2982"/>
      <c r="E353" s="2982"/>
      <c r="F353" s="2982"/>
      <c r="G353" s="2982"/>
      <c r="H353" s="2982"/>
      <c r="I353" s="2982"/>
    </row>
    <row r="354" spans="1:9">
      <c r="A354" s="2988" t="s">
        <v>3859</v>
      </c>
      <c r="B354" s="2988">
        <v>25.21</v>
      </c>
      <c r="C354" s="2988" t="s">
        <v>3860</v>
      </c>
      <c r="D354" s="2982"/>
      <c r="E354" s="2982"/>
      <c r="F354" s="2982"/>
      <c r="G354" s="2982"/>
      <c r="H354" s="2982"/>
      <c r="I354" s="2982"/>
    </row>
    <row r="355" spans="1:9">
      <c r="A355" s="2988" t="s">
        <v>3861</v>
      </c>
      <c r="B355" s="2988">
        <v>45.65</v>
      </c>
      <c r="C355" s="2988" t="s">
        <v>3862</v>
      </c>
      <c r="D355" s="2982"/>
      <c r="E355" s="2982"/>
      <c r="F355" s="2982"/>
      <c r="G355" s="2982"/>
      <c r="H355" s="2982"/>
      <c r="I355" s="2982"/>
    </row>
    <row r="356" spans="1:9">
      <c r="A356" s="2988" t="s">
        <v>3863</v>
      </c>
      <c r="B356" s="2988">
        <v>108.12</v>
      </c>
      <c r="C356" s="2988" t="s">
        <v>3864</v>
      </c>
      <c r="D356" s="2982"/>
      <c r="E356" s="2982"/>
      <c r="F356" s="2982"/>
      <c r="G356" s="2982"/>
      <c r="H356" s="2982"/>
      <c r="I356" s="2982"/>
    </row>
    <row r="357" spans="1:9">
      <c r="A357" s="2988" t="s">
        <v>3865</v>
      </c>
      <c r="B357" s="2988">
        <v>118.68</v>
      </c>
      <c r="C357" s="2988" t="s">
        <v>3866</v>
      </c>
      <c r="D357" s="2982"/>
      <c r="E357" s="2982"/>
      <c r="F357" s="2982"/>
      <c r="G357" s="2982"/>
      <c r="H357" s="2982"/>
      <c r="I357" s="2982"/>
    </row>
    <row r="358" spans="1:9">
      <c r="A358" s="2988" t="s">
        <v>3867</v>
      </c>
      <c r="B358" s="2988">
        <v>123.53</v>
      </c>
      <c r="C358" s="2988" t="s">
        <v>3868</v>
      </c>
      <c r="D358" s="2982"/>
      <c r="E358" s="2982"/>
      <c r="F358" s="2982"/>
      <c r="G358" s="2982"/>
      <c r="H358" s="2982"/>
      <c r="I358" s="2982"/>
    </row>
    <row r="359" spans="1:9">
      <c r="A359" s="2988" t="s">
        <v>3869</v>
      </c>
      <c r="B359" s="2988">
        <v>226.71</v>
      </c>
      <c r="C359" s="2988" t="s">
        <v>3870</v>
      </c>
      <c r="D359" s="2982"/>
      <c r="E359" s="2982"/>
      <c r="F359" s="2982"/>
      <c r="G359" s="2982"/>
      <c r="H359" s="2982"/>
      <c r="I359" s="2982"/>
    </row>
    <row r="360" spans="1:9">
      <c r="A360" s="2988" t="s">
        <v>3871</v>
      </c>
      <c r="B360" s="2988">
        <v>156.71</v>
      </c>
      <c r="C360" s="2988" t="s">
        <v>3872</v>
      </c>
      <c r="D360" s="2982"/>
      <c r="E360" s="2982"/>
      <c r="F360" s="2982"/>
      <c r="G360" s="2982"/>
      <c r="H360" s="2982"/>
      <c r="I360" s="2982"/>
    </row>
    <row r="361" spans="1:9">
      <c r="A361" s="2988" t="s">
        <v>3873</v>
      </c>
      <c r="B361" s="2988">
        <v>87.82</v>
      </c>
      <c r="C361" s="2988" t="s">
        <v>3874</v>
      </c>
      <c r="D361" s="2982"/>
      <c r="E361" s="2982"/>
      <c r="F361" s="2982"/>
      <c r="G361" s="2982"/>
      <c r="H361" s="2982"/>
      <c r="I361" s="2982"/>
    </row>
    <row r="362" spans="1:9">
      <c r="A362" s="2988" t="s">
        <v>3875</v>
      </c>
      <c r="B362" s="2988">
        <v>71.489999999999995</v>
      </c>
      <c r="C362" s="2988" t="s">
        <v>3876</v>
      </c>
      <c r="D362" s="2982"/>
      <c r="E362" s="2982"/>
      <c r="F362" s="2982"/>
      <c r="G362" s="2982"/>
      <c r="H362" s="2982"/>
      <c r="I362" s="2982"/>
    </row>
    <row r="363" spans="1:9">
      <c r="A363" s="2988" t="s">
        <v>3877</v>
      </c>
      <c r="B363" s="2988">
        <v>183.56</v>
      </c>
      <c r="C363" s="2988" t="s">
        <v>3878</v>
      </c>
      <c r="D363" s="2982"/>
      <c r="E363" s="2982"/>
      <c r="F363" s="2982"/>
      <c r="G363" s="2982"/>
      <c r="H363" s="2982"/>
      <c r="I363" s="2982"/>
    </row>
    <row r="364" spans="1:9">
      <c r="A364" s="2988" t="s">
        <v>3879</v>
      </c>
      <c r="B364" s="2988">
        <v>206.84</v>
      </c>
      <c r="C364" s="2988" t="s">
        <v>3880</v>
      </c>
      <c r="D364" s="2982"/>
      <c r="E364" s="2982"/>
      <c r="F364" s="2982"/>
      <c r="G364" s="2982"/>
      <c r="H364" s="2982"/>
      <c r="I364" s="2982"/>
    </row>
    <row r="365" spans="1:9">
      <c r="A365" s="2988" t="s">
        <v>3881</v>
      </c>
      <c r="B365" s="2988">
        <v>144.30000000000001</v>
      </c>
      <c r="C365" s="2988" t="s">
        <v>3882</v>
      </c>
      <c r="D365" s="2982"/>
      <c r="E365" s="2982"/>
      <c r="F365" s="2982"/>
      <c r="G365" s="2982"/>
      <c r="H365" s="2982"/>
      <c r="I365" s="2982"/>
    </row>
    <row r="366" spans="1:9">
      <c r="A366" s="2988" t="s">
        <v>3883</v>
      </c>
      <c r="B366" s="2988">
        <v>145.16</v>
      </c>
      <c r="C366" s="2988" t="s">
        <v>3884</v>
      </c>
      <c r="D366" s="2982"/>
      <c r="E366" s="2982"/>
      <c r="F366" s="2982"/>
      <c r="G366" s="2982"/>
      <c r="H366" s="2982"/>
      <c r="I366" s="2982"/>
    </row>
    <row r="367" spans="1:9">
      <c r="A367" s="2988" t="s">
        <v>3885</v>
      </c>
      <c r="B367" s="2988">
        <v>155.71</v>
      </c>
      <c r="C367" s="2988" t="s">
        <v>3886</v>
      </c>
      <c r="D367" s="2982"/>
      <c r="E367" s="2982"/>
      <c r="F367" s="2982"/>
      <c r="G367" s="2982"/>
      <c r="H367" s="2982"/>
      <c r="I367" s="2982"/>
    </row>
    <row r="368" spans="1:9">
      <c r="A368" s="2988" t="s">
        <v>3887</v>
      </c>
      <c r="B368" s="2988">
        <v>136.41</v>
      </c>
      <c r="C368" s="2988" t="s">
        <v>3888</v>
      </c>
      <c r="D368" s="2982"/>
      <c r="E368" s="2982"/>
      <c r="F368" s="2982"/>
      <c r="G368" s="2982"/>
      <c r="H368" s="2982"/>
      <c r="I368" s="2982"/>
    </row>
    <row r="369" spans="1:9">
      <c r="A369" s="2988" t="s">
        <v>3889</v>
      </c>
      <c r="B369" s="2988">
        <v>230.85</v>
      </c>
      <c r="C369" s="2988" t="s">
        <v>3890</v>
      </c>
      <c r="D369" s="2982"/>
      <c r="E369" s="2982"/>
      <c r="F369" s="2982"/>
      <c r="G369" s="2982"/>
      <c r="H369" s="2982"/>
      <c r="I369" s="2982"/>
    </row>
    <row r="370" spans="1:9">
      <c r="A370" s="2988" t="s">
        <v>3891</v>
      </c>
      <c r="B370" s="2988">
        <v>230.85</v>
      </c>
      <c r="C370" s="2988" t="s">
        <v>3892</v>
      </c>
      <c r="D370" s="2982"/>
      <c r="E370" s="2982"/>
      <c r="F370" s="2982"/>
      <c r="G370" s="2982"/>
      <c r="H370" s="2982"/>
      <c r="I370" s="2982"/>
    </row>
    <row r="371" spans="1:9">
      <c r="A371" s="2988" t="s">
        <v>3893</v>
      </c>
      <c r="B371" s="2988">
        <v>136.41</v>
      </c>
      <c r="C371" s="2988" t="s">
        <v>3894</v>
      </c>
      <c r="D371" s="2982"/>
      <c r="E371" s="2982"/>
      <c r="F371" s="2982"/>
      <c r="G371" s="2982"/>
      <c r="H371" s="2982"/>
      <c r="I371" s="2982"/>
    </row>
    <row r="372" spans="1:9">
      <c r="A372" s="2988" t="s">
        <v>3895</v>
      </c>
      <c r="B372" s="2988">
        <v>155.71</v>
      </c>
      <c r="C372" s="2988" t="s">
        <v>3896</v>
      </c>
      <c r="D372" s="2982"/>
      <c r="E372" s="2982"/>
      <c r="F372" s="2982"/>
      <c r="G372" s="2982"/>
      <c r="H372" s="2982"/>
      <c r="I372" s="2982"/>
    </row>
    <row r="373" spans="1:9">
      <c r="A373" s="2988" t="s">
        <v>3897</v>
      </c>
      <c r="B373" s="2988">
        <v>145.16</v>
      </c>
      <c r="C373" s="2988" t="s">
        <v>3898</v>
      </c>
      <c r="D373" s="2982"/>
      <c r="E373" s="2982"/>
      <c r="F373" s="2982"/>
      <c r="G373" s="2982"/>
      <c r="H373" s="2982"/>
      <c r="I373" s="2982"/>
    </row>
    <row r="374" spans="1:9">
      <c r="A374" s="2988" t="s">
        <v>3899</v>
      </c>
      <c r="B374" s="2988">
        <v>144.30000000000001</v>
      </c>
      <c r="C374" s="2988" t="s">
        <v>3900</v>
      </c>
      <c r="D374" s="2982"/>
      <c r="E374" s="2982"/>
      <c r="F374" s="2982"/>
      <c r="G374" s="2982"/>
      <c r="H374" s="2982"/>
      <c r="I374" s="2982"/>
    </row>
    <row r="375" spans="1:9">
      <c r="A375" s="2988" t="s">
        <v>3901</v>
      </c>
      <c r="B375" s="2988">
        <v>206.84</v>
      </c>
      <c r="C375" s="2988" t="s">
        <v>3902</v>
      </c>
      <c r="D375" s="2982"/>
      <c r="E375" s="2982"/>
      <c r="F375" s="2982"/>
      <c r="G375" s="2982"/>
      <c r="H375" s="2982"/>
      <c r="I375" s="2982"/>
    </row>
    <row r="376" spans="1:9">
      <c r="A376" s="2988" t="s">
        <v>3903</v>
      </c>
      <c r="B376" s="2988">
        <v>183.56</v>
      </c>
      <c r="C376" s="2988" t="s">
        <v>3904</v>
      </c>
      <c r="D376" s="2982"/>
      <c r="E376" s="2982"/>
      <c r="F376" s="2982"/>
      <c r="G376" s="2982"/>
      <c r="H376" s="2982"/>
      <c r="I376" s="2982"/>
    </row>
    <row r="377" spans="1:9">
      <c r="A377" s="2988" t="s">
        <v>3905</v>
      </c>
      <c r="B377" s="2988">
        <v>71.489999999999995</v>
      </c>
      <c r="C377" s="2988" t="s">
        <v>3906</v>
      </c>
      <c r="D377" s="2982"/>
      <c r="E377" s="2982"/>
      <c r="F377" s="2982"/>
      <c r="G377" s="2982"/>
      <c r="H377" s="2982"/>
      <c r="I377" s="2982"/>
    </row>
    <row r="378" spans="1:9">
      <c r="A378" s="2988" t="s">
        <v>3907</v>
      </c>
      <c r="B378" s="2988">
        <v>87.82</v>
      </c>
      <c r="C378" s="2988" t="s">
        <v>3908</v>
      </c>
      <c r="D378" s="2982"/>
      <c r="E378" s="2982"/>
      <c r="F378" s="2982"/>
      <c r="G378" s="2982"/>
      <c r="H378" s="2982"/>
      <c r="I378" s="2982"/>
    </row>
    <row r="379" spans="1:9">
      <c r="A379" s="2988" t="s">
        <v>3909</v>
      </c>
      <c r="B379" s="2988">
        <v>156.71</v>
      </c>
      <c r="C379" s="2988" t="s">
        <v>3910</v>
      </c>
      <c r="D379" s="2982">
        <f>SUM(B278:B379)</f>
        <v>12369.80999999999</v>
      </c>
      <c r="E379" s="2982"/>
      <c r="F379" s="2982"/>
      <c r="G379" s="2982"/>
      <c r="H379" s="2982"/>
      <c r="I379" s="2982"/>
    </row>
    <row r="380" spans="1:9">
      <c r="A380" s="2988" t="s">
        <v>3911</v>
      </c>
      <c r="B380" s="2988">
        <v>3699.95</v>
      </c>
      <c r="C380" s="2988" t="s">
        <v>3912</v>
      </c>
      <c r="D380" s="2982"/>
      <c r="E380" s="2982"/>
      <c r="F380" s="2982"/>
      <c r="G380" s="2982"/>
      <c r="H380" s="2982"/>
      <c r="I380" s="2982"/>
    </row>
    <row r="381" spans="1:9">
      <c r="A381" s="2988" t="s">
        <v>3913</v>
      </c>
      <c r="B381" s="2988">
        <v>59.36</v>
      </c>
      <c r="C381" s="2988" t="s">
        <v>3914</v>
      </c>
      <c r="D381" s="2982"/>
      <c r="E381" s="2982"/>
      <c r="F381" s="2982"/>
      <c r="G381" s="2982"/>
      <c r="H381" s="2982"/>
      <c r="I381" s="2982"/>
    </row>
    <row r="382" spans="1:9">
      <c r="A382" s="2988" t="s">
        <v>3915</v>
      </c>
      <c r="B382" s="2988">
        <v>61.23</v>
      </c>
      <c r="C382" s="2988" t="s">
        <v>3916</v>
      </c>
      <c r="D382" s="2982"/>
      <c r="E382" s="2982"/>
      <c r="F382" s="2982"/>
      <c r="G382" s="2982"/>
      <c r="H382" s="2982"/>
      <c r="I382" s="2982"/>
    </row>
    <row r="383" spans="1:9">
      <c r="A383" s="2988" t="s">
        <v>3917</v>
      </c>
      <c r="B383" s="2988">
        <v>58.73</v>
      </c>
      <c r="C383" s="2988" t="s">
        <v>3918</v>
      </c>
      <c r="D383" s="2982"/>
      <c r="E383" s="2982"/>
      <c r="F383" s="2982"/>
      <c r="G383" s="2982"/>
      <c r="H383" s="2982"/>
      <c r="I383" s="2982"/>
    </row>
    <row r="384" spans="1:9">
      <c r="A384" s="2988" t="s">
        <v>3919</v>
      </c>
      <c r="B384" s="2988">
        <v>58.73</v>
      </c>
      <c r="C384" s="2988" t="s">
        <v>3920</v>
      </c>
      <c r="D384" s="2982"/>
      <c r="E384" s="2982"/>
      <c r="F384" s="2982"/>
      <c r="G384" s="2982"/>
      <c r="H384" s="2982"/>
      <c r="I384" s="2982"/>
    </row>
    <row r="385" spans="1:9">
      <c r="A385" s="2988" t="s">
        <v>3921</v>
      </c>
      <c r="B385" s="2988">
        <v>50.62</v>
      </c>
      <c r="C385" s="2988" t="s">
        <v>3922</v>
      </c>
      <c r="D385" s="2982"/>
      <c r="E385" s="2982"/>
      <c r="F385" s="2982"/>
      <c r="G385" s="2982"/>
      <c r="H385" s="2982"/>
      <c r="I385" s="2982"/>
    </row>
    <row r="386" spans="1:9">
      <c r="A386" s="2988" t="s">
        <v>3923</v>
      </c>
      <c r="B386" s="2988">
        <v>50.62</v>
      </c>
      <c r="C386" s="2988" t="s">
        <v>3924</v>
      </c>
      <c r="D386" s="2982"/>
      <c r="E386" s="2982"/>
      <c r="F386" s="2982"/>
      <c r="G386" s="2982"/>
      <c r="H386" s="2982"/>
      <c r="I386" s="2982"/>
    </row>
    <row r="387" spans="1:9">
      <c r="A387" s="2988" t="s">
        <v>3925</v>
      </c>
      <c r="B387" s="2988">
        <v>89.81</v>
      </c>
      <c r="C387" s="2988" t="s">
        <v>3926</v>
      </c>
      <c r="D387" s="2982"/>
      <c r="E387" s="2982"/>
      <c r="F387" s="2982"/>
      <c r="G387" s="2982"/>
      <c r="H387" s="2982"/>
      <c r="I387" s="2982"/>
    </row>
    <row r="388" spans="1:9">
      <c r="A388" s="2988" t="s">
        <v>3927</v>
      </c>
      <c r="B388" s="2988">
        <v>69.33</v>
      </c>
      <c r="C388" s="2988" t="s">
        <v>3928</v>
      </c>
      <c r="D388" s="2982"/>
      <c r="E388" s="2982"/>
      <c r="F388" s="2982"/>
      <c r="G388" s="2982"/>
      <c r="H388" s="2982"/>
      <c r="I388" s="2982"/>
    </row>
    <row r="389" spans="1:9">
      <c r="A389" s="2988" t="s">
        <v>3929</v>
      </c>
      <c r="B389" s="2988">
        <v>108.53</v>
      </c>
      <c r="C389" s="2988" t="s">
        <v>3930</v>
      </c>
      <c r="D389" s="2982"/>
      <c r="E389" s="2982"/>
      <c r="F389" s="2982"/>
      <c r="G389" s="2982"/>
      <c r="H389" s="2982"/>
      <c r="I389" s="2982"/>
    </row>
    <row r="390" spans="1:9">
      <c r="A390" s="2988" t="s">
        <v>3931</v>
      </c>
      <c r="B390" s="2988">
        <v>73.78</v>
      </c>
      <c r="C390" s="2988" t="s">
        <v>3932</v>
      </c>
      <c r="D390" s="2982"/>
      <c r="E390" s="2982"/>
      <c r="F390" s="2982"/>
      <c r="G390" s="2982"/>
      <c r="H390" s="2982"/>
      <c r="I390" s="2982"/>
    </row>
    <row r="391" spans="1:9">
      <c r="A391" s="2988" t="s">
        <v>3933</v>
      </c>
      <c r="B391" s="2988">
        <v>71.92</v>
      </c>
      <c r="C391" s="2988" t="s">
        <v>3934</v>
      </c>
      <c r="D391" s="2982"/>
      <c r="E391" s="2982"/>
      <c r="F391" s="2982"/>
      <c r="G391" s="2982"/>
      <c r="H391" s="2982"/>
      <c r="I391" s="2982"/>
    </row>
    <row r="392" spans="1:9">
      <c r="A392" s="2988" t="s">
        <v>3935</v>
      </c>
      <c r="B392" s="2988">
        <v>67.42</v>
      </c>
      <c r="C392" s="2988" t="s">
        <v>3936</v>
      </c>
      <c r="D392" s="2982"/>
      <c r="E392" s="2982"/>
      <c r="F392" s="2982"/>
      <c r="G392" s="2982"/>
      <c r="H392" s="2982"/>
      <c r="I392" s="2982"/>
    </row>
    <row r="393" spans="1:9">
      <c r="A393" s="2988" t="s">
        <v>3937</v>
      </c>
      <c r="B393" s="2988">
        <v>56.19</v>
      </c>
      <c r="C393" s="2988" t="s">
        <v>3938</v>
      </c>
      <c r="D393" s="2982"/>
      <c r="E393" s="2982"/>
      <c r="F393" s="2982"/>
      <c r="G393" s="2982"/>
      <c r="H393" s="2982"/>
      <c r="I393" s="2982"/>
    </row>
    <row r="394" spans="1:9">
      <c r="A394" s="2988" t="s">
        <v>3939</v>
      </c>
      <c r="B394" s="2988">
        <v>51.2</v>
      </c>
      <c r="C394" s="2988" t="s">
        <v>3940</v>
      </c>
      <c r="D394" s="2982"/>
      <c r="E394" s="2982"/>
      <c r="F394" s="2982"/>
      <c r="G394" s="2982"/>
      <c r="H394" s="2982"/>
      <c r="I394" s="2982"/>
    </row>
    <row r="395" spans="1:9">
      <c r="A395" s="2988" t="s">
        <v>3941</v>
      </c>
      <c r="B395" s="2988">
        <v>59.13</v>
      </c>
      <c r="C395" s="2988" t="s">
        <v>3942</v>
      </c>
      <c r="D395" s="2982"/>
      <c r="E395" s="2982"/>
      <c r="F395" s="2982"/>
      <c r="G395" s="2982"/>
      <c r="H395" s="2982"/>
      <c r="I395" s="2982"/>
    </row>
    <row r="396" spans="1:9">
      <c r="A396" s="2988" t="s">
        <v>3943</v>
      </c>
      <c r="B396" s="2988">
        <v>63.2</v>
      </c>
      <c r="C396" s="2988" t="s">
        <v>3944</v>
      </c>
      <c r="D396" s="2982"/>
      <c r="E396" s="2982"/>
      <c r="F396" s="2982"/>
      <c r="G396" s="2982"/>
      <c r="H396" s="2982"/>
      <c r="I396" s="2982"/>
    </row>
    <row r="397" spans="1:9">
      <c r="A397" s="2988" t="s">
        <v>3945</v>
      </c>
      <c r="B397" s="2988">
        <v>61.55</v>
      </c>
      <c r="C397" s="2988" t="s">
        <v>3946</v>
      </c>
      <c r="D397" s="2982"/>
      <c r="E397" s="2982"/>
      <c r="F397" s="2982"/>
      <c r="G397" s="2982"/>
      <c r="H397" s="2982"/>
      <c r="I397" s="2982"/>
    </row>
    <row r="398" spans="1:9">
      <c r="A398" s="2988" t="s">
        <v>3947</v>
      </c>
      <c r="B398" s="2988">
        <v>65.63</v>
      </c>
      <c r="C398" s="2988" t="s">
        <v>3948</v>
      </c>
      <c r="D398" s="2982"/>
      <c r="E398" s="2982"/>
      <c r="F398" s="2982"/>
      <c r="G398" s="2982"/>
      <c r="H398" s="2982"/>
      <c r="I398" s="2982"/>
    </row>
    <row r="399" spans="1:9">
      <c r="A399" s="2988" t="s">
        <v>3949</v>
      </c>
      <c r="B399" s="2988">
        <v>84.56</v>
      </c>
      <c r="C399" s="2988" t="s">
        <v>3950</v>
      </c>
      <c r="D399" s="2982"/>
      <c r="E399" s="2982"/>
      <c r="F399" s="2982"/>
      <c r="G399" s="2982"/>
      <c r="H399" s="2982"/>
      <c r="I399" s="2982"/>
    </row>
    <row r="400" spans="1:9">
      <c r="A400" s="2988" t="s">
        <v>3951</v>
      </c>
      <c r="B400" s="2988">
        <v>102.67</v>
      </c>
      <c r="C400" s="2988" t="s">
        <v>3952</v>
      </c>
      <c r="D400" s="2982"/>
      <c r="E400" s="2982"/>
      <c r="F400" s="2982"/>
      <c r="G400" s="2982"/>
      <c r="H400" s="2982"/>
      <c r="I400" s="2982"/>
    </row>
    <row r="401" spans="1:9">
      <c r="A401" s="2988" t="s">
        <v>3953</v>
      </c>
      <c r="B401" s="2988">
        <v>154.66999999999999</v>
      </c>
      <c r="C401" s="2988" t="s">
        <v>3954</v>
      </c>
      <c r="D401" s="2982"/>
      <c r="E401" s="2982"/>
      <c r="F401" s="2982"/>
      <c r="G401" s="2982"/>
      <c r="H401" s="2982"/>
      <c r="I401" s="2982"/>
    </row>
    <row r="402" spans="1:9">
      <c r="A402" s="2988" t="s">
        <v>3955</v>
      </c>
      <c r="B402" s="2988">
        <v>323.12</v>
      </c>
      <c r="C402" s="2988" t="s">
        <v>3956</v>
      </c>
      <c r="D402" s="2982"/>
      <c r="E402" s="2982"/>
      <c r="F402" s="2982"/>
      <c r="G402" s="2982"/>
      <c r="H402" s="2982"/>
      <c r="I402" s="2982"/>
    </row>
    <row r="403" spans="1:9">
      <c r="A403" s="2988" t="s">
        <v>3957</v>
      </c>
      <c r="B403" s="2988">
        <v>260.77999999999997</v>
      </c>
      <c r="C403" s="2988" t="s">
        <v>3958</v>
      </c>
      <c r="D403" s="2982"/>
      <c r="E403" s="2982"/>
      <c r="F403" s="2982"/>
      <c r="G403" s="2982"/>
      <c r="H403" s="2982"/>
      <c r="I403" s="2982"/>
    </row>
    <row r="404" spans="1:9">
      <c r="A404" s="2988" t="s">
        <v>3959</v>
      </c>
      <c r="B404" s="2988">
        <v>227.56</v>
      </c>
      <c r="C404" s="2988" t="s">
        <v>3960</v>
      </c>
      <c r="D404" s="2982"/>
      <c r="E404" s="2982"/>
      <c r="F404" s="2982"/>
      <c r="G404" s="2982"/>
      <c r="H404" s="2982"/>
      <c r="I404" s="2982"/>
    </row>
    <row r="405" spans="1:9">
      <c r="A405" s="2988" t="s">
        <v>3961</v>
      </c>
      <c r="B405" s="2988">
        <v>84.7</v>
      </c>
      <c r="C405" s="2988" t="s">
        <v>3962</v>
      </c>
      <c r="D405" s="2982"/>
      <c r="E405" s="2982"/>
      <c r="F405" s="2982"/>
      <c r="G405" s="2982"/>
      <c r="H405" s="2982"/>
      <c r="I405" s="2982"/>
    </row>
    <row r="406" spans="1:9">
      <c r="A406" s="2988" t="s">
        <v>3963</v>
      </c>
      <c r="B406" s="2988">
        <v>100.76</v>
      </c>
      <c r="C406" s="2988" t="s">
        <v>3964</v>
      </c>
      <c r="D406" s="2982"/>
      <c r="E406" s="2982"/>
      <c r="F406" s="2982"/>
      <c r="G406" s="2982"/>
      <c r="H406" s="2982"/>
      <c r="I406" s="2982"/>
    </row>
    <row r="407" spans="1:9">
      <c r="A407" s="2988" t="s">
        <v>3965</v>
      </c>
      <c r="B407" s="2988">
        <v>105.24</v>
      </c>
      <c r="C407" s="2988" t="s">
        <v>3966</v>
      </c>
      <c r="D407" s="2982"/>
      <c r="E407" s="2982"/>
      <c r="F407" s="2982"/>
      <c r="G407" s="2982"/>
      <c r="H407" s="2982"/>
      <c r="I407" s="2982"/>
    </row>
    <row r="408" spans="1:9">
      <c r="A408" s="2988" t="s">
        <v>3967</v>
      </c>
      <c r="B408" s="2988">
        <v>109.55</v>
      </c>
      <c r="C408" s="2988" t="s">
        <v>3968</v>
      </c>
      <c r="D408" s="2982"/>
      <c r="E408" s="2982"/>
      <c r="F408" s="2982"/>
      <c r="G408" s="2982"/>
      <c r="H408" s="2982"/>
      <c r="I408" s="2982"/>
    </row>
    <row r="409" spans="1:9">
      <c r="A409" s="2988" t="s">
        <v>3969</v>
      </c>
      <c r="B409" s="2988">
        <v>109.55</v>
      </c>
      <c r="C409" s="2988" t="s">
        <v>3970</v>
      </c>
      <c r="D409" s="2982"/>
      <c r="E409" s="2982"/>
      <c r="F409" s="2982"/>
      <c r="G409" s="2982"/>
      <c r="H409" s="2982"/>
      <c r="I409" s="2982"/>
    </row>
    <row r="410" spans="1:9">
      <c r="A410" s="2988" t="s">
        <v>3971</v>
      </c>
      <c r="B410" s="2988">
        <v>113.35</v>
      </c>
      <c r="C410" s="2988" t="s">
        <v>3972</v>
      </c>
      <c r="D410" s="2982"/>
      <c r="E410" s="2982"/>
      <c r="F410" s="2982"/>
      <c r="G410" s="2982"/>
      <c r="H410" s="2982"/>
      <c r="I410" s="2982"/>
    </row>
    <row r="411" spans="1:9">
      <c r="A411" s="2988" t="s">
        <v>3973</v>
      </c>
      <c r="B411" s="2988">
        <v>125.64</v>
      </c>
      <c r="C411" s="2988" t="s">
        <v>3974</v>
      </c>
      <c r="D411" s="2982"/>
      <c r="E411" s="2982"/>
      <c r="F411" s="2982"/>
      <c r="G411" s="2982"/>
      <c r="H411" s="2982"/>
      <c r="I411" s="2982"/>
    </row>
    <row r="412" spans="1:9">
      <c r="A412" s="2988" t="s">
        <v>3975</v>
      </c>
      <c r="B412" s="2988">
        <v>115.27</v>
      </c>
      <c r="C412" s="2988" t="s">
        <v>3976</v>
      </c>
      <c r="D412" s="2982"/>
      <c r="E412" s="2982"/>
      <c r="F412" s="2982"/>
      <c r="G412" s="2982"/>
      <c r="H412" s="2982"/>
      <c r="I412" s="2982"/>
    </row>
    <row r="413" spans="1:9">
      <c r="A413" s="2988" t="s">
        <v>3977</v>
      </c>
      <c r="B413" s="2988">
        <v>115.31</v>
      </c>
      <c r="C413" s="2988" t="s">
        <v>3978</v>
      </c>
      <c r="D413" s="2982"/>
      <c r="E413" s="2982"/>
      <c r="F413" s="2982"/>
      <c r="G413" s="2982"/>
      <c r="H413" s="2982"/>
      <c r="I413" s="2982"/>
    </row>
    <row r="414" spans="1:9">
      <c r="A414" s="2988" t="s">
        <v>3979</v>
      </c>
      <c r="B414" s="2988">
        <v>115.27</v>
      </c>
      <c r="C414" s="2988" t="s">
        <v>3980</v>
      </c>
      <c r="D414" s="2982"/>
      <c r="E414" s="2982"/>
      <c r="F414" s="2982"/>
      <c r="G414" s="2982"/>
      <c r="H414" s="2982"/>
      <c r="I414" s="2982"/>
    </row>
    <row r="415" spans="1:9">
      <c r="A415" s="2988" t="s">
        <v>3981</v>
      </c>
      <c r="B415" s="2988">
        <v>127.56</v>
      </c>
      <c r="C415" s="2988" t="s">
        <v>3982</v>
      </c>
      <c r="D415" s="2982"/>
      <c r="E415" s="2982"/>
      <c r="F415" s="2982"/>
      <c r="G415" s="2982"/>
      <c r="H415" s="2982"/>
      <c r="I415" s="2982"/>
    </row>
    <row r="416" spans="1:9">
      <c r="A416" s="2988" t="s">
        <v>3983</v>
      </c>
      <c r="B416" s="2988">
        <v>113.35</v>
      </c>
      <c r="C416" s="2988" t="s">
        <v>3984</v>
      </c>
      <c r="D416" s="2982"/>
      <c r="E416" s="2982"/>
      <c r="F416" s="2982"/>
      <c r="G416" s="2982"/>
      <c r="H416" s="2982"/>
      <c r="I416" s="2982"/>
    </row>
    <row r="417" spans="1:9">
      <c r="A417" s="2988" t="s">
        <v>3985</v>
      </c>
      <c r="B417" s="2988">
        <v>109.55</v>
      </c>
      <c r="C417" s="2988" t="s">
        <v>3986</v>
      </c>
      <c r="D417" s="2982"/>
      <c r="E417" s="2982"/>
      <c r="F417" s="2982"/>
      <c r="G417" s="2982"/>
      <c r="H417" s="2982"/>
      <c r="I417" s="2982"/>
    </row>
    <row r="418" spans="1:9">
      <c r="A418" s="2988" t="s">
        <v>3987</v>
      </c>
      <c r="B418" s="2988">
        <v>109.55</v>
      </c>
      <c r="C418" s="2988" t="s">
        <v>3988</v>
      </c>
      <c r="D418" s="2982"/>
      <c r="E418" s="2982"/>
      <c r="F418" s="2982"/>
      <c r="G418" s="2982"/>
      <c r="H418" s="2982"/>
      <c r="I418" s="2982"/>
    </row>
    <row r="419" spans="1:9">
      <c r="A419" s="2988" t="s">
        <v>3989</v>
      </c>
      <c r="B419" s="2988">
        <v>105.24</v>
      </c>
      <c r="C419" s="2988" t="s">
        <v>3990</v>
      </c>
      <c r="D419" s="2982"/>
      <c r="E419" s="2982"/>
      <c r="F419" s="2982"/>
      <c r="G419" s="2982"/>
      <c r="H419" s="2982"/>
      <c r="I419" s="2982"/>
    </row>
    <row r="420" spans="1:9">
      <c r="A420" s="2988" t="s">
        <v>3991</v>
      </c>
      <c r="B420" s="2988">
        <v>100.76</v>
      </c>
      <c r="C420" s="2988" t="s">
        <v>3992</v>
      </c>
      <c r="D420" s="2982"/>
      <c r="E420" s="2982"/>
      <c r="F420" s="2982"/>
      <c r="G420" s="2982"/>
      <c r="H420" s="2982"/>
      <c r="I420" s="2982"/>
    </row>
    <row r="421" spans="1:9">
      <c r="A421" s="2988" t="s">
        <v>3993</v>
      </c>
      <c r="B421" s="2988">
        <v>84.7</v>
      </c>
      <c r="C421" s="2988" t="s">
        <v>3994</v>
      </c>
      <c r="D421" s="2982"/>
      <c r="E421" s="2982"/>
      <c r="F421" s="2982"/>
      <c r="G421" s="2982"/>
      <c r="H421" s="2982"/>
      <c r="I421" s="2982"/>
    </row>
    <row r="422" spans="1:9">
      <c r="A422" s="2988" t="s">
        <v>3995</v>
      </c>
      <c r="B422" s="2988">
        <v>21.23</v>
      </c>
      <c r="C422" s="2988" t="s">
        <v>3996</v>
      </c>
      <c r="D422" s="2982"/>
      <c r="E422" s="2982"/>
      <c r="F422" s="2982"/>
      <c r="G422" s="2982"/>
      <c r="H422" s="2982"/>
      <c r="I422" s="2982"/>
    </row>
    <row r="423" spans="1:9">
      <c r="A423" s="2988" t="s">
        <v>3997</v>
      </c>
      <c r="B423" s="2988">
        <v>24.61</v>
      </c>
      <c r="C423" s="2988" t="s">
        <v>3998</v>
      </c>
      <c r="D423" s="2982"/>
      <c r="E423" s="2982"/>
      <c r="F423" s="2982"/>
      <c r="G423" s="2982"/>
      <c r="H423" s="2982"/>
      <c r="I423" s="2982"/>
    </row>
    <row r="424" spans="1:9">
      <c r="A424" s="2988" t="s">
        <v>3999</v>
      </c>
      <c r="B424" s="2988">
        <v>44.57</v>
      </c>
      <c r="C424" s="2988" t="s">
        <v>4000</v>
      </c>
      <c r="D424" s="2982"/>
      <c r="E424" s="2982"/>
      <c r="F424" s="2982"/>
      <c r="G424" s="2982"/>
      <c r="H424" s="2982"/>
      <c r="I424" s="2982"/>
    </row>
    <row r="425" spans="1:9">
      <c r="A425" s="2988" t="s">
        <v>4001</v>
      </c>
      <c r="B425" s="2988">
        <v>105.57</v>
      </c>
      <c r="C425" s="2988" t="s">
        <v>4002</v>
      </c>
      <c r="D425" s="2982"/>
      <c r="E425" s="2982"/>
      <c r="F425" s="2982"/>
      <c r="G425" s="2982"/>
      <c r="H425" s="2982"/>
      <c r="I425" s="2982"/>
    </row>
    <row r="426" spans="1:9">
      <c r="A426" s="2988" t="s">
        <v>4003</v>
      </c>
      <c r="B426" s="2988">
        <v>115.88</v>
      </c>
      <c r="C426" s="2988" t="s">
        <v>4004</v>
      </c>
      <c r="D426" s="2982"/>
      <c r="E426" s="2982"/>
      <c r="F426" s="2982"/>
      <c r="G426" s="2982"/>
      <c r="H426" s="2982"/>
      <c r="I426" s="2982"/>
    </row>
    <row r="427" spans="1:9">
      <c r="A427" s="2988" t="s">
        <v>4005</v>
      </c>
      <c r="B427" s="2988">
        <v>120.61</v>
      </c>
      <c r="C427" s="2988" t="s">
        <v>4006</v>
      </c>
      <c r="D427" s="2982"/>
      <c r="E427" s="2982"/>
      <c r="F427" s="2982"/>
      <c r="G427" s="2982"/>
      <c r="H427" s="2982"/>
      <c r="I427" s="2982"/>
    </row>
    <row r="428" spans="1:9">
      <c r="A428" s="2988" t="s">
        <v>4007</v>
      </c>
      <c r="B428" s="2988">
        <v>221.36</v>
      </c>
      <c r="C428" s="2988" t="s">
        <v>4008</v>
      </c>
      <c r="D428" s="2982"/>
      <c r="E428" s="2982"/>
      <c r="F428" s="2982"/>
      <c r="G428" s="2982"/>
      <c r="H428" s="2982"/>
      <c r="I428" s="2982"/>
    </row>
    <row r="429" spans="1:9">
      <c r="A429" s="2988" t="s">
        <v>4009</v>
      </c>
      <c r="B429" s="2988">
        <v>153.01</v>
      </c>
      <c r="C429" s="2988" t="s">
        <v>4010</v>
      </c>
      <c r="D429" s="2982"/>
      <c r="E429" s="2982"/>
      <c r="F429" s="2982"/>
      <c r="G429" s="2982"/>
      <c r="H429" s="2982"/>
      <c r="I429" s="2982"/>
    </row>
    <row r="430" spans="1:9">
      <c r="A430" s="2988" t="s">
        <v>4011</v>
      </c>
      <c r="B430" s="2988">
        <v>85.75</v>
      </c>
      <c r="C430" s="2988" t="s">
        <v>4012</v>
      </c>
      <c r="D430" s="2982"/>
      <c r="E430" s="2982"/>
      <c r="F430" s="2982"/>
      <c r="G430" s="2982"/>
      <c r="H430" s="2982"/>
      <c r="I430" s="2982"/>
    </row>
    <row r="431" spans="1:9">
      <c r="A431" s="2988" t="s">
        <v>4013</v>
      </c>
      <c r="B431" s="2988">
        <v>69.81</v>
      </c>
      <c r="C431" s="2988" t="s">
        <v>4014</v>
      </c>
      <c r="D431" s="2982"/>
      <c r="E431" s="2982"/>
      <c r="F431" s="2982"/>
      <c r="G431" s="2982"/>
      <c r="H431" s="2982"/>
      <c r="I431" s="2982"/>
    </row>
    <row r="432" spans="1:9">
      <c r="A432" s="2988" t="s">
        <v>4015</v>
      </c>
      <c r="B432" s="2988">
        <v>179.92</v>
      </c>
      <c r="C432" s="2988" t="s">
        <v>4016</v>
      </c>
      <c r="D432" s="2982"/>
      <c r="E432" s="2982"/>
      <c r="F432" s="2982"/>
      <c r="G432" s="2982"/>
      <c r="H432" s="2982"/>
      <c r="I432" s="2982"/>
    </row>
    <row r="433" spans="1:9">
      <c r="A433" s="2988" t="s">
        <v>4017</v>
      </c>
      <c r="B433" s="2988">
        <v>201.95</v>
      </c>
      <c r="C433" s="2988" t="s">
        <v>4018</v>
      </c>
      <c r="D433" s="2982"/>
      <c r="E433" s="2982"/>
      <c r="F433" s="2982"/>
      <c r="G433" s="2982"/>
      <c r="H433" s="2982"/>
      <c r="I433" s="2982"/>
    </row>
    <row r="434" spans="1:9">
      <c r="A434" s="2988" t="s">
        <v>4019</v>
      </c>
      <c r="B434" s="2988">
        <v>140.88999999999999</v>
      </c>
      <c r="C434" s="2988" t="s">
        <v>4020</v>
      </c>
      <c r="D434" s="2982"/>
      <c r="E434" s="2982"/>
      <c r="F434" s="2982"/>
      <c r="G434" s="2982"/>
      <c r="H434" s="2982"/>
      <c r="I434" s="2982"/>
    </row>
    <row r="435" spans="1:9">
      <c r="A435" s="2988" t="s">
        <v>4021</v>
      </c>
      <c r="B435" s="2988">
        <v>141.72999999999999</v>
      </c>
      <c r="C435" s="2988" t="s">
        <v>4022</v>
      </c>
      <c r="D435" s="2982"/>
      <c r="E435" s="2982"/>
      <c r="F435" s="2982"/>
      <c r="G435" s="2982"/>
      <c r="H435" s="2982"/>
      <c r="I435" s="2982"/>
    </row>
    <row r="436" spans="1:9">
      <c r="A436" s="2988" t="s">
        <v>4023</v>
      </c>
      <c r="B436" s="2988">
        <v>152.03</v>
      </c>
      <c r="C436" s="2988" t="s">
        <v>4024</v>
      </c>
      <c r="D436" s="2982"/>
      <c r="E436" s="2982"/>
      <c r="F436" s="2982"/>
      <c r="G436" s="2982"/>
      <c r="H436" s="2982"/>
      <c r="I436" s="2982"/>
    </row>
    <row r="437" spans="1:9">
      <c r="A437" s="2988" t="s">
        <v>4025</v>
      </c>
      <c r="B437" s="2988">
        <v>133.19</v>
      </c>
      <c r="C437" s="2988" t="s">
        <v>4026</v>
      </c>
      <c r="D437" s="2982"/>
      <c r="E437" s="2982"/>
      <c r="F437" s="2982"/>
      <c r="G437" s="2982"/>
      <c r="H437" s="2982"/>
      <c r="I437" s="2982"/>
    </row>
    <row r="438" spans="1:9">
      <c r="A438" s="2988" t="s">
        <v>4027</v>
      </c>
      <c r="B438" s="2988">
        <v>225.39</v>
      </c>
      <c r="C438" s="2988" t="s">
        <v>4028</v>
      </c>
      <c r="D438" s="2982"/>
      <c r="E438" s="2982"/>
      <c r="F438" s="2982"/>
      <c r="G438" s="2982"/>
      <c r="H438" s="2982"/>
      <c r="I438" s="2982"/>
    </row>
    <row r="439" spans="1:9">
      <c r="A439" s="2988" t="s">
        <v>4029</v>
      </c>
      <c r="B439" s="2988">
        <v>225.39</v>
      </c>
      <c r="C439" s="2988" t="s">
        <v>4030</v>
      </c>
      <c r="D439" s="2982"/>
      <c r="E439" s="2982"/>
      <c r="F439" s="2982"/>
      <c r="G439" s="2982"/>
      <c r="H439" s="2982"/>
      <c r="I439" s="2982"/>
    </row>
    <row r="440" spans="1:9">
      <c r="A440" s="2988" t="s">
        <v>4031</v>
      </c>
      <c r="B440" s="2988">
        <v>133.21</v>
      </c>
      <c r="C440" s="2988" t="s">
        <v>4032</v>
      </c>
      <c r="D440" s="2982"/>
      <c r="E440" s="2982"/>
      <c r="F440" s="2982"/>
      <c r="G440" s="2982"/>
      <c r="H440" s="2982"/>
      <c r="I440" s="2982"/>
    </row>
    <row r="441" spans="1:9">
      <c r="A441" s="2988" t="s">
        <v>4033</v>
      </c>
      <c r="B441" s="2988">
        <v>152.03</v>
      </c>
      <c r="C441" s="2988" t="s">
        <v>4034</v>
      </c>
      <c r="D441" s="2982"/>
      <c r="E441" s="2982"/>
      <c r="F441" s="2982"/>
      <c r="G441" s="2982"/>
      <c r="H441" s="2982"/>
      <c r="I441" s="2982"/>
    </row>
    <row r="442" spans="1:9">
      <c r="A442" s="2988" t="s">
        <v>4035</v>
      </c>
      <c r="B442" s="2988">
        <v>141.72999999999999</v>
      </c>
      <c r="C442" s="2988" t="s">
        <v>4036</v>
      </c>
      <c r="D442" s="2982"/>
      <c r="E442" s="2982"/>
      <c r="F442" s="2982"/>
      <c r="G442" s="2982"/>
      <c r="H442" s="2982"/>
      <c r="I442" s="2982"/>
    </row>
    <row r="443" spans="1:9">
      <c r="A443" s="2988" t="s">
        <v>4037</v>
      </c>
      <c r="B443" s="2988">
        <v>140.88999999999999</v>
      </c>
      <c r="C443" s="2988" t="s">
        <v>4038</v>
      </c>
      <c r="D443" s="2982"/>
      <c r="E443" s="2982"/>
      <c r="F443" s="2982"/>
      <c r="G443" s="2982"/>
      <c r="H443" s="2982"/>
      <c r="I443" s="2982"/>
    </row>
    <row r="444" spans="1:9">
      <c r="A444" s="2988" t="s">
        <v>4039</v>
      </c>
      <c r="B444" s="2988">
        <v>201.95</v>
      </c>
      <c r="C444" s="2988" t="s">
        <v>4040</v>
      </c>
      <c r="D444" s="2982"/>
      <c r="E444" s="2982"/>
      <c r="F444" s="2982"/>
      <c r="G444" s="2982"/>
      <c r="H444" s="2982"/>
      <c r="I444" s="2982"/>
    </row>
    <row r="445" spans="1:9">
      <c r="A445" s="2988" t="s">
        <v>4041</v>
      </c>
      <c r="B445" s="2988">
        <v>179.22</v>
      </c>
      <c r="C445" s="2988" t="s">
        <v>4042</v>
      </c>
      <c r="D445" s="2982"/>
      <c r="E445" s="2982"/>
      <c r="F445" s="2982"/>
      <c r="G445" s="2982"/>
      <c r="H445" s="2982"/>
      <c r="I445" s="2982"/>
    </row>
    <row r="446" spans="1:9">
      <c r="A446" s="2988" t="s">
        <v>4043</v>
      </c>
      <c r="B446" s="2988">
        <v>69.81</v>
      </c>
      <c r="C446" s="2988" t="s">
        <v>4044</v>
      </c>
      <c r="D446" s="2982"/>
      <c r="E446" s="2982"/>
      <c r="F446" s="2982"/>
      <c r="G446" s="2982"/>
      <c r="H446" s="2982"/>
      <c r="I446" s="2982"/>
    </row>
    <row r="447" spans="1:9">
      <c r="A447" s="2988" t="s">
        <v>4045</v>
      </c>
      <c r="B447" s="2988">
        <v>85.75</v>
      </c>
      <c r="C447" s="2988" t="s">
        <v>4046</v>
      </c>
      <c r="D447" s="2982"/>
      <c r="E447" s="2982"/>
      <c r="F447" s="2982"/>
      <c r="G447" s="2982"/>
      <c r="H447" s="2982"/>
      <c r="I447" s="2982"/>
    </row>
    <row r="448" spans="1:9">
      <c r="A448" s="2988" t="s">
        <v>4047</v>
      </c>
      <c r="B448" s="2988">
        <v>153.01</v>
      </c>
      <c r="C448" s="2988" t="s">
        <v>4048</v>
      </c>
      <c r="D448" s="2982"/>
      <c r="E448" s="2982"/>
      <c r="F448" s="2982"/>
      <c r="G448" s="2982"/>
      <c r="H448" s="2982"/>
      <c r="I448" s="2982"/>
    </row>
    <row r="449" spans="1:9">
      <c r="A449" s="2988" t="s">
        <v>4049</v>
      </c>
      <c r="B449" s="2988">
        <v>221.36</v>
      </c>
      <c r="C449" s="2988" t="s">
        <v>4050</v>
      </c>
      <c r="D449" s="2982"/>
      <c r="E449" s="2982"/>
      <c r="F449" s="2982"/>
      <c r="G449" s="2982"/>
      <c r="H449" s="2982"/>
      <c r="I449" s="2982"/>
    </row>
    <row r="450" spans="1:9">
      <c r="A450" s="2988" t="s">
        <v>4051</v>
      </c>
      <c r="B450" s="2988">
        <v>129.12</v>
      </c>
      <c r="C450" s="2988" t="s">
        <v>4052</v>
      </c>
      <c r="D450" s="2982"/>
      <c r="E450" s="2982"/>
      <c r="F450" s="2982"/>
      <c r="G450" s="2982"/>
      <c r="H450" s="2982"/>
      <c r="I450" s="2982"/>
    </row>
    <row r="451" spans="1:9">
      <c r="A451" s="2988" t="s">
        <v>4053</v>
      </c>
      <c r="B451" s="2988">
        <v>131.28</v>
      </c>
      <c r="C451" s="2988" t="s">
        <v>4054</v>
      </c>
      <c r="D451" s="2982">
        <f>SUM(B380:B451)</f>
        <v>11977.890000000003</v>
      </c>
      <c r="E451" s="2982"/>
      <c r="F451" s="2982"/>
      <c r="G451" s="2982"/>
      <c r="H451" s="2982"/>
      <c r="I451" s="2982"/>
    </row>
    <row r="452" spans="1:9">
      <c r="A452" s="2988" t="s">
        <v>4055</v>
      </c>
      <c r="B452" s="2988">
        <v>1533.04</v>
      </c>
      <c r="C452" s="2988" t="s">
        <v>4056</v>
      </c>
      <c r="D452" s="2982"/>
      <c r="E452" s="2982"/>
      <c r="F452" s="2982"/>
      <c r="G452" s="2982"/>
      <c r="H452" s="2982"/>
      <c r="I452" s="2982"/>
    </row>
    <row r="453" spans="1:9">
      <c r="A453" s="2988" t="s">
        <v>4057</v>
      </c>
      <c r="B453" s="2988">
        <v>106.09</v>
      </c>
      <c r="C453" s="2988" t="s">
        <v>4058</v>
      </c>
      <c r="D453" s="2982"/>
      <c r="E453" s="2982"/>
      <c r="F453" s="2982"/>
      <c r="G453" s="2982"/>
      <c r="H453" s="2982"/>
      <c r="I453" s="2982"/>
    </row>
    <row r="454" spans="1:9">
      <c r="A454" s="2988" t="s">
        <v>4059</v>
      </c>
      <c r="B454" s="2988">
        <v>72.12</v>
      </c>
      <c r="C454" s="2988" t="s">
        <v>4060</v>
      </c>
      <c r="D454" s="2982"/>
      <c r="E454" s="2982"/>
      <c r="F454" s="2982"/>
      <c r="G454" s="2982"/>
      <c r="H454" s="2982"/>
      <c r="I454" s="2982"/>
    </row>
    <row r="455" spans="1:9">
      <c r="A455" s="2988" t="s">
        <v>4061</v>
      </c>
      <c r="B455" s="2988">
        <v>70.31</v>
      </c>
      <c r="C455" s="2988" t="s">
        <v>4062</v>
      </c>
      <c r="D455" s="2982"/>
      <c r="E455" s="2982"/>
      <c r="F455" s="2982"/>
      <c r="G455" s="2982"/>
      <c r="H455" s="2982"/>
      <c r="I455" s="2982"/>
    </row>
    <row r="456" spans="1:9">
      <c r="A456" s="2988" t="s">
        <v>4063</v>
      </c>
      <c r="B456" s="2988">
        <v>65.900000000000006</v>
      </c>
      <c r="C456" s="2988" t="s">
        <v>4064</v>
      </c>
      <c r="D456" s="2982"/>
      <c r="E456" s="2982"/>
      <c r="F456" s="2982"/>
      <c r="G456" s="2982"/>
      <c r="H456" s="2982"/>
      <c r="I456" s="2982"/>
    </row>
    <row r="457" spans="1:9">
      <c r="A457" s="2988" t="s">
        <v>4065</v>
      </c>
      <c r="B457" s="2988">
        <v>54.92</v>
      </c>
      <c r="C457" s="2988" t="s">
        <v>4066</v>
      </c>
      <c r="D457" s="2982"/>
      <c r="E457" s="2982"/>
      <c r="F457" s="2982"/>
      <c r="G457" s="2982"/>
      <c r="H457" s="2982"/>
      <c r="I457" s="2982"/>
    </row>
    <row r="458" spans="1:9">
      <c r="A458" s="2988" t="s">
        <v>4067</v>
      </c>
      <c r="B458" s="2988">
        <v>48.38</v>
      </c>
      <c r="C458" s="2988" t="s">
        <v>4068</v>
      </c>
      <c r="D458" s="2982"/>
      <c r="E458" s="2982"/>
      <c r="F458" s="2982"/>
      <c r="G458" s="2982"/>
      <c r="H458" s="2982"/>
      <c r="I458" s="2982"/>
    </row>
    <row r="459" spans="1:9">
      <c r="A459" s="2988" t="s">
        <v>4069</v>
      </c>
      <c r="B459" s="2988">
        <v>48.38</v>
      </c>
      <c r="C459" s="2988" t="s">
        <v>4070</v>
      </c>
      <c r="D459" s="2982"/>
      <c r="E459" s="2982"/>
      <c r="F459" s="2982"/>
      <c r="G459" s="2982"/>
      <c r="H459" s="2982"/>
      <c r="I459" s="2982"/>
    </row>
    <row r="460" spans="1:9">
      <c r="A460" s="2988" t="s">
        <v>4071</v>
      </c>
      <c r="B460" s="2988">
        <v>70.98</v>
      </c>
      <c r="C460" s="2988" t="s">
        <v>4072</v>
      </c>
      <c r="D460" s="2982"/>
      <c r="E460" s="2982"/>
      <c r="F460" s="2982"/>
      <c r="G460" s="2982"/>
      <c r="H460" s="2982"/>
      <c r="I460" s="2982"/>
    </row>
    <row r="461" spans="1:9">
      <c r="A461" s="2988" t="s">
        <v>4073</v>
      </c>
      <c r="B461" s="2988">
        <v>98.9</v>
      </c>
      <c r="C461" s="2988" t="s">
        <v>4074</v>
      </c>
      <c r="D461" s="2982"/>
      <c r="E461" s="2982"/>
      <c r="F461" s="2982"/>
      <c r="G461" s="2982"/>
      <c r="H461" s="2982"/>
      <c r="I461" s="2982"/>
    </row>
    <row r="462" spans="1:9">
      <c r="A462" s="2988" t="s">
        <v>4075</v>
      </c>
      <c r="B462" s="2988">
        <v>151.19999999999999</v>
      </c>
      <c r="C462" s="2988" t="s">
        <v>4076</v>
      </c>
      <c r="D462" s="2982"/>
      <c r="E462" s="2982"/>
      <c r="F462" s="2982"/>
      <c r="G462" s="2982"/>
      <c r="H462" s="2982"/>
      <c r="I462" s="2982"/>
    </row>
    <row r="463" spans="1:9">
      <c r="A463" s="2988" t="s">
        <v>4077</v>
      </c>
      <c r="B463" s="2988">
        <v>212.55</v>
      </c>
      <c r="C463" s="2988" t="s">
        <v>4078</v>
      </c>
      <c r="D463" s="2982"/>
      <c r="E463" s="2982"/>
      <c r="F463" s="2982"/>
      <c r="G463" s="2982"/>
      <c r="H463" s="2982"/>
      <c r="I463" s="2982"/>
    </row>
    <row r="464" spans="1:9">
      <c r="A464" s="2988" t="s">
        <v>4079</v>
      </c>
      <c r="B464" s="2988">
        <v>76.099999999999994</v>
      </c>
      <c r="C464" s="2988" t="s">
        <v>4080</v>
      </c>
      <c r="D464" s="2982"/>
      <c r="E464" s="2982"/>
      <c r="F464" s="2982"/>
      <c r="G464" s="2982"/>
      <c r="H464" s="2982"/>
      <c r="I464" s="2982"/>
    </row>
    <row r="465" spans="1:9">
      <c r="A465" s="2988" t="s">
        <v>4081</v>
      </c>
      <c r="B465" s="2988">
        <v>108.51</v>
      </c>
      <c r="C465" s="2988" t="s">
        <v>4082</v>
      </c>
      <c r="D465" s="2982"/>
      <c r="E465" s="2982"/>
      <c r="F465" s="2982"/>
      <c r="G465" s="2982"/>
      <c r="H465" s="2982"/>
      <c r="I465" s="2982"/>
    </row>
    <row r="466" spans="1:9">
      <c r="A466" s="2988" t="s">
        <v>4083</v>
      </c>
      <c r="B466" s="2988">
        <v>112.68</v>
      </c>
      <c r="C466" s="2988" t="s">
        <v>4084</v>
      </c>
      <c r="D466" s="2982"/>
      <c r="E466" s="2982"/>
      <c r="F466" s="2982"/>
      <c r="G466" s="2982"/>
      <c r="H466" s="2982"/>
      <c r="I466" s="2982"/>
    </row>
    <row r="467" spans="1:9">
      <c r="A467" s="2988" t="s">
        <v>4085</v>
      </c>
      <c r="B467" s="2988">
        <v>54.28</v>
      </c>
      <c r="C467" s="2988" t="s">
        <v>4086</v>
      </c>
      <c r="D467" s="2982"/>
      <c r="E467" s="2982"/>
      <c r="F467" s="2982"/>
      <c r="G467" s="2982"/>
      <c r="H467" s="2982"/>
      <c r="I467" s="2982"/>
    </row>
    <row r="468" spans="1:9">
      <c r="A468" s="2988" t="s">
        <v>4087</v>
      </c>
      <c r="B468" s="2988">
        <v>113.01</v>
      </c>
      <c r="C468" s="2988" t="s">
        <v>4088</v>
      </c>
      <c r="D468" s="2982"/>
      <c r="E468" s="2982"/>
      <c r="F468" s="2982"/>
      <c r="G468" s="2982"/>
      <c r="H468" s="2982"/>
      <c r="I468" s="2982"/>
    </row>
    <row r="469" spans="1:9">
      <c r="A469" s="2988" t="s">
        <v>4089</v>
      </c>
      <c r="B469" s="2988">
        <v>113.01</v>
      </c>
      <c r="C469" s="2988" t="s">
        <v>4090</v>
      </c>
      <c r="D469" s="2982"/>
      <c r="E469" s="2982"/>
      <c r="F469" s="2982"/>
      <c r="G469" s="2982"/>
      <c r="H469" s="2982"/>
      <c r="I469" s="2982"/>
    </row>
    <row r="470" spans="1:9">
      <c r="A470" s="2988" t="s">
        <v>4091</v>
      </c>
      <c r="B470" s="2988">
        <v>54.28</v>
      </c>
      <c r="C470" s="2988" t="s">
        <v>4092</v>
      </c>
      <c r="D470" s="2982"/>
      <c r="E470" s="2982"/>
      <c r="F470" s="2982"/>
      <c r="G470" s="2982"/>
      <c r="H470" s="2982"/>
      <c r="I470" s="2982"/>
    </row>
    <row r="471" spans="1:9">
      <c r="A471" s="2988" t="s">
        <v>4093</v>
      </c>
      <c r="B471" s="2988">
        <v>112.68</v>
      </c>
      <c r="C471" s="2988" t="s">
        <v>4094</v>
      </c>
      <c r="D471" s="2982"/>
      <c r="E471" s="2982"/>
      <c r="F471" s="2982"/>
      <c r="G471" s="2982"/>
      <c r="H471" s="2982"/>
      <c r="I471" s="2982"/>
    </row>
    <row r="472" spans="1:9">
      <c r="A472" s="2988" t="s">
        <v>4095</v>
      </c>
      <c r="B472" s="2988">
        <v>108.51</v>
      </c>
      <c r="C472" s="2988" t="s">
        <v>4096</v>
      </c>
      <c r="D472" s="2982"/>
      <c r="E472" s="2982"/>
      <c r="F472" s="2982"/>
      <c r="G472" s="2982"/>
      <c r="H472" s="2982"/>
      <c r="I472" s="2982"/>
    </row>
    <row r="473" spans="1:9">
      <c r="A473" s="2988" t="s">
        <v>4097</v>
      </c>
      <c r="B473" s="2988">
        <v>78.14</v>
      </c>
      <c r="C473" s="2988" t="s">
        <v>4098</v>
      </c>
      <c r="D473" s="2982"/>
      <c r="E473" s="2982"/>
      <c r="F473" s="2982"/>
      <c r="G473" s="2982"/>
      <c r="H473" s="2982"/>
      <c r="I473" s="2982"/>
    </row>
    <row r="474" spans="1:9">
      <c r="A474" s="2988" t="s">
        <v>4099</v>
      </c>
      <c r="B474" s="2988">
        <v>77.19</v>
      </c>
      <c r="C474" s="2988" t="s">
        <v>4100</v>
      </c>
      <c r="D474" s="2982">
        <f>SUM(B452:B474)</f>
        <v>3541.1600000000012</v>
      </c>
      <c r="E474" s="2982"/>
      <c r="F474" s="2982"/>
      <c r="G474" s="2982"/>
      <c r="H474" s="2982"/>
      <c r="I474" s="2982"/>
    </row>
    <row r="475" spans="1:9">
      <c r="A475" s="2988"/>
      <c r="B475" s="2988"/>
      <c r="C475" s="2988"/>
      <c r="D475" s="2982"/>
      <c r="E475" s="2982"/>
      <c r="F475" s="2982"/>
      <c r="G475" s="2982"/>
      <c r="H475" s="2982"/>
      <c r="I475" s="2982"/>
    </row>
    <row r="476" spans="1:9">
      <c r="A476" s="2988"/>
      <c r="B476" s="2988">
        <f>SUM(B3:B474)</f>
        <v>68327.84999999986</v>
      </c>
      <c r="C476" s="2988"/>
      <c r="D476" s="2982"/>
      <c r="E476" s="2982"/>
      <c r="F476" s="2982"/>
      <c r="G476" s="2982"/>
      <c r="H476" s="2982"/>
      <c r="I476" s="2982"/>
    </row>
  </sheetData>
  <autoFilter ref="A1:F476"/>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K33" sqref="K33"/>
    </sheetView>
  </sheetViews>
  <sheetFormatPr defaultRowHeight="13.5"/>
  <sheetData>
    <row r="1" spans="1:2">
      <c r="A1" s="3343" t="s">
        <v>4138</v>
      </c>
      <c r="B1">
        <f ca="1">结果表!H101</f>
        <v>84932</v>
      </c>
    </row>
    <row r="2" spans="1:2">
      <c r="A2" s="3343" t="s">
        <v>4137</v>
      </c>
      <c r="B2">
        <f ca="1">'收益法（汇总）'!B2</f>
        <v>100456</v>
      </c>
    </row>
    <row r="3" spans="1:2">
      <c r="A3" s="3343" t="s">
        <v>4139</v>
      </c>
      <c r="B3">
        <f ca="1">成本法!B2</f>
        <v>61645</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1637</v>
      </c>
      <c r="B2" s="3020" t="s">
        <v>1638</v>
      </c>
      <c r="C2" s="3020" t="s">
        <v>1639</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21"/>
      <c r="B3" s="3021"/>
      <c r="C3" s="3021"/>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68327.850000000006</v>
      </c>
      <c r="C4" s="1042">
        <f>项目基本情况!C18</f>
        <v>0</v>
      </c>
      <c r="D4" s="1042" t="e">
        <f ca="1">结果表!D118</f>
        <v>#REF!</v>
      </c>
      <c r="E4" s="1042" t="e">
        <f ca="1">结果表!E118</f>
        <v>#DIV/0!</v>
      </c>
      <c r="F4" s="1042" t="e">
        <f ca="1">结果表!F118</f>
        <v>#REF!</v>
      </c>
      <c r="G4" s="1042" t="e">
        <f ca="1">结果表!G118</f>
        <v>#REF!</v>
      </c>
      <c r="H4" s="1042">
        <f ca="1">结果表!H118</f>
        <v>84932</v>
      </c>
      <c r="I4" s="1042" t="e">
        <f ca="1">结果表!I118</f>
        <v>#DIV/0!</v>
      </c>
    </row>
    <row r="5" spans="1:9" ht="30" customHeight="1">
      <c r="A5" s="3021" t="s">
        <v>1636</v>
      </c>
      <c r="B5" s="3021"/>
      <c r="C5" s="3021"/>
      <c r="D5" s="3022" t="e">
        <f ca="1">结果表!D119</f>
        <v>#REF!</v>
      </c>
      <c r="E5" s="3022"/>
      <c r="F5" s="3022" t="e">
        <f ca="1">结果表!F119</f>
        <v>#REF!</v>
      </c>
      <c r="G5" s="3022"/>
      <c r="H5" s="3022" t="str">
        <f ca="1">结果表!H119</f>
        <v>捌亿肆仟玖佰叁拾贰万元整</v>
      </c>
      <c r="I5" s="3022"/>
    </row>
    <row r="6" spans="1:9" ht="15.75">
      <c r="A6" s="3023" t="str">
        <f>结果表!A120</f>
        <v>估价师知悉的法定优先受偿款</v>
      </c>
      <c r="B6" s="3023"/>
      <c r="C6" s="3023"/>
      <c r="D6" s="3023">
        <f>结果表!D120</f>
        <v>0</v>
      </c>
      <c r="E6" s="3023"/>
      <c r="F6" s="3023"/>
      <c r="G6" s="3023"/>
      <c r="H6" s="3023"/>
      <c r="I6" s="3023"/>
    </row>
    <row r="7" spans="1:9" ht="15">
      <c r="A7" s="3021" t="s">
        <v>1636</v>
      </c>
      <c r="B7" s="3021"/>
      <c r="C7" s="3021"/>
      <c r="D7" s="3024" t="str">
        <f>结果表!D121</f>
        <v>零元整</v>
      </c>
      <c r="E7" s="3025"/>
      <c r="F7" s="3025"/>
      <c r="G7" s="3025"/>
      <c r="H7" s="3025"/>
      <c r="I7" s="3026"/>
    </row>
    <row r="8" spans="1:9" ht="15.75">
      <c r="A8" s="3023" t="str">
        <f>结果表!A122</f>
        <v>房地产抵押价值</v>
      </c>
      <c r="B8" s="3023"/>
      <c r="C8" s="3023"/>
      <c r="D8" s="3023">
        <f ca="1">结果表!D122</f>
        <v>84932</v>
      </c>
      <c r="E8" s="3023"/>
      <c r="F8" s="3023"/>
      <c r="G8" s="3023"/>
      <c r="H8" s="3023"/>
      <c r="I8" s="3023"/>
    </row>
    <row r="9" spans="1:9" ht="15">
      <c r="A9" s="3021" t="s">
        <v>1636</v>
      </c>
      <c r="B9" s="3021"/>
      <c r="C9" s="3021"/>
      <c r="D9" s="3022" t="str">
        <f ca="1">结果表!D123</f>
        <v>捌亿肆仟玖佰叁拾贰万元整</v>
      </c>
      <c r="E9" s="3022"/>
      <c r="F9" s="3022"/>
      <c r="G9" s="3022"/>
      <c r="H9" s="3022"/>
      <c r="I9" s="3022"/>
    </row>
    <row r="10" spans="1:9" ht="15.75">
      <c r="A10" s="3023" t="str">
        <f>结果表!A124</f>
        <v/>
      </c>
      <c r="B10" s="3023"/>
      <c r="C10" s="3023"/>
      <c r="D10" s="3023" t="str">
        <f>结果表!D124</f>
        <v>——</v>
      </c>
      <c r="E10" s="3023"/>
      <c r="F10" s="3023"/>
      <c r="G10" s="3023"/>
      <c r="H10" s="3023"/>
      <c r="I10" s="3023"/>
    </row>
    <row r="11" spans="1:9" ht="15">
      <c r="A11" s="3021" t="s">
        <v>1636</v>
      </c>
      <c r="B11" s="3021"/>
      <c r="C11" s="3021"/>
      <c r="D11" s="3022" t="e">
        <f>结果表!D125</f>
        <v>#VALUE!</v>
      </c>
      <c r="E11" s="3022"/>
      <c r="F11" s="3022"/>
      <c r="G11" s="3022"/>
      <c r="H11" s="3022"/>
      <c r="I11" s="3022"/>
    </row>
    <row r="12" spans="1:9" ht="15.75">
      <c r="A12" s="3023" t="str">
        <f>结果表!A126</f>
        <v>抵押净值</v>
      </c>
      <c r="B12" s="3023"/>
      <c r="C12" s="3023"/>
      <c r="D12" s="3023">
        <f ca="1">结果表!D126</f>
        <v>73412</v>
      </c>
      <c r="E12" s="3023"/>
      <c r="F12" s="3023"/>
      <c r="G12" s="3023"/>
      <c r="H12" s="3023"/>
      <c r="I12" s="3023"/>
    </row>
    <row r="13" spans="1:9" ht="15.75" thickBot="1">
      <c r="A13" s="3027" t="s">
        <v>1636</v>
      </c>
      <c r="B13" s="3027"/>
      <c r="C13" s="3027"/>
      <c r="D13" s="3028" t="str">
        <f ca="1">结果表!D127</f>
        <v>柒亿叁仟肆佰壹拾贰万元整</v>
      </c>
      <c r="E13" s="3028"/>
      <c r="F13" s="3028"/>
      <c r="G13" s="3028"/>
      <c r="H13" s="3028"/>
      <c r="I13" s="3028"/>
    </row>
    <row r="14" spans="1:9" ht="15" thickTop="1">
      <c r="A14" s="3029" t="s">
        <v>1641</v>
      </c>
      <c r="B14" s="3029"/>
      <c r="C14" s="3029"/>
      <c r="D14" s="3029"/>
      <c r="E14" s="3029"/>
      <c r="F14" s="3029"/>
      <c r="G14" s="3029"/>
      <c r="H14" s="3029"/>
      <c r="I14" s="302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30" t="s">
        <v>1658</v>
      </c>
      <c r="B1" s="3030"/>
      <c r="C1" s="3030"/>
      <c r="D1" s="3030"/>
    </row>
    <row r="2" spans="1:4" ht="18">
      <c r="A2" s="3031" t="s">
        <v>1642</v>
      </c>
      <c r="B2" s="3031"/>
      <c r="C2" s="3031"/>
      <c r="D2" s="3031"/>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031" t="s">
        <v>1648</v>
      </c>
      <c r="B6" s="3031"/>
      <c r="C6" s="3031"/>
      <c r="D6" s="3031"/>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32" t="s">
        <v>1651</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v>
      </c>
      <c r="B15" s="3033"/>
      <c r="C15" s="3033"/>
      <c r="D15" s="3033"/>
    </row>
    <row r="16" spans="1:4" ht="30" customHeight="1">
      <c r="A16" s="3036" t="s">
        <v>1652</v>
      </c>
      <c r="B16" s="3036"/>
      <c r="C16" s="3036"/>
      <c r="D16" s="3036"/>
    </row>
    <row r="17" spans="1:4" ht="144" customHeight="1">
      <c r="A17" s="3036" t="s">
        <v>1653</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1654</v>
      </c>
      <c r="B22" s="3038"/>
      <c r="C22" s="3038"/>
      <c r="D22" s="3038"/>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44" t="s">
        <v>1665</v>
      </c>
      <c r="B15" s="3039" t="s">
        <v>136</v>
      </c>
      <c r="C15" s="3040"/>
    </row>
    <row r="16" spans="1:7" ht="13.5">
      <c r="A16" s="3045"/>
      <c r="B16" s="3039" t="s">
        <v>69</v>
      </c>
      <c r="C16" s="3040"/>
    </row>
    <row r="17" spans="1:3" ht="13.5">
      <c r="A17" s="3045"/>
      <c r="B17" s="3042" t="s">
        <v>1666</v>
      </c>
      <c r="C17" s="1998" t="s">
        <v>1665</v>
      </c>
    </row>
    <row r="18" spans="1:3" ht="13.5">
      <c r="A18" s="3045"/>
      <c r="B18" s="3042"/>
      <c r="C18" s="1998" t="s">
        <v>1667</v>
      </c>
    </row>
    <row r="19" spans="1:3" ht="13.5">
      <c r="A19" s="3045"/>
      <c r="B19" s="3042"/>
      <c r="C19" s="1998" t="s">
        <v>1668</v>
      </c>
    </row>
    <row r="20" spans="1:3" ht="13.5">
      <c r="A20" s="3046"/>
      <c r="B20" s="3041" t="s">
        <v>1669</v>
      </c>
      <c r="C20" s="3040"/>
    </row>
    <row r="21" spans="1:3" ht="13.5">
      <c r="A21" s="1999" t="s">
        <v>1670</v>
      </c>
      <c r="B21" s="2000"/>
      <c r="C21" s="2001"/>
    </row>
    <row r="22" spans="1:3" ht="13.5">
      <c r="A22" s="3043" t="s">
        <v>1671</v>
      </c>
      <c r="B22" s="3041" t="s">
        <v>1672</v>
      </c>
      <c r="C22" s="3040"/>
    </row>
    <row r="23" spans="1:3" ht="13.5">
      <c r="A23" s="3043"/>
      <c r="B23" s="3041" t="s">
        <v>1673</v>
      </c>
      <c r="C23" s="3040"/>
    </row>
    <row r="24" spans="1:3" ht="13.5">
      <c r="A24" s="3043"/>
      <c r="B24" s="3041" t="s">
        <v>1674</v>
      </c>
      <c r="C24" s="3040"/>
    </row>
    <row r="25" spans="1:3" ht="13.5">
      <c r="A25" s="3043"/>
      <c r="B25" s="3042" t="s">
        <v>1675</v>
      </c>
      <c r="C25" s="1998" t="s">
        <v>1676</v>
      </c>
    </row>
    <row r="26" spans="1:3" ht="13.5">
      <c r="A26" s="3043"/>
      <c r="B26" s="3042"/>
      <c r="C26" s="1998" t="s">
        <v>1677</v>
      </c>
    </row>
    <row r="27" spans="1:3" ht="13.5">
      <c r="A27" s="3043"/>
      <c r="B27" s="3042"/>
      <c r="C27" s="1998" t="s">
        <v>1678</v>
      </c>
    </row>
    <row r="28" spans="1:3" ht="13.5">
      <c r="A28" s="3043"/>
      <c r="B28" s="3042"/>
      <c r="C28" s="1998" t="s">
        <v>1679</v>
      </c>
    </row>
    <row r="29" spans="1:3" ht="13.5">
      <c r="A29" s="3043"/>
      <c r="B29" s="3042"/>
      <c r="C29" s="1998" t="s">
        <v>1680</v>
      </c>
    </row>
    <row r="30" spans="1:3" ht="13.5">
      <c r="A30" s="3043"/>
      <c r="B30" s="3042"/>
      <c r="C30" s="1998" t="s">
        <v>1681</v>
      </c>
    </row>
    <row r="31" spans="1:3" ht="13.5">
      <c r="A31" s="3043"/>
      <c r="B31" s="3042"/>
      <c r="C31" s="1998" t="s">
        <v>1682</v>
      </c>
    </row>
    <row r="32" spans="1:3" ht="13.5">
      <c r="A32" s="3043"/>
      <c r="B32" s="3042"/>
      <c r="C32" s="1998" t="s">
        <v>1683</v>
      </c>
    </row>
    <row r="33" spans="1:3" ht="13.5">
      <c r="A33" s="3043"/>
      <c r="B33" s="304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43644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4"/>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3042</v>
      </c>
      <c r="B14" s="1020">
        <f ca="1">IF(C14&lt;B2,"已过期",1120040230)</f>
        <v>1120040230</v>
      </c>
      <c r="C14" s="2343">
        <v>43835</v>
      </c>
      <c r="D14" s="2346" t="s">
        <v>3042</v>
      </c>
      <c r="E14" s="1020">
        <f ca="1">IF(F14&lt;B2,"已过期",98030020)</f>
        <v>98030020</v>
      </c>
      <c r="F14" s="1028">
        <v>47118</v>
      </c>
    </row>
    <row r="15" spans="1:6" ht="24" customHeight="1">
      <c r="A15" s="1701" t="s">
        <v>3043</v>
      </c>
      <c r="B15" s="1020">
        <f ca="1">IF(C15&lt;B2,"已过期",1120070085)</f>
        <v>1120070085</v>
      </c>
      <c r="C15" s="2343">
        <v>43814</v>
      </c>
      <c r="D15" s="2347" t="s">
        <v>3043</v>
      </c>
      <c r="E15" s="1020">
        <f ca="1">IF(F15&lt;B2,"已过期",2004110128)</f>
        <v>2004110128</v>
      </c>
      <c r="F15" s="1021">
        <v>47118</v>
      </c>
    </row>
    <row r="16" spans="1:6" ht="24" customHeight="1">
      <c r="A16" s="1700" t="s">
        <v>3044</v>
      </c>
      <c r="B16" s="1020">
        <f ca="1">IF(C16&lt;B2,"已过期",1120140022)</f>
        <v>1120140022</v>
      </c>
      <c r="C16" s="2924">
        <v>44029</v>
      </c>
      <c r="D16" s="2346" t="s">
        <v>3044</v>
      </c>
      <c r="E16" s="1020">
        <f ca="1">IF(F16&lt;B2,"已过期",2008110059)</f>
        <v>2008110059</v>
      </c>
      <c r="F16" s="1028">
        <v>47177</v>
      </c>
    </row>
    <row r="17" spans="1:7" ht="24" customHeight="1">
      <c r="A17" s="1700"/>
      <c r="B17" s="1020"/>
      <c r="C17" s="2343"/>
      <c r="D17" s="2346" t="s">
        <v>3045</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4">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047" t="s">
        <v>843</v>
      </c>
      <c r="B25" s="3047"/>
      <c r="C25" s="3047"/>
      <c r="D25" s="3047"/>
      <c r="E25" s="3047"/>
      <c r="F25" s="3047"/>
      <c r="G25" s="3047"/>
    </row>
    <row r="26" spans="1:7" s="1023" customFormat="1" ht="24" customHeight="1">
      <c r="A26" s="3048" t="s">
        <v>844</v>
      </c>
      <c r="B26" s="3048"/>
      <c r="C26" s="3049"/>
      <c r="D26" s="3050" t="s">
        <v>845</v>
      </c>
      <c r="E26" s="3048"/>
      <c r="F26" s="3048"/>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 (2)</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房产明细</vt:lpstr>
      <vt:lpstr>Sheet2</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2019-06-28T02:22:19Z</cp:lastPrinted>
  <dcterms:created xsi:type="dcterms:W3CDTF">2015-07-13T07:17:23Z</dcterms:created>
  <dcterms:modified xsi:type="dcterms:W3CDTF">2019-06-28T08:26:28Z</dcterms:modified>
</cp:coreProperties>
</file>