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702北京市东城区东直门外小街18号31层3110、3111\"/>
    </mc:Choice>
  </mc:AlternateContent>
  <bookViews>
    <workbookView xWindow="0" yWindow="0" windowWidth="22728" windowHeight="13128"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假设开发法" sheetId="12" state="hidden" r:id="rId21"/>
    <sheet name="收益法" sheetId="15" state="hidden" r:id="rId22"/>
    <sheet name="案例" sheetId="80" r:id="rId23"/>
    <sheet name="中指成交" sheetId="81" r:id="rId24"/>
    <sheet name="收益法 (元)" sheetId="67" r:id="rId25"/>
    <sheet name="收益法-酒店模型" sheetId="77" state="hidden" r:id="rId26"/>
    <sheet name="收益法（汇总）" sheetId="70" state="hidden" r:id="rId27"/>
    <sheet name="成本法 (元)" sheetId="69"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 name="租金" sheetId="82"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S15" i="80"/>
  <c r="D5" i="9" l="1"/>
  <c r="G37" i="21"/>
  <c r="E37" i="21"/>
  <c r="P58" i="21"/>
  <c r="Q58" i="21" s="1"/>
  <c r="R58" i="21" s="1"/>
  <c r="S58" i="21" s="1"/>
  <c r="T58" i="21" s="1"/>
  <c r="U58" i="21" s="1"/>
  <c r="V58" i="21" s="1"/>
  <c r="F59" i="21"/>
  <c r="G59" i="21" s="1"/>
  <c r="H59" i="21"/>
  <c r="E59" i="21"/>
  <c r="D59" i="21"/>
  <c r="C33" i="21"/>
  <c r="AH6" i="1"/>
  <c r="D33" i="43"/>
  <c r="G5" i="21"/>
  <c r="N18" i="1"/>
  <c r="I59" i="21" l="1"/>
  <c r="J59" i="21" l="1"/>
  <c r="K59" i="21"/>
  <c r="L59" i="21"/>
  <c r="M59" i="21" l="1"/>
  <c r="N59" i="21"/>
  <c r="O59" i="21"/>
  <c r="Q59" i="21" l="1"/>
  <c r="P59" i="21"/>
  <c r="R59" i="21"/>
  <c r="U59" i="21" l="1"/>
  <c r="V59" i="21" s="1"/>
  <c r="S59" i="21"/>
  <c r="T59" i="21"/>
  <c r="F19" i="6" l="1"/>
  <c r="O357" i="80"/>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T34" i="79" s="1"/>
  <c r="W34" i="79" s="1"/>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AD45"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V80" i="7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O39" i="71"/>
  <c r="N39" i="71"/>
  <c r="X39" i="71"/>
  <c r="Q38" i="71"/>
  <c r="AB38" i="71" s="1"/>
  <c r="P38" i="71"/>
  <c r="AA38" i="71" s="1"/>
  <c r="O38" i="71"/>
  <c r="N38" i="71"/>
  <c r="Q37" i="71"/>
  <c r="AB37" i="71" s="1"/>
  <c r="P37" i="71"/>
  <c r="O37" i="71"/>
  <c r="Y37" i="71" s="1"/>
  <c r="Z37" i="71" s="1"/>
  <c r="N37" i="71"/>
  <c r="B38" i="71" s="1"/>
  <c r="D37" i="71"/>
  <c r="Q36" i="71"/>
  <c r="P36" i="71"/>
  <c r="AA35" i="71" s="1"/>
  <c r="O36" i="71"/>
  <c r="N36" i="71"/>
  <c r="X36" i="71" s="1"/>
  <c r="Q35" i="71"/>
  <c r="AB35" i="71"/>
  <c r="P35" i="71"/>
  <c r="O35" i="71"/>
  <c r="Y35" i="71" s="1"/>
  <c r="Z35" i="71"/>
  <c r="N35" i="71"/>
  <c r="Q34" i="71"/>
  <c r="AB34" i="71" s="1"/>
  <c r="P34" i="71"/>
  <c r="AA34" i="71" s="1"/>
  <c r="O34" i="71"/>
  <c r="N34" i="71"/>
  <c r="Q33" i="71"/>
  <c r="P33" i="71"/>
  <c r="E34" i="71" s="1"/>
  <c r="E35" i="71" s="1"/>
  <c r="E36" i="71" s="1"/>
  <c r="U36"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X25" i="71" s="1"/>
  <c r="D29" i="71"/>
  <c r="O28" i="71"/>
  <c r="N28" i="71"/>
  <c r="B28" i="71" s="1"/>
  <c r="B30" i="71"/>
  <c r="B31" i="71" s="1"/>
  <c r="B32" i="71" s="1"/>
  <c r="S32" i="71" s="1"/>
  <c r="B34" i="71"/>
  <c r="B35" i="71" s="1"/>
  <c r="B36" i="71" s="1"/>
  <c r="S36" i="71" s="1"/>
  <c r="B39" i="71"/>
  <c r="B40" i="71" s="1"/>
  <c r="S40" i="71" s="1"/>
  <c r="E38" i="71"/>
  <c r="E39" i="71" s="1"/>
  <c r="E40" i="71"/>
  <c r="U40" i="71" s="1"/>
  <c r="N68" i="71"/>
  <c r="C30" i="71"/>
  <c r="X31" i="71"/>
  <c r="X34" i="71"/>
  <c r="C38" i="71"/>
  <c r="D30" i="71"/>
  <c r="D47" i="71"/>
  <c r="D46" i="71"/>
  <c r="P28" i="71"/>
  <c r="U68" i="71"/>
  <c r="E67" i="71"/>
  <c r="Q28" i="71"/>
  <c r="D54" i="71"/>
  <c r="C59" i="71"/>
  <c r="D58" i="71"/>
  <c r="D62" i="71"/>
  <c r="N67" i="71"/>
  <c r="B66" i="71"/>
  <c r="N65" i="71" s="1"/>
  <c r="T68" i="71"/>
  <c r="O68" i="71"/>
  <c r="D68" i="71"/>
  <c r="Q68" i="71"/>
  <c r="E71" i="71"/>
  <c r="E70" i="71" s="1"/>
  <c r="D72" i="71"/>
  <c r="C75" i="71"/>
  <c r="D75" i="71" s="1"/>
  <c r="D76" i="71"/>
  <c r="E79" i="71"/>
  <c r="E78" i="71" s="1"/>
  <c r="D80" i="71"/>
  <c r="C87" i="71"/>
  <c r="C86" i="71" s="1"/>
  <c r="D86" i="71" s="1"/>
  <c r="F28" i="71"/>
  <c r="F27" i="71" s="1"/>
  <c r="F26" i="71"/>
  <c r="C74" i="71"/>
  <c r="D74" i="71" s="1"/>
  <c r="N66" i="71"/>
  <c r="C60" i="71"/>
  <c r="D60" i="71" s="1"/>
  <c r="D59"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S21" i="34"/>
  <c r="H25" i="40"/>
  <c r="AB25" i="40" s="1"/>
  <c r="J25" i="40"/>
  <c r="H29" i="39"/>
  <c r="AB29" i="39" s="1"/>
  <c r="J29" i="39"/>
  <c r="J18" i="36"/>
  <c r="AC18" i="36" s="1"/>
  <c r="H18" i="35"/>
  <c r="AB18" i="35" s="1"/>
  <c r="J18" i="35"/>
  <c r="H21" i="37"/>
  <c r="F21" i="37"/>
  <c r="AA21" i="37" s="1"/>
  <c r="F84" i="34"/>
  <c r="G84" i="34" s="1"/>
  <c r="H21" i="34"/>
  <c r="AB21" i="34" s="1"/>
  <c r="H21" i="33"/>
  <c r="U21" i="33" s="1"/>
  <c r="F21" i="33"/>
  <c r="AA21" i="33"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B5" i="3" s="1"/>
  <c r="BC556" i="3"/>
  <c r="BD556" i="3"/>
  <c r="BE556" i="3"/>
  <c r="BF556" i="3"/>
  <c r="BG556" i="3"/>
  <c r="BH556" i="3"/>
  <c r="BI556" i="3"/>
  <c r="BJ556" i="3"/>
  <c r="BJ5" i="3" s="1"/>
  <c r="BK556" i="3"/>
  <c r="BM556" i="3"/>
  <c r="BN556" i="3"/>
  <c r="BO556" i="3"/>
  <c r="BP556" i="3"/>
  <c r="BQ556" i="3"/>
  <c r="BR556" i="3"/>
  <c r="BS556" i="3"/>
  <c r="BS5" i="3" s="1"/>
  <c r="BT556" i="3"/>
  <c r="H557" i="3"/>
  <c r="BB557" i="3"/>
  <c r="BC557" i="3"/>
  <c r="BA557" i="3" s="1"/>
  <c r="AZ557" i="3" s="1"/>
  <c r="BD557" i="3"/>
  <c r="BE557" i="3"/>
  <c r="BF557" i="3"/>
  <c r="BG557" i="3"/>
  <c r="BH557" i="3"/>
  <c r="BI557" i="3"/>
  <c r="BJ557" i="3"/>
  <c r="BK557" i="3"/>
  <c r="BK5" i="3" s="1"/>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R5" i="3" s="1"/>
  <c r="BS559" i="3"/>
  <c r="BT559" i="3"/>
  <c r="H560" i="3"/>
  <c r="AC560" i="3"/>
  <c r="G560" i="3" s="1"/>
  <c r="BB560" i="3"/>
  <c r="BC560" i="3"/>
  <c r="BD560" i="3"/>
  <c r="BE560" i="3"/>
  <c r="BE5" i="3" s="1"/>
  <c r="BF560" i="3"/>
  <c r="BG560" i="3"/>
  <c r="BH560" i="3"/>
  <c r="BI560" i="3"/>
  <c r="BI5" i="3" s="1"/>
  <c r="BJ560" i="3"/>
  <c r="BK560" i="3"/>
  <c r="BM560" i="3"/>
  <c r="BN560" i="3"/>
  <c r="BN5" i="3" s="1"/>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G563" i="3" s="1"/>
  <c r="AC563" i="3"/>
  <c r="BB563" i="3"/>
  <c r="BC563" i="3"/>
  <c r="BD563" i="3"/>
  <c r="BE563" i="3"/>
  <c r="BF563" i="3"/>
  <c r="BG563" i="3"/>
  <c r="BH563" i="3"/>
  <c r="BI563" i="3"/>
  <c r="BJ563" i="3"/>
  <c r="BK563" i="3"/>
  <c r="BM563" i="3"/>
  <c r="BN563" i="3"/>
  <c r="BO563" i="3"/>
  <c r="BL563" i="3" s="1"/>
  <c r="AZ563" i="3" s="1"/>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c r="G64" i="36" s="1"/>
  <c r="J16" i="36"/>
  <c r="W16" i="36" s="1"/>
  <c r="D62" i="36"/>
  <c r="E62" i="36" s="1"/>
  <c r="F62" i="36" s="1"/>
  <c r="G62" i="36" s="1"/>
  <c r="B59" i="36"/>
  <c r="F13" i="36" s="1"/>
  <c r="B57" i="36"/>
  <c r="H12" i="36" s="1"/>
  <c r="J12" i="36"/>
  <c r="W12" i="36" s="1"/>
  <c r="B55" i="36"/>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B57" i="35"/>
  <c r="B61" i="35"/>
  <c r="B59" i="35"/>
  <c r="B131" i="34"/>
  <c r="B129" i="34"/>
  <c r="J46" i="34" s="1"/>
  <c r="B127" i="34"/>
  <c r="B99" i="34"/>
  <c r="B97" i="34"/>
  <c r="B95" i="34"/>
  <c r="H30" i="34" s="1"/>
  <c r="B93" i="34"/>
  <c r="B75" i="34"/>
  <c r="J14" i="34" s="1"/>
  <c r="W14" i="34" s="1"/>
  <c r="B73" i="34"/>
  <c r="B71" i="34"/>
  <c r="B130" i="33"/>
  <c r="B128" i="33"/>
  <c r="F45" i="33" s="1"/>
  <c r="B126" i="33"/>
  <c r="B98" i="33"/>
  <c r="F31" i="33" s="1"/>
  <c r="B96" i="33"/>
  <c r="B94" i="33"/>
  <c r="B74" i="33"/>
  <c r="B72" i="33"/>
  <c r="H13" i="33" s="1"/>
  <c r="U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J9" i="34"/>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s="1"/>
  <c r="J45" i="39"/>
  <c r="W45" i="39" s="1"/>
  <c r="J44" i="39"/>
  <c r="AC44" i="39"/>
  <c r="F36" i="39"/>
  <c r="S36" i="39" s="1"/>
  <c r="H36" i="39"/>
  <c r="J35" i="39"/>
  <c r="AC35" i="39" s="1"/>
  <c r="F35" i="39"/>
  <c r="AA35" i="39"/>
  <c r="J36" i="39"/>
  <c r="AC36" i="39" s="1"/>
  <c r="U9"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3" i="33"/>
  <c r="H39" i="37"/>
  <c r="AB39" i="37" s="1"/>
  <c r="S27" i="35"/>
  <c r="F11" i="40"/>
  <c r="AA11" i="40"/>
  <c r="H11" i="40"/>
  <c r="AB11" i="40"/>
  <c r="AB39" i="40"/>
  <c r="AA9" i="40"/>
  <c r="U9" i="40"/>
  <c r="S34" i="40"/>
  <c r="U38" i="40"/>
  <c r="U34" i="40"/>
  <c r="S38" i="40"/>
  <c r="F42" i="39"/>
  <c r="AA42" i="39" s="1"/>
  <c r="F41" i="39"/>
  <c r="S41" i="39" s="1"/>
  <c r="H40" i="39"/>
  <c r="AB40" i="39" s="1"/>
  <c r="H39" i="39"/>
  <c r="U39" i="39" s="1"/>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S44" i="39"/>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s="1"/>
  <c r="J44" i="34"/>
  <c r="F44" i="34"/>
  <c r="J10" i="35"/>
  <c r="AC10" i="35" s="1"/>
  <c r="J14" i="21"/>
  <c r="W14" i="21"/>
  <c r="F14" i="21"/>
  <c r="S14" i="21" s="1"/>
  <c r="H14" i="21"/>
  <c r="U14" i="21" s="1"/>
  <c r="H28" i="21"/>
  <c r="AB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27" i="33"/>
  <c r="AA27" i="33" s="1"/>
  <c r="J13" i="33"/>
  <c r="F13" i="33"/>
  <c r="S13" i="33" s="1"/>
  <c r="J29" i="33"/>
  <c r="J31" i="33"/>
  <c r="H31" i="33"/>
  <c r="H45" i="33"/>
  <c r="J45" i="33"/>
  <c r="W45" i="33" s="1"/>
  <c r="AA45" i="33"/>
  <c r="F14" i="34"/>
  <c r="H14" i="34"/>
  <c r="F30" i="34"/>
  <c r="S30" i="34" s="1"/>
  <c r="J30" i="34"/>
  <c r="F32" i="34"/>
  <c r="H46" i="34"/>
  <c r="U46" i="34" s="1"/>
  <c r="F46" i="34"/>
  <c r="S46" i="34" s="1"/>
  <c r="H11" i="35"/>
  <c r="AB11" i="35" s="1"/>
  <c r="J26" i="36"/>
  <c r="W26" i="36" s="1"/>
  <c r="H28" i="36"/>
  <c r="U28" i="36" s="1"/>
  <c r="J11" i="36"/>
  <c r="AC11" i="36" s="1"/>
  <c r="H11" i="36"/>
  <c r="U11" i="36" s="1"/>
  <c r="F11" i="36"/>
  <c r="AA11" i="36" s="1"/>
  <c r="H13" i="36"/>
  <c r="AB13" i="36" s="1"/>
  <c r="J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AB13" i="39" s="1"/>
  <c r="H14" i="40"/>
  <c r="AB14" i="40"/>
  <c r="J14" i="40"/>
  <c r="W14" i="40" s="1"/>
  <c r="F14" i="40"/>
  <c r="AA14" i="40" s="1"/>
  <c r="J14" i="37"/>
  <c r="J27" i="37"/>
  <c r="AC27" i="37"/>
  <c r="AA44" i="33"/>
  <c r="U46" i="33"/>
  <c r="AA14" i="33"/>
  <c r="J36" i="37"/>
  <c r="AC36" i="37" s="1"/>
  <c r="J10" i="36"/>
  <c r="AC10" i="36" s="1"/>
  <c r="AB26" i="33"/>
  <c r="W31" i="34"/>
  <c r="S11" i="36"/>
  <c r="AB46" i="34"/>
  <c r="S45" i="33"/>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4" i="3"/>
  <c r="G554" i="3"/>
  <c r="G550" i="3"/>
  <c r="BL584" i="3"/>
  <c r="AZ584" i="3" s="1"/>
  <c r="BL580" i="3"/>
  <c r="BL576" i="3"/>
  <c r="BL572" i="3"/>
  <c r="BL560" i="3"/>
  <c r="BL554" i="3"/>
  <c r="BL546" i="3"/>
  <c r="BL542" i="3"/>
  <c r="BL538" i="3"/>
  <c r="AZ538" i="3" s="1"/>
  <c r="BL534" i="3"/>
  <c r="BL530" i="3"/>
  <c r="BL526" i="3"/>
  <c r="BL522" i="3"/>
  <c r="AZ522" i="3" s="1"/>
  <c r="BL516" i="3"/>
  <c r="BL512" i="3"/>
  <c r="BL506" i="3"/>
  <c r="BL502" i="3"/>
  <c r="AZ502" i="3" s="1"/>
  <c r="BL498" i="3"/>
  <c r="BL494" i="3"/>
  <c r="BL582" i="3"/>
  <c r="BL578" i="3"/>
  <c r="BL574" i="3"/>
  <c r="BL570"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56" i="3"/>
  <c r="BA554" i="3"/>
  <c r="AZ554" i="3" s="1"/>
  <c r="BA552" i="3"/>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BA508" i="3"/>
  <c r="BA506" i="3"/>
  <c r="BA504" i="3"/>
  <c r="AZ504" i="3" s="1"/>
  <c r="BA502" i="3"/>
  <c r="BA500" i="3"/>
  <c r="BA498" i="3"/>
  <c r="AZ498" i="3" s="1"/>
  <c r="BA496" i="3"/>
  <c r="AZ496" i="3" s="1"/>
  <c r="BA494" i="3"/>
  <c r="BA587" i="3"/>
  <c r="BA583" i="3"/>
  <c r="BA581" i="3"/>
  <c r="BA579" i="3"/>
  <c r="AZ579" i="3" s="1"/>
  <c r="BA577" i="3"/>
  <c r="BA575" i="3"/>
  <c r="AZ575" i="3" s="1"/>
  <c r="BA573" i="3"/>
  <c r="BA571" i="3"/>
  <c r="BA563"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BA493" i="3"/>
  <c r="G583" i="3"/>
  <c r="G581" i="3"/>
  <c r="G579" i="3"/>
  <c r="G577" i="3"/>
  <c r="G575" i="3"/>
  <c r="G573" i="3"/>
  <c r="G571" i="3"/>
  <c r="G565" i="3"/>
  <c r="AC557" i="3"/>
  <c r="BQ557" i="3"/>
  <c r="BL557" i="3" s="1"/>
  <c r="BQ583" i="3"/>
  <c r="BL583" i="3" s="1"/>
  <c r="BQ581" i="3"/>
  <c r="BL581" i="3" s="1"/>
  <c r="BQ579" i="3"/>
  <c r="BL579" i="3" s="1"/>
  <c r="BQ577" i="3"/>
  <c r="BL577" i="3" s="1"/>
  <c r="AZ577" i="3" s="1"/>
  <c r="BQ575" i="3"/>
  <c r="BL575" i="3"/>
  <c r="BQ573" i="3"/>
  <c r="BL573" i="3" s="1"/>
  <c r="AZ573" i="3" s="1"/>
  <c r="BQ571" i="3"/>
  <c r="BL571" i="3" s="1"/>
  <c r="BQ569" i="3"/>
  <c r="BQ567" i="3"/>
  <c r="BQ565" i="3"/>
  <c r="BQ563" i="3"/>
  <c r="BQ561" i="3"/>
  <c r="BQ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AA13" i="33"/>
  <c r="W44" i="33"/>
  <c r="U11" i="33"/>
  <c r="U19" i="21"/>
  <c r="F43" i="33"/>
  <c r="AA43" i="33" s="1"/>
  <c r="W15" i="34"/>
  <c r="AC15" i="34"/>
  <c r="W16" i="35"/>
  <c r="W40" i="37"/>
  <c r="H19" i="34"/>
  <c r="AB19" i="34" s="1"/>
  <c r="J9" i="37"/>
  <c r="W9" i="37" s="1"/>
  <c r="H9" i="37"/>
  <c r="U9" i="37" s="1"/>
  <c r="F9" i="37"/>
  <c r="S9" i="37" s="1"/>
  <c r="J12" i="37"/>
  <c r="W12" i="37" s="1"/>
  <c r="H12" i="37"/>
  <c r="AB12" i="37" s="1"/>
  <c r="F12" i="37"/>
  <c r="S12"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19" i="40"/>
  <c r="S19" i="40" s="1"/>
  <c r="S14" i="40"/>
  <c r="AC13" i="40"/>
  <c r="W23" i="39"/>
  <c r="AC43" i="39"/>
  <c r="W43" i="39"/>
  <c r="U45" i="39"/>
  <c r="AB45" i="39"/>
  <c r="AB44" i="39"/>
  <c r="U44" i="39"/>
  <c r="G100"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BL164" i="3"/>
  <c r="G165" i="3"/>
  <c r="BA167" i="3"/>
  <c r="AZ167" i="3"/>
  <c r="BL168" i="3"/>
  <c r="G169" i="3"/>
  <c r="BA171" i="3"/>
  <c r="AZ171" i="3"/>
  <c r="BL172" i="3"/>
  <c r="G173" i="3"/>
  <c r="BA175" i="3"/>
  <c r="AZ175" i="3"/>
  <c r="BL176" i="3"/>
  <c r="G177" i="3"/>
  <c r="BA179" i="3"/>
  <c r="BL180" i="3"/>
  <c r="AZ180" i="3" s="1"/>
  <c r="G181" i="3"/>
  <c r="BA183" i="3"/>
  <c r="BL184" i="3"/>
  <c r="AZ184" i="3" s="1"/>
  <c r="G185" i="3"/>
  <c r="BA187" i="3"/>
  <c r="AZ187" i="3" s="1"/>
  <c r="BL188" i="3"/>
  <c r="G189" i="3"/>
  <c r="BA191" i="3"/>
  <c r="AZ191" i="3" s="1"/>
  <c r="BL192" i="3"/>
  <c r="G193" i="3"/>
  <c r="BA195" i="3"/>
  <c r="AZ195" i="3" s="1"/>
  <c r="BL196" i="3"/>
  <c r="AZ196" i="3"/>
  <c r="G197" i="3"/>
  <c r="BA199" i="3"/>
  <c r="BL200" i="3"/>
  <c r="G201" i="3"/>
  <c r="BA203" i="3"/>
  <c r="BL204" i="3"/>
  <c r="AZ67"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57" i="3"/>
  <c r="AZ265" i="3"/>
  <c r="BA379" i="3"/>
  <c r="AZ379" i="3" s="1"/>
  <c r="BL380" i="3"/>
  <c r="G381" i="3"/>
  <c r="BA383" i="3"/>
  <c r="AZ383" i="3" s="1"/>
  <c r="BL384" i="3"/>
  <c r="AZ384" i="3" s="1"/>
  <c r="G385" i="3"/>
  <c r="BA387" i="3"/>
  <c r="BL388" i="3"/>
  <c r="G389" i="3"/>
  <c r="BA391" i="3"/>
  <c r="AZ391" i="3" s="1"/>
  <c r="BL392" i="3"/>
  <c r="G393" i="3"/>
  <c r="AZ283" i="3"/>
  <c r="BO5" i="3"/>
  <c r="BF5" i="3"/>
  <c r="AC5" i="3"/>
  <c r="AZ506" i="3"/>
  <c r="G548" i="3"/>
  <c r="G538" i="3"/>
  <c r="G520" i="3"/>
  <c r="G502" i="3"/>
  <c r="BP5" i="3"/>
  <c r="BG5" i="3"/>
  <c r="G17" i="3"/>
  <c r="BA17" i="3"/>
  <c r="BA15" i="3"/>
  <c r="AZ15" i="3" s="1"/>
  <c r="AZ380" i="3"/>
  <c r="AZ499" i="3"/>
  <c r="G509" i="3"/>
  <c r="BL493" i="3"/>
  <c r="AZ493" i="3" s="1"/>
  <c r="U36" i="40"/>
  <c r="F83" i="43"/>
  <c r="H85" i="43" s="1"/>
  <c r="F50" i="43"/>
  <c r="H54" i="43" s="1"/>
  <c r="F72" i="43"/>
  <c r="H75" i="43" s="1"/>
  <c r="U17" i="39"/>
  <c r="U43" i="21"/>
  <c r="U35" i="21"/>
  <c r="AC35" i="21"/>
  <c r="G10" i="1"/>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0" i="3"/>
  <c r="AZ280" i="3"/>
  <c r="AZ50" i="3"/>
  <c r="AZ82" i="3"/>
  <c r="AZ94"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12" i="3"/>
  <c r="AZ433" i="3"/>
  <c r="W12" i="33"/>
  <c r="AC12" i="33"/>
  <c r="AZ437" i="3"/>
  <c r="BL14" i="3"/>
  <c r="U30" i="33"/>
  <c r="AA47" i="34"/>
  <c r="W28" i="37"/>
  <c r="S19" i="39"/>
  <c r="F12" i="33"/>
  <c r="AA12" i="33" s="1"/>
  <c r="H12" i="39"/>
  <c r="AB12" i="39"/>
  <c r="F39" i="40"/>
  <c r="AA39" i="40" s="1"/>
  <c r="BA14" i="3"/>
  <c r="AZ14" i="3" s="1"/>
  <c r="AZ224" i="3"/>
  <c r="B12" i="1"/>
  <c r="E12" i="1" s="1"/>
  <c r="B10" i="1"/>
  <c r="E10" i="1" s="1"/>
  <c r="AZ88" i="3"/>
  <c r="K12" i="1"/>
  <c r="M12" i="1" s="1"/>
  <c r="S13" i="1"/>
  <c r="AR13" i="1" s="1"/>
  <c r="R13" i="1"/>
  <c r="J51" i="67"/>
  <c r="C42" i="1"/>
  <c r="C24" i="12" s="1"/>
  <c r="AA34" i="33"/>
  <c r="B41" i="1"/>
  <c r="F48" i="9" s="1"/>
  <c r="O52" i="9" s="1"/>
  <c r="AB37" i="40"/>
  <c r="S35" i="40"/>
  <c r="U35" i="40"/>
  <c r="AC36" i="40"/>
  <c r="AA32" i="40"/>
  <c r="S17" i="40"/>
  <c r="S23" i="40"/>
  <c r="AC17" i="40"/>
  <c r="AB27" i="40"/>
  <c r="S30" i="40"/>
  <c r="S28" i="40"/>
  <c r="AA27" i="40"/>
  <c r="U21" i="40"/>
  <c r="AB19" i="40"/>
  <c r="S43"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26" i="36"/>
  <c r="S33" i="36"/>
  <c r="AA26" i="36"/>
  <c r="AA34" i="36"/>
  <c r="AC26" i="36"/>
  <c r="AA22" i="36"/>
  <c r="W14" i="36"/>
  <c r="AB14" i="36"/>
  <c r="U22" i="36"/>
  <c r="S16" i="36"/>
  <c r="AA25" i="36"/>
  <c r="U23" i="36"/>
  <c r="AB20" i="36"/>
  <c r="U16" i="36"/>
  <c r="S14" i="36"/>
  <c r="S23" i="35"/>
  <c r="W24" i="35"/>
  <c r="AB13" i="35"/>
  <c r="U29" i="35"/>
  <c r="U28" i="35"/>
  <c r="AB27" i="35"/>
  <c r="U32" i="35"/>
  <c r="AA33" i="35"/>
  <c r="AC30" i="35"/>
  <c r="S32" i="35"/>
  <c r="S28" i="35"/>
  <c r="U22" i="35"/>
  <c r="S20" i="35"/>
  <c r="AC20" i="35"/>
  <c r="U14" i="35"/>
  <c r="AC9" i="35"/>
  <c r="W9" i="35"/>
  <c r="W13" i="35"/>
  <c r="F9" i="35"/>
  <c r="S9" i="35" s="1"/>
  <c r="H9" i="35"/>
  <c r="U9" i="35" s="1"/>
  <c r="AB40" i="37"/>
  <c r="W27" i="37"/>
  <c r="AC29" i="37"/>
  <c r="U29" i="37"/>
  <c r="S32" i="37"/>
  <c r="AB31" i="37"/>
  <c r="W30" i="37"/>
  <c r="S36" i="37"/>
  <c r="AA38" i="37"/>
  <c r="AC35" i="37"/>
  <c r="W39" i="37"/>
  <c r="S30" i="37"/>
  <c r="AC15" i="37"/>
  <c r="J17" i="37"/>
  <c r="W17" i="37" s="1"/>
  <c r="G73" i="37"/>
  <c r="F17" i="37"/>
  <c r="AA17" i="37" s="1"/>
  <c r="AB17" i="37"/>
  <c r="F75" i="37"/>
  <c r="F19" i="37"/>
  <c r="S19" i="37" s="1"/>
  <c r="F79" i="37"/>
  <c r="F23" i="37"/>
  <c r="S23" i="37" s="1"/>
  <c r="U23" i="37"/>
  <c r="U15"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H10" i="34"/>
  <c r="AB10" i="34" s="1"/>
  <c r="F11" i="34"/>
  <c r="S11" i="34" s="1"/>
  <c r="F70" i="34"/>
  <c r="W42" i="33"/>
  <c r="AA35"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F85" i="33"/>
  <c r="G85" i="33" s="1"/>
  <c r="H23" i="33"/>
  <c r="F81" i="33"/>
  <c r="F19" i="33"/>
  <c r="S19" i="33" s="1"/>
  <c r="J17" i="33"/>
  <c r="F79" i="33"/>
  <c r="G79" i="33" s="1"/>
  <c r="S15" i="33"/>
  <c r="W15" i="33"/>
  <c r="U9" i="33"/>
  <c r="J10" i="33"/>
  <c r="W10" i="33" s="1"/>
  <c r="H10" i="33"/>
  <c r="U10" i="33" s="1"/>
  <c r="AC11" i="33"/>
  <c r="W36" i="21"/>
  <c r="W41" i="21"/>
  <c r="AB39" i="21"/>
  <c r="AA43" i="21"/>
  <c r="AA36" i="21"/>
  <c r="J15" i="21"/>
  <c r="W15" i="21" s="1"/>
  <c r="F77" i="21"/>
  <c r="G77" i="2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E5" i="6"/>
  <c r="E32" i="6"/>
  <c r="G1" i="68"/>
  <c r="K1" i="12"/>
  <c r="E19" i="69"/>
  <c r="E19" i="68"/>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S33" i="40"/>
  <c r="AA15" i="40"/>
  <c r="U11" i="40"/>
  <c r="S31" i="40"/>
  <c r="AB13" i="40"/>
  <c r="U15" i="40"/>
  <c r="AB17" i="40"/>
  <c r="U8" i="40"/>
  <c r="S8" i="40"/>
  <c r="AA39" i="39"/>
  <c r="AC41" i="39"/>
  <c r="U42" i="39"/>
  <c r="U41" i="39"/>
  <c r="W25" i="39"/>
  <c r="AC25" i="39"/>
  <c r="U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A13" i="36"/>
  <c r="W22" i="36"/>
  <c r="S24" i="35"/>
  <c r="S35" i="35"/>
  <c r="W35" i="35"/>
  <c r="AA16" i="35"/>
  <c r="AA35" i="37"/>
  <c r="W36" i="37"/>
  <c r="S27" i="37"/>
  <c r="S28" i="37"/>
  <c r="W32" i="37"/>
  <c r="U36" i="37"/>
  <c r="S40" i="37"/>
  <c r="AC34" i="37"/>
  <c r="AB35" i="37"/>
  <c r="AA31" i="37"/>
  <c r="U19" i="37"/>
  <c r="AA29" i="37"/>
  <c r="U8" i="37"/>
  <c r="AA40" i="34"/>
  <c r="AB40" i="34"/>
  <c r="U19" i="34"/>
  <c r="W19" i="34"/>
  <c r="AB33" i="34"/>
  <c r="AC45" i="34"/>
  <c r="AA31" i="34"/>
  <c r="AB45" i="34"/>
  <c r="U25" i="34"/>
  <c r="AB36" i="34"/>
  <c r="W33" i="34"/>
  <c r="AC14" i="34"/>
  <c r="AC29" i="34"/>
  <c r="W29" i="34"/>
  <c r="W46" i="34"/>
  <c r="AC46" i="34"/>
  <c r="S32" i="34"/>
  <c r="AA32" i="34"/>
  <c r="U30" i="34"/>
  <c r="AB30" i="34"/>
  <c r="S37" i="34"/>
  <c r="U38" i="34"/>
  <c r="AC40" i="34"/>
  <c r="W40" i="34"/>
  <c r="AA19" i="34"/>
  <c r="S19" i="34"/>
  <c r="AA36" i="34"/>
  <c r="S36" i="34"/>
  <c r="AA8" i="34"/>
  <c r="S8" i="34"/>
  <c r="AB9" i="34"/>
  <c r="U9"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AB14" i="21"/>
  <c r="AB46" i="21"/>
  <c r="AB31" i="21"/>
  <c r="U31" i="21"/>
  <c r="AC15" i="21"/>
  <c r="U13" i="21"/>
  <c r="AB13" i="21"/>
  <c r="H15" i="21"/>
  <c r="U15" i="21" s="1"/>
  <c r="J17" i="21"/>
  <c r="AC17" i="21"/>
  <c r="AC19" i="21"/>
  <c r="W39" i="21"/>
  <c r="AC14" i="21"/>
  <c r="W30" i="21"/>
  <c r="S46" i="21"/>
  <c r="F29" i="21"/>
  <c r="AA29" i="21" s="1"/>
  <c r="F13" i="21"/>
  <c r="AA13" i="21" s="1"/>
  <c r="AC38" i="21"/>
  <c r="H32" i="21"/>
  <c r="AB32" i="21" s="1"/>
  <c r="H9" i="21"/>
  <c r="AB9" i="21" s="1"/>
  <c r="J9" i="21"/>
  <c r="W9" i="21" s="1"/>
  <c r="J32" i="21"/>
  <c r="W32" i="21" s="1"/>
  <c r="F32" i="21"/>
  <c r="AA32" i="21" s="1"/>
  <c r="AA31" i="21"/>
  <c r="U17" i="21"/>
  <c r="W29" i="21"/>
  <c r="S19" i="21"/>
  <c r="K141" i="21"/>
  <c r="K144" i="21"/>
  <c r="K143" i="21"/>
  <c r="AB25" i="21"/>
  <c r="AA30" i="21"/>
  <c r="W13" i="21"/>
  <c r="F10" i="21"/>
  <c r="AA10" i="21" s="1"/>
  <c r="K145" i="21"/>
  <c r="W17" i="21"/>
  <c r="W25" i="21"/>
  <c r="W31" i="21"/>
  <c r="S17" i="21"/>
  <c r="AB29" i="21"/>
  <c r="AB36" i="21"/>
  <c r="C19" i="39"/>
  <c r="C15" i="40"/>
  <c r="C17" i="40"/>
  <c r="C23" i="40"/>
  <c r="C21" i="40"/>
  <c r="U30" i="40"/>
  <c r="B56" i="43"/>
  <c r="B67" i="43"/>
  <c r="B51" i="43"/>
  <c r="B54" i="43"/>
  <c r="B58" i="43"/>
  <c r="B62" i="43"/>
  <c r="B65" i="43"/>
  <c r="B69" i="43"/>
  <c r="D23" i="15"/>
  <c r="D22" i="15"/>
  <c r="E4" i="4"/>
  <c r="B5" i="62" s="1"/>
  <c r="B73" i="72" s="1"/>
  <c r="C4" i="4"/>
  <c r="F30" i="11"/>
  <c r="C48" i="11" s="1"/>
  <c r="S39" i="40"/>
  <c r="S12" i="33"/>
  <c r="J32" i="39"/>
  <c r="AC32" i="39" s="1"/>
  <c r="H32" i="39"/>
  <c r="AB32" i="39" s="1"/>
  <c r="AA32" i="39"/>
  <c r="S32" i="39"/>
  <c r="AB21" i="39"/>
  <c r="U21" i="39"/>
  <c r="S21" i="39"/>
  <c r="S17" i="37"/>
  <c r="J19" i="37"/>
  <c r="W19" i="37" s="1"/>
  <c r="G75" i="37"/>
  <c r="AA19"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AA19" i="33"/>
  <c r="H19" i="33"/>
  <c r="U19" i="33" s="1"/>
  <c r="G81" i="33"/>
  <c r="H17" i="33"/>
  <c r="U17" i="33" s="1"/>
  <c r="F17" i="33"/>
  <c r="S17" i="33" s="1"/>
  <c r="W17" i="33"/>
  <c r="AC17" i="33"/>
  <c r="AA23" i="21"/>
  <c r="AB15" i="21"/>
  <c r="J23" i="21"/>
  <c r="W23" i="21" s="1"/>
  <c r="F85" i="21"/>
  <c r="G85" i="21" s="1"/>
  <c r="H23" i="21"/>
  <c r="AB23" i="21" s="1"/>
  <c r="AP7" i="1"/>
  <c r="A18" i="62"/>
  <c r="B64" i="72" s="1"/>
  <c r="U32" i="39"/>
  <c r="W32" i="39"/>
  <c r="W23" i="37"/>
  <c r="AC23" i="37"/>
  <c r="J11" i="37"/>
  <c r="AC11" i="37" s="1"/>
  <c r="J11" i="34"/>
  <c r="W11" i="34" s="1"/>
  <c r="AB36" i="33"/>
  <c r="W27" i="33"/>
  <c r="AC27" i="33"/>
  <c r="W25" i="33"/>
  <c r="AC25" i="33"/>
  <c r="AB19" i="33"/>
  <c r="U23" i="21"/>
  <c r="AC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67"/>
  <c r="E11" i="76"/>
  <c r="M26" i="15"/>
  <c r="F40" i="15"/>
  <c r="F16" i="67"/>
  <c r="E13" i="76"/>
  <c r="F38" i="15"/>
  <c r="M8" i="15"/>
  <c r="L48" i="15"/>
  <c r="F37" i="67"/>
  <c r="M24" i="15"/>
  <c r="F20" i="31"/>
  <c r="B12" i="76"/>
  <c r="C76" i="15"/>
  <c r="F3" i="73"/>
  <c r="C76" i="67"/>
  <c r="M9" i="15"/>
  <c r="F36" i="67"/>
  <c r="F4" i="73"/>
  <c r="F38" i="67"/>
  <c r="M26" i="67"/>
  <c r="F6" i="73"/>
  <c r="M29" i="67"/>
  <c r="M8" i="67"/>
  <c r="F6" i="15"/>
  <c r="F7" i="15"/>
  <c r="F16" i="15"/>
  <c r="M24" i="67"/>
  <c r="J15" i="15"/>
  <c r="B9" i="76"/>
  <c r="B13" i="76"/>
  <c r="E2" i="69"/>
  <c r="B8" i="76"/>
  <c r="M28" i="15"/>
  <c r="D6" i="73"/>
  <c r="D34" i="9"/>
  <c r="B7" i="76"/>
  <c r="F26" i="15"/>
  <c r="M6" i="15"/>
  <c r="F9" i="15"/>
  <c r="E9" i="76"/>
  <c r="F42" i="15"/>
  <c r="F8" i="15"/>
  <c r="M29" i="15"/>
  <c r="F7" i="73"/>
  <c r="F37" i="15"/>
  <c r="E12" i="76"/>
  <c r="M23" i="15"/>
  <c r="AO13" i="1"/>
  <c r="F36" i="15"/>
  <c r="E2" i="68"/>
  <c r="F13" i="15"/>
  <c r="M6" i="67"/>
  <c r="L47" i="15"/>
  <c r="E7" i="76"/>
  <c r="B11" i="76"/>
  <c r="D35" i="9"/>
  <c r="F5" i="73"/>
  <c r="E10" i="76"/>
  <c r="B10" i="76"/>
  <c r="M9" i="67"/>
  <c r="F43" i="15"/>
  <c r="M22" i="15"/>
  <c r="E8" i="76"/>
  <c r="M28" i="67"/>
  <c r="F27" i="21" l="1"/>
  <c r="AC27" i="21"/>
  <c r="H27" i="21"/>
  <c r="W42" i="21"/>
  <c r="S42" i="21"/>
  <c r="AB42" i="21"/>
  <c r="J37" i="21"/>
  <c r="W37" i="21" s="1"/>
  <c r="F37" i="21"/>
  <c r="AA37" i="21" s="1"/>
  <c r="H37" i="21"/>
  <c r="U37" i="21" s="1"/>
  <c r="F89" i="21"/>
  <c r="H26" i="21"/>
  <c r="AB26" i="21" s="1"/>
  <c r="F26" i="21"/>
  <c r="AA26" i="21" s="1"/>
  <c r="AB44" i="21"/>
  <c r="S44" i="21"/>
  <c r="W44" i="21"/>
  <c r="U40" i="21"/>
  <c r="AC40" i="21"/>
  <c r="S39" i="21"/>
  <c r="AA38" i="21"/>
  <c r="AC34" i="21"/>
  <c r="U34" i="21"/>
  <c r="S32" i="21"/>
  <c r="U32" i="21"/>
  <c r="B57" i="43"/>
  <c r="C29" i="39"/>
  <c r="B68" i="43"/>
  <c r="U9" i="21"/>
  <c r="AA9" i="21"/>
  <c r="H69" i="43"/>
  <c r="F30" i="68"/>
  <c r="F48" i="68" s="1"/>
  <c r="M18" i="15"/>
  <c r="F54" i="9"/>
  <c r="F32" i="15"/>
  <c r="F60" i="15" s="1"/>
  <c r="M18" i="67"/>
  <c r="F52" i="9"/>
  <c r="BA13" i="3"/>
  <c r="BT5" i="3"/>
  <c r="G29" i="6"/>
  <c r="BH5" i="3"/>
  <c r="BD5" i="3"/>
  <c r="A4" i="52"/>
  <c r="B41" i="72" s="1"/>
  <c r="A118" i="9"/>
  <c r="AB37" i="39"/>
  <c r="U37" i="39"/>
  <c r="AZ314" i="3"/>
  <c r="AZ556" i="3"/>
  <c r="J45" i="21"/>
  <c r="F45" i="21"/>
  <c r="AB26" i="37"/>
  <c r="U26" i="37"/>
  <c r="BL558" i="3"/>
  <c r="AA17" i="33"/>
  <c r="S37" i="21"/>
  <c r="D68" i="9"/>
  <c r="F30" i="69"/>
  <c r="F48" i="69" s="1"/>
  <c r="F31" i="12"/>
  <c r="S35" i="21"/>
  <c r="U28" i="21"/>
  <c r="AB47" i="34"/>
  <c r="AB37" i="37"/>
  <c r="U24" i="35"/>
  <c r="AB20" i="35"/>
  <c r="U32" i="40"/>
  <c r="W43" i="21"/>
  <c r="S13" i="34"/>
  <c r="AC13" i="37"/>
  <c r="AC15" i="40"/>
  <c r="AC34" i="33"/>
  <c r="U12" i="40"/>
  <c r="AC11" i="39"/>
  <c r="AZ345" i="3"/>
  <c r="AZ334" i="3"/>
  <c r="AZ372" i="3"/>
  <c r="AZ337" i="3"/>
  <c r="AZ376" i="3"/>
  <c r="AZ309" i="3"/>
  <c r="AZ527" i="3"/>
  <c r="AZ508" i="3"/>
  <c r="BA558" i="3"/>
  <c r="AZ558" i="3" s="1"/>
  <c r="AB30" i="21"/>
  <c r="U33" i="40"/>
  <c r="AB33" i="40"/>
  <c r="U45" i="33"/>
  <c r="AB45" i="33"/>
  <c r="AC38" i="34"/>
  <c r="S41" i="33"/>
  <c r="W28" i="34"/>
  <c r="AC28" i="34"/>
  <c r="U17" i="34"/>
  <c r="AB17" i="34"/>
  <c r="G585" i="3"/>
  <c r="BL587" i="3"/>
  <c r="AZ587" i="3" s="1"/>
  <c r="BL586" i="3"/>
  <c r="AZ586" i="3" s="1"/>
  <c r="BA585" i="3"/>
  <c r="AC8" i="34"/>
  <c r="W8" i="34"/>
  <c r="AA35" i="34"/>
  <c r="S35" i="34"/>
  <c r="J12" i="34"/>
  <c r="H12" i="34"/>
  <c r="J11" i="35"/>
  <c r="F11" i="35"/>
  <c r="F25" i="35"/>
  <c r="J25" i="35"/>
  <c r="J24" i="36"/>
  <c r="H24" i="36"/>
  <c r="F24" i="36"/>
  <c r="F32" i="36"/>
  <c r="H32" i="36"/>
  <c r="AB30" i="37"/>
  <c r="U30" i="37"/>
  <c r="AC40" i="39"/>
  <c r="W40" i="39"/>
  <c r="J37" i="39"/>
  <c r="F37" i="39"/>
  <c r="AC9" i="21"/>
  <c r="D6" i="52"/>
  <c r="AB27" i="33"/>
  <c r="AA23" i="37"/>
  <c r="F28" i="15"/>
  <c r="C28" i="15" s="1"/>
  <c r="F32" i="67"/>
  <c r="F60" i="67" s="1"/>
  <c r="F28" i="67"/>
  <c r="AA15" i="21"/>
  <c r="H45" i="21"/>
  <c r="AA46" i="34"/>
  <c r="W23" i="36"/>
  <c r="AB28" i="36"/>
  <c r="S13" i="40"/>
  <c r="W27" i="40"/>
  <c r="AB28" i="40"/>
  <c r="AB14" i="33"/>
  <c r="S37" i="37"/>
  <c r="S22" i="35"/>
  <c r="AB16" i="35"/>
  <c r="U13" i="36"/>
  <c r="AA19" i="40"/>
  <c r="W38" i="40"/>
  <c r="BC5" i="3"/>
  <c r="AZ387" i="3"/>
  <c r="AZ362" i="3"/>
  <c r="AZ338" i="3"/>
  <c r="AZ390" i="3"/>
  <c r="AZ371" i="3"/>
  <c r="AZ351" i="3"/>
  <c r="AZ336" i="3"/>
  <c r="AZ305" i="3"/>
  <c r="AZ360" i="3"/>
  <c r="AZ571" i="3"/>
  <c r="AZ510" i="3"/>
  <c r="AZ552" i="3"/>
  <c r="S14" i="34"/>
  <c r="AA14" i="34"/>
  <c r="AA44" i="34"/>
  <c r="S44" i="34"/>
  <c r="U34" i="37"/>
  <c r="S29" i="35"/>
  <c r="AA29" i="35"/>
  <c r="S38" i="39"/>
  <c r="AB36" i="39"/>
  <c r="U36" i="39"/>
  <c r="F28" i="21"/>
  <c r="J28" i="21"/>
  <c r="W39" i="33"/>
  <c r="AC39" i="33"/>
  <c r="J23" i="35"/>
  <c r="H23" i="35"/>
  <c r="H9" i="36"/>
  <c r="AB9" i="36" s="1"/>
  <c r="J9" i="36"/>
  <c r="H38" i="37"/>
  <c r="J38" i="37"/>
  <c r="AA34" i="39"/>
  <c r="S34" i="39"/>
  <c r="AC8" i="40"/>
  <c r="W8" i="40"/>
  <c r="BA569" i="3"/>
  <c r="BA568" i="3"/>
  <c r="AZ568" i="3" s="1"/>
  <c r="BL566" i="3"/>
  <c r="AZ566" i="3" s="1"/>
  <c r="BL564" i="3"/>
  <c r="AZ564" i="3" s="1"/>
  <c r="BA561" i="3"/>
  <c r="AZ561" i="3" s="1"/>
  <c r="BA560" i="3"/>
  <c r="AZ560" i="3" s="1"/>
  <c r="BL556" i="3"/>
  <c r="S13" i="21"/>
  <c r="AC17" i="37"/>
  <c r="W30" i="40"/>
  <c r="AA30" i="34"/>
  <c r="U29" i="34"/>
  <c r="W19" i="33"/>
  <c r="S27" i="33"/>
  <c r="U32" i="37"/>
  <c r="AC13" i="34"/>
  <c r="S14" i="35"/>
  <c r="BM5" i="3"/>
  <c r="F29" i="6" s="1"/>
  <c r="AZ318" i="3"/>
  <c r="AZ306" i="3"/>
  <c r="W35" i="40"/>
  <c r="U40" i="39"/>
  <c r="H5" i="3"/>
  <c r="AC45" i="33"/>
  <c r="BL569" i="3"/>
  <c r="AZ503" i="3"/>
  <c r="AZ520" i="3"/>
  <c r="S14" i="37"/>
  <c r="AA14" i="37"/>
  <c r="H25" i="35"/>
  <c r="J32" i="36"/>
  <c r="W32" i="36" s="1"/>
  <c r="W31" i="33"/>
  <c r="AC31" i="33"/>
  <c r="AB23" i="34"/>
  <c r="W36" i="34"/>
  <c r="AC36" i="34"/>
  <c r="S38" i="33"/>
  <c r="S40" i="21"/>
  <c r="W31" i="37"/>
  <c r="U38" i="21"/>
  <c r="AB38" i="21"/>
  <c r="BL585" i="3"/>
  <c r="B97" i="43"/>
  <c r="B75" i="43"/>
  <c r="AC9" i="34"/>
  <c r="W9" i="34"/>
  <c r="H29" i="33"/>
  <c r="F29" i="33"/>
  <c r="H32" i="34"/>
  <c r="J32" i="34"/>
  <c r="F12" i="35"/>
  <c r="J12" i="35"/>
  <c r="H12" i="35"/>
  <c r="H36" i="35"/>
  <c r="F36" i="35"/>
  <c r="AC31" i="40"/>
  <c r="W31" i="40"/>
  <c r="AZ217" i="3"/>
  <c r="AZ531" i="3"/>
  <c r="BL559" i="3"/>
  <c r="AZ559" i="3" s="1"/>
  <c r="AZ583" i="3"/>
  <c r="AZ576" i="3"/>
  <c r="G587" i="3"/>
  <c r="G570" i="3"/>
  <c r="AZ487" i="3"/>
  <c r="AZ228" i="3"/>
  <c r="AZ539" i="3"/>
  <c r="BL565" i="3"/>
  <c r="AZ565" i="3" s="1"/>
  <c r="G557" i="3"/>
  <c r="AZ529" i="3"/>
  <c r="AZ537" i="3"/>
  <c r="AZ518" i="3"/>
  <c r="AZ526" i="3"/>
  <c r="AZ546" i="3"/>
  <c r="AZ580" i="3"/>
  <c r="H25" i="37"/>
  <c r="F25" i="37"/>
  <c r="AZ458" i="3"/>
  <c r="AZ462" i="3"/>
  <c r="AZ398" i="3"/>
  <c r="AZ425" i="3"/>
  <c r="AZ451" i="3"/>
  <c r="AZ454" i="3"/>
  <c r="AZ459" i="3"/>
  <c r="AZ469" i="3"/>
  <c r="AZ483" i="3"/>
  <c r="BA551" i="3"/>
  <c r="AZ551" i="3" s="1"/>
  <c r="BA550" i="3"/>
  <c r="AZ550" i="3" s="1"/>
  <c r="BL548" i="3"/>
  <c r="AZ548" i="3" s="1"/>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AZ446" i="3" s="1"/>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L385" i="3"/>
  <c r="BA212" i="3"/>
  <c r="BA218" i="3"/>
  <c r="AZ218" i="3" s="1"/>
  <c r="BL218" i="3"/>
  <c r="BA225" i="3"/>
  <c r="BA227" i="3"/>
  <c r="AZ227" i="3" s="1"/>
  <c r="BL230" i="3"/>
  <c r="BL231" i="3"/>
  <c r="BA251" i="3"/>
  <c r="BL251" i="3"/>
  <c r="BL275" i="3"/>
  <c r="AZ275" i="3" s="1"/>
  <c r="BL285" i="3"/>
  <c r="BL400" i="3"/>
  <c r="AZ400" i="3" s="1"/>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A392" i="3"/>
  <c r="AZ392" i="3" s="1"/>
  <c r="BA395" i="3"/>
  <c r="AZ395" i="3" s="1"/>
  <c r="BA208" i="3"/>
  <c r="AZ208" i="3" s="1"/>
  <c r="BA249" i="3"/>
  <c r="BL249" i="3"/>
  <c r="BL299" i="3"/>
  <c r="G551" i="3"/>
  <c r="BL550" i="3"/>
  <c r="G542" i="3"/>
  <c r="BL398" i="3"/>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AZ428" i="3" s="1"/>
  <c r="BA429" i="3"/>
  <c r="AZ429" i="3" s="1"/>
  <c r="BA430" i="3"/>
  <c r="AZ430" i="3" s="1"/>
  <c r="BA432" i="3"/>
  <c r="BA434" i="3"/>
  <c r="BA436" i="3"/>
  <c r="BA438" i="3"/>
  <c r="G442" i="3"/>
  <c r="G443" i="3"/>
  <c r="BA446" i="3"/>
  <c r="BA450" i="3"/>
  <c r="BA453" i="3"/>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85" i="3"/>
  <c r="G397" i="3"/>
  <c r="G210" i="3"/>
  <c r="BA214" i="3"/>
  <c r="BA216" i="3"/>
  <c r="AZ216" i="3" s="1"/>
  <c r="BL219" i="3"/>
  <c r="BL220" i="3"/>
  <c r="BL221" i="3"/>
  <c r="BL223" i="3"/>
  <c r="BA229" i="3"/>
  <c r="BL229" i="3"/>
  <c r="BA233" i="3"/>
  <c r="AZ233" i="3" s="1"/>
  <c r="BL235" i="3"/>
  <c r="AZ235" i="3" s="1"/>
  <c r="BL236" i="3"/>
  <c r="BL238" i="3"/>
  <c r="BL243" i="3"/>
  <c r="BA247" i="3"/>
  <c r="BL247" i="3"/>
  <c r="BL252" i="3"/>
  <c r="BA253" i="3"/>
  <c r="BL259" i="3"/>
  <c r="BL260" i="3"/>
  <c r="BL263" i="3"/>
  <c r="BA270" i="3"/>
  <c r="AZ270" i="3" s="1"/>
  <c r="BA272" i="3"/>
  <c r="AZ272" i="3" s="1"/>
  <c r="G287" i="3"/>
  <c r="BA290" i="3"/>
  <c r="BA293" i="3"/>
  <c r="BL113" i="3"/>
  <c r="BL115" i="3"/>
  <c r="AZ115" i="3" s="1"/>
  <c r="BA118" i="3"/>
  <c r="AZ118" i="3" s="1"/>
  <c r="BL118" i="3"/>
  <c r="BA122" i="3"/>
  <c r="AZ122" i="3" s="1"/>
  <c r="BL125" i="3"/>
  <c r="AZ125" i="3" s="1"/>
  <c r="BL126" i="3"/>
  <c r="BA178" i="3"/>
  <c r="AZ178" i="3" s="1"/>
  <c r="AZ25" i="3"/>
  <c r="F40" i="68"/>
  <c r="C21" i="68"/>
  <c r="C40" i="68"/>
  <c r="U76" i="71"/>
  <c r="E75" i="71"/>
  <c r="E74" i="71" s="1"/>
  <c r="BA210" i="3"/>
  <c r="BL210" i="3"/>
  <c r="BL212" i="3"/>
  <c r="BL214" i="3"/>
  <c r="BL225" i="3"/>
  <c r="BL226" i="3"/>
  <c r="BA239" i="3"/>
  <c r="AZ239" i="3" s="1"/>
  <c r="BL239" i="3"/>
  <c r="BA241" i="3"/>
  <c r="BL241" i="3"/>
  <c r="BA244" i="3"/>
  <c r="AZ244" i="3" s="1"/>
  <c r="BL244" i="3"/>
  <c r="BA246" i="3"/>
  <c r="BA252" i="3"/>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302" i="3"/>
  <c r="AZ302" i="3" s="1"/>
  <c r="G115" i="3"/>
  <c r="BA117" i="3"/>
  <c r="G134" i="3"/>
  <c r="BL134" i="3"/>
  <c r="BL137" i="3"/>
  <c r="G143" i="3"/>
  <c r="BA144" i="3"/>
  <c r="AZ144" i="3" s="1"/>
  <c r="BA149" i="3"/>
  <c r="AZ149" i="3" s="1"/>
  <c r="BA153" i="3"/>
  <c r="G158" i="3"/>
  <c r="BL163" i="3"/>
  <c r="AZ163" i="3" s="1"/>
  <c r="BA164" i="3"/>
  <c r="AZ164" i="3" s="1"/>
  <c r="BA166" i="3"/>
  <c r="AZ166" i="3" s="1"/>
  <c r="G175" i="3"/>
  <c r="BA176" i="3"/>
  <c r="AZ176" i="3" s="1"/>
  <c r="BA188" i="3"/>
  <c r="AZ188" i="3" s="1"/>
  <c r="BL189" i="3"/>
  <c r="AZ189" i="3" s="1"/>
  <c r="BL190" i="3"/>
  <c r="G31" i="3"/>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8" i="3"/>
  <c r="AZ128" i="3" s="1"/>
  <c r="BA148" i="3"/>
  <c r="AZ148" i="3" s="1"/>
  <c r="G155" i="3"/>
  <c r="BA168" i="3"/>
  <c r="AZ168" i="3" s="1"/>
  <c r="G184" i="3"/>
  <c r="BA185" i="3"/>
  <c r="AZ38" i="3"/>
  <c r="E28" i="71"/>
  <c r="AA27" i="71"/>
  <c r="AA28" i="71"/>
  <c r="AA3" i="71"/>
  <c r="C28" i="71"/>
  <c r="Y28" i="71"/>
  <c r="Z28" i="71" s="1"/>
  <c r="Y25" i="71"/>
  <c r="Z25" i="71" s="1"/>
  <c r="Y27" i="71"/>
  <c r="Z27" i="71" s="1"/>
  <c r="D34" i="71"/>
  <c r="C35" i="71"/>
  <c r="C44" i="71"/>
  <c r="D43" i="71"/>
  <c r="BA192" i="3"/>
  <c r="AZ192" i="3" s="1"/>
  <c r="BL197" i="3"/>
  <c r="BL199" i="3"/>
  <c r="AZ199" i="3" s="1"/>
  <c r="BA200" i="3"/>
  <c r="AZ200" i="3" s="1"/>
  <c r="BA202" i="3"/>
  <c r="BL207" i="3"/>
  <c r="BL18" i="3"/>
  <c r="BL19" i="3"/>
  <c r="BA20" i="3"/>
  <c r="AZ20" i="3" s="1"/>
  <c r="BL25" i="3"/>
  <c r="BL27" i="3"/>
  <c r="BA28" i="3"/>
  <c r="AZ28" i="3" s="1"/>
  <c r="BA31" i="3"/>
  <c r="BA32" i="3"/>
  <c r="G38" i="3"/>
  <c r="BA38" i="3"/>
  <c r="BL47" i="3"/>
  <c r="AZ47" i="3" s="1"/>
  <c r="G50" i="3"/>
  <c r="G52" i="3"/>
  <c r="BA52" i="3"/>
  <c r="BL62" i="3"/>
  <c r="AZ62" i="3" s="1"/>
  <c r="BL63" i="3"/>
  <c r="AZ63" i="3" s="1"/>
  <c r="BL72" i="3"/>
  <c r="BL75" i="3"/>
  <c r="BA102" i="3"/>
  <c r="AC29" i="39"/>
  <c r="W29" i="39"/>
  <c r="P27" i="6"/>
  <c r="AA39" i="71"/>
  <c r="AA37" i="71"/>
  <c r="D56" i="71"/>
  <c r="T56" i="71"/>
  <c r="T80" i="71"/>
  <c r="C79" i="71"/>
  <c r="BA130" i="3"/>
  <c r="AZ130" i="3" s="1"/>
  <c r="BL130" i="3"/>
  <c r="BA137" i="3"/>
  <c r="BL138" i="3"/>
  <c r="BA140" i="3"/>
  <c r="AZ140" i="3" s="1"/>
  <c r="BA142" i="3"/>
  <c r="BL149" i="3"/>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G22" i="3"/>
  <c r="G24" i="3"/>
  <c r="G25" i="3"/>
  <c r="G27" i="3"/>
  <c r="BA27" i="3"/>
  <c r="G30" i="3"/>
  <c r="BL30" i="3"/>
  <c r="BL31" i="3"/>
  <c r="G35" i="3"/>
  <c r="G36" i="3"/>
  <c r="G37" i="3"/>
  <c r="G40" i="3"/>
  <c r="BL40" i="3"/>
  <c r="AZ40" i="3" s="1"/>
  <c r="G41" i="3"/>
  <c r="BA55" i="3"/>
  <c r="BL57" i="3"/>
  <c r="AZ57" i="3" s="1"/>
  <c r="G59" i="3"/>
  <c r="BL70" i="3"/>
  <c r="AZ70" i="3" s="1"/>
  <c r="BL71" i="3"/>
  <c r="AZ71" i="3" s="1"/>
  <c r="BA79" i="3"/>
  <c r="AZ79" i="3" s="1"/>
  <c r="G82" i="3"/>
  <c r="BL83" i="3"/>
  <c r="G88" i="3"/>
  <c r="BA90" i="3"/>
  <c r="G98" i="3"/>
  <c r="BA105" i="3"/>
  <c r="AZ105" i="3" s="1"/>
  <c r="D55" i="71"/>
  <c r="C31" i="71"/>
  <c r="F34" i="71"/>
  <c r="F35" i="71" s="1"/>
  <c r="F36" i="71" s="1"/>
  <c r="V36" i="71" s="1"/>
  <c r="AB33" i="71"/>
  <c r="AB32" i="71"/>
  <c r="AB27" i="71"/>
  <c r="X38" i="71"/>
  <c r="X26" i="71"/>
  <c r="C64" i="71"/>
  <c r="D63" i="7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2" i="3"/>
  <c r="BL52" i="3"/>
  <c r="G53" i="3"/>
  <c r="BL53" i="3"/>
  <c r="AZ53" i="3" s="1"/>
  <c r="BA65" i="3"/>
  <c r="AZ65" i="3" s="1"/>
  <c r="BA66" i="3"/>
  <c r="AZ66" i="3" s="1"/>
  <c r="BA72" i="3"/>
  <c r="AZ72" i="3" s="1"/>
  <c r="BL76" i="3"/>
  <c r="BL77" i="3"/>
  <c r="AZ77" i="3" s="1"/>
  <c r="BL91" i="3"/>
  <c r="G92" i="3"/>
  <c r="BL92" i="3"/>
  <c r="AZ100" i="3"/>
  <c r="G102" i="3"/>
  <c r="G108" i="3"/>
  <c r="AA18" i="36"/>
  <c r="S18" i="36"/>
  <c r="D38" i="71"/>
  <c r="C39" i="71"/>
  <c r="B27" i="71"/>
  <c r="B26" i="71" s="1"/>
  <c r="S28" i="71"/>
  <c r="Y30" i="71"/>
  <c r="Z30" i="71" s="1"/>
  <c r="Y29" i="71"/>
  <c r="Z29" i="71" s="1"/>
  <c r="D50" i="71"/>
  <c r="C51" i="71"/>
  <c r="D67" i="71"/>
  <c r="C66" i="71"/>
  <c r="O67" i="71"/>
  <c r="T72" i="71"/>
  <c r="C71" i="71"/>
  <c r="D84" i="71"/>
  <c r="C83" i="71"/>
  <c r="V24" i="71"/>
  <c r="E23" i="71"/>
  <c r="E22" i="71" s="1"/>
  <c r="E21" i="71" s="1"/>
  <c r="E20" i="71" s="1"/>
  <c r="E19" i="71" s="1"/>
  <c r="E18" i="71" s="1"/>
  <c r="E17" i="71" s="1"/>
  <c r="E16" i="71" s="1"/>
  <c r="G47" i="3"/>
  <c r="BL48" i="3"/>
  <c r="BL54" i="3"/>
  <c r="BL55" i="3"/>
  <c r="G58" i="3"/>
  <c r="BA59" i="3"/>
  <c r="BL61" i="3"/>
  <c r="G64" i="3"/>
  <c r="BA64" i="3"/>
  <c r="AZ64" i="3" s="1"/>
  <c r="G67" i="3"/>
  <c r="BL68" i="3"/>
  <c r="BA69" i="3"/>
  <c r="AZ69" i="3" s="1"/>
  <c r="G72" i="3"/>
  <c r="BL73" i="3"/>
  <c r="BA74" i="3"/>
  <c r="AZ74" i="3" s="1"/>
  <c r="BA75" i="3"/>
  <c r="AZ75" i="3" s="1"/>
  <c r="G81" i="3"/>
  <c r="G85" i="3"/>
  <c r="BL85" i="3"/>
  <c r="BA86" i="3"/>
  <c r="AZ86" i="3" s="1"/>
  <c r="BA87" i="3"/>
  <c r="BA91" i="3"/>
  <c r="G96" i="3"/>
  <c r="BL97" i="3"/>
  <c r="AZ97" i="3" s="1"/>
  <c r="BL101" i="3"/>
  <c r="AZ101" i="3" s="1"/>
  <c r="BL102" i="3"/>
  <c r="G104" i="3"/>
  <c r="G105" i="3"/>
  <c r="BL106" i="3"/>
  <c r="BA108" i="3"/>
  <c r="BA110" i="3"/>
  <c r="AZ110" i="3" s="1"/>
  <c r="F3" i="35"/>
  <c r="S21" i="33"/>
  <c r="S21" i="37"/>
  <c r="B77" i="43"/>
  <c r="AB25" i="71"/>
  <c r="X33" i="71"/>
  <c r="BL41" i="3"/>
  <c r="AZ41" i="3" s="1"/>
  <c r="G45" i="3"/>
  <c r="BL45" i="3"/>
  <c r="AZ45" i="3" s="1"/>
  <c r="BA48" i="3"/>
  <c r="BA49" i="3"/>
  <c r="AZ49" i="3" s="1"/>
  <c r="BA51" i="3"/>
  <c r="AZ51" i="3" s="1"/>
  <c r="G54" i="3"/>
  <c r="G55" i="3"/>
  <c r="BL56" i="3"/>
  <c r="BA58" i="3"/>
  <c r="AZ58" i="3" s="1"/>
  <c r="BL59" i="3"/>
  <c r="BL60" i="3"/>
  <c r="BA61" i="3"/>
  <c r="AZ61" i="3" s="1"/>
  <c r="BA68" i="3"/>
  <c r="BA73" i="3"/>
  <c r="AZ73" i="3" s="1"/>
  <c r="BA80" i="3"/>
  <c r="G84" i="3"/>
  <c r="BL84" i="3"/>
  <c r="AZ84" i="3" s="1"/>
  <c r="BA89" i="3"/>
  <c r="G99" i="3"/>
  <c r="BA103" i="3"/>
  <c r="AZ103" i="3" s="1"/>
  <c r="BA104" i="3"/>
  <c r="BA106" i="3"/>
  <c r="AZ106" i="3" s="1"/>
  <c r="BL108" i="3"/>
  <c r="G110" i="3"/>
  <c r="BL111" i="3"/>
  <c r="C5" i="68"/>
  <c r="P66" i="71"/>
  <c r="AB26" i="71"/>
  <c r="X35" i="71"/>
  <c r="X28" i="71"/>
  <c r="X32" i="71"/>
  <c r="F38" i="71"/>
  <c r="F39" i="71" s="1"/>
  <c r="F40" i="71" s="1"/>
  <c r="V40" i="71" s="1"/>
  <c r="B79" i="71"/>
  <c r="B78" i="71" s="1"/>
  <c r="BA111" i="3"/>
  <c r="AZ111" i="3" s="1"/>
  <c r="D87" i="71"/>
  <c r="AB28" i="71"/>
  <c r="Q67"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50" i="3"/>
  <c r="G28" i="6"/>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K16"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M7" i="15"/>
  <c r="J6" i="15" s="1"/>
  <c r="F50" i="15"/>
  <c r="F51" i="15"/>
  <c r="F71" i="15"/>
  <c r="C6" i="15"/>
  <c r="F66" i="67"/>
  <c r="L59" i="15"/>
  <c r="N59" i="15"/>
  <c r="L58" i="15"/>
  <c r="M59" i="15"/>
  <c r="F66" i="15"/>
  <c r="Q71" i="67"/>
  <c r="F64" i="15"/>
  <c r="C27" i="15"/>
  <c r="F65" i="15"/>
  <c r="B13" i="70"/>
  <c r="F64" i="67"/>
  <c r="F68" i="15"/>
  <c r="D9" i="68"/>
  <c r="D9" i="69"/>
  <c r="F42" i="67"/>
  <c r="F40" i="67"/>
  <c r="C16" i="15"/>
  <c r="F43" i="67"/>
  <c r="F7" i="67"/>
  <c r="D5" i="73"/>
  <c r="F13" i="67"/>
  <c r="L48" i="67"/>
  <c r="D4" i="73"/>
  <c r="F9" i="67"/>
  <c r="C36" i="69"/>
  <c r="M23" i="67"/>
  <c r="L47" i="67"/>
  <c r="F8" i="67"/>
  <c r="F26" i="67"/>
  <c r="F27" i="69"/>
  <c r="M22" i="67"/>
  <c r="D7" i="73"/>
  <c r="F6" i="67"/>
  <c r="D3" i="73"/>
  <c r="AA27" i="21" l="1"/>
  <c r="S27" i="21"/>
  <c r="AB27" i="21"/>
  <c r="U27" i="21"/>
  <c r="AC37" i="21"/>
  <c r="U26" i="21"/>
  <c r="S26" i="21"/>
  <c r="G89" i="21"/>
  <c r="H89" i="21" s="1"/>
  <c r="I89" i="21" s="1"/>
  <c r="J89" i="21" s="1"/>
  <c r="K89" i="21" s="1"/>
  <c r="L89" i="21" s="1"/>
  <c r="M89" i="21" s="1"/>
  <c r="J26" i="21"/>
  <c r="C36" i="68"/>
  <c r="G26" i="43"/>
  <c r="J26" i="43"/>
  <c r="E59" i="40"/>
  <c r="N94" i="46"/>
  <c r="F26" i="43"/>
  <c r="D26" i="43" s="1"/>
  <c r="C25" i="43" s="1"/>
  <c r="E26" i="43"/>
  <c r="J53" i="67"/>
  <c r="F1" i="67" s="1"/>
  <c r="J57" i="67"/>
  <c r="J55" i="67" s="1"/>
  <c r="J58" i="67" s="1"/>
  <c r="Q50" i="67" s="1"/>
  <c r="L56" i="67"/>
  <c r="I54" i="67"/>
  <c r="F68" i="67"/>
  <c r="N59" i="67"/>
  <c r="L59" i="67"/>
  <c r="Q74" i="67" s="1"/>
  <c r="L58" i="67"/>
  <c r="Q73" i="67" s="1"/>
  <c r="M59" i="67"/>
  <c r="C27" i="67"/>
  <c r="F71" i="67"/>
  <c r="M7" i="67"/>
  <c r="J6" i="67" s="1"/>
  <c r="J18" i="67" s="1"/>
  <c r="F50" i="67"/>
  <c r="C6" i="67"/>
  <c r="C32" i="67" s="1"/>
  <c r="F31" i="67"/>
  <c r="F51" i="67"/>
  <c r="C70" i="71"/>
  <c r="D70" i="71" s="1"/>
  <c r="D71" i="71"/>
  <c r="C78" i="71"/>
  <c r="D78" i="71" s="1"/>
  <c r="D79" i="71"/>
  <c r="AZ27" i="3"/>
  <c r="D44" i="71"/>
  <c r="T44" i="71"/>
  <c r="AA25" i="37"/>
  <c r="S25" i="37"/>
  <c r="AB36" i="35"/>
  <c r="U36" i="35"/>
  <c r="W32" i="34"/>
  <c r="AC32" i="34"/>
  <c r="AB25" i="35"/>
  <c r="U25" i="35"/>
  <c r="AA37" i="39"/>
  <c r="S37" i="39"/>
  <c r="AA24" i="36"/>
  <c r="S24" i="36"/>
  <c r="S25" i="35"/>
  <c r="AA25" i="35"/>
  <c r="W12" i="34"/>
  <c r="AC12" i="34"/>
  <c r="AZ141" i="3"/>
  <c r="C52" i="71"/>
  <c r="D51" i="71"/>
  <c r="AZ126" i="3"/>
  <c r="D31" i="71"/>
  <c r="C32" i="71"/>
  <c r="AZ19" i="3"/>
  <c r="AZ137" i="3"/>
  <c r="AZ102" i="3"/>
  <c r="C36" i="71"/>
  <c r="D35" i="71"/>
  <c r="AZ252" i="3"/>
  <c r="AZ229" i="3"/>
  <c r="AZ453" i="3"/>
  <c r="AZ432" i="3"/>
  <c r="AB25" i="37"/>
  <c r="U25" i="37"/>
  <c r="U12" i="35"/>
  <c r="AB12" i="35"/>
  <c r="U32" i="34"/>
  <c r="AB32" i="34"/>
  <c r="AZ569" i="3"/>
  <c r="AC38" i="37"/>
  <c r="W38" i="37"/>
  <c r="U23" i="35"/>
  <c r="AB23" i="35"/>
  <c r="W28" i="21"/>
  <c r="AC28" i="21"/>
  <c r="AC37" i="39"/>
  <c r="W37" i="39"/>
  <c r="AB24" i="36"/>
  <c r="U24" i="36"/>
  <c r="S11" i="35"/>
  <c r="AA11" i="35"/>
  <c r="AZ585" i="3"/>
  <c r="V20" i="71"/>
  <c r="AZ108" i="3"/>
  <c r="AZ91" i="3"/>
  <c r="AZ59" i="3"/>
  <c r="C82" i="71"/>
  <c r="D82" i="71" s="1"/>
  <c r="D83" i="71"/>
  <c r="AZ55" i="3"/>
  <c r="AZ31" i="3"/>
  <c r="T28" i="71"/>
  <c r="D28" i="71"/>
  <c r="U28" i="71" s="1"/>
  <c r="C27" i="71"/>
  <c r="AZ274" i="3"/>
  <c r="AZ282" i="3"/>
  <c r="AZ241" i="3"/>
  <c r="AZ210" i="3"/>
  <c r="AZ247" i="3"/>
  <c r="AZ249" i="3"/>
  <c r="AZ251" i="3"/>
  <c r="W12" i="35"/>
  <c r="AC12" i="35"/>
  <c r="S29" i="33"/>
  <c r="AA29" i="33"/>
  <c r="U38" i="37"/>
  <c r="AB38" i="37"/>
  <c r="AC23" i="35"/>
  <c r="W23" i="35"/>
  <c r="AA28" i="21"/>
  <c r="S28" i="21"/>
  <c r="AB32" i="36"/>
  <c r="U32" i="36"/>
  <c r="AC24" i="36"/>
  <c r="W24" i="36"/>
  <c r="W11" i="35"/>
  <c r="AC11" i="35"/>
  <c r="AA45" i="21"/>
  <c r="S45" i="21"/>
  <c r="J7" i="36"/>
  <c r="J7" i="37"/>
  <c r="G5" i="3"/>
  <c r="B3" i="3" s="1"/>
  <c r="E212" i="3" s="1"/>
  <c r="O65" i="71"/>
  <c r="D66" i="71"/>
  <c r="O66" i="71"/>
  <c r="C40" i="71"/>
  <c r="D39" i="71"/>
  <c r="AZ52" i="3"/>
  <c r="AZ263" i="3"/>
  <c r="AZ214" i="3"/>
  <c r="S36" i="35"/>
  <c r="AA36" i="35"/>
  <c r="U29" i="33"/>
  <c r="AB29" i="33"/>
  <c r="AC9" i="36"/>
  <c r="W9" i="36"/>
  <c r="U45" i="21"/>
  <c r="AB45" i="21"/>
  <c r="AA32" i="36"/>
  <c r="S32" i="36"/>
  <c r="W25" i="35"/>
  <c r="AC25" i="35"/>
  <c r="U12" i="34"/>
  <c r="AB12" i="34"/>
  <c r="W45" i="21"/>
  <c r="AC45" i="21"/>
  <c r="K1" i="73"/>
  <c r="E510" i="3"/>
  <c r="E536" i="3"/>
  <c r="E199" i="3"/>
  <c r="E286" i="3"/>
  <c r="R6" i="3"/>
  <c r="E502" i="3"/>
  <c r="E442" i="3"/>
  <c r="E430" i="3"/>
  <c r="E449" i="3"/>
  <c r="I3" i="6"/>
  <c r="E554" i="3"/>
  <c r="E435" i="3"/>
  <c r="E491" i="3"/>
  <c r="E56" i="3"/>
  <c r="E37" i="3"/>
  <c r="E95" i="3"/>
  <c r="E258" i="3"/>
  <c r="E241" i="3"/>
  <c r="E363" i="3"/>
  <c r="E389" i="3"/>
  <c r="E76" i="3"/>
  <c r="E59" i="3"/>
  <c r="E425" i="3"/>
  <c r="E467" i="3"/>
  <c r="E64" i="3"/>
  <c r="E160" i="3"/>
  <c r="E267" i="3"/>
  <c r="E300" i="3"/>
  <c r="E310" i="3"/>
  <c r="E23" i="3"/>
  <c r="E84" i="3"/>
  <c r="E144" i="3"/>
  <c r="E184" i="3"/>
  <c r="E233" i="3"/>
  <c r="E68" i="3"/>
  <c r="E63" i="3"/>
  <c r="E264" i="3"/>
  <c r="E309" i="3"/>
  <c r="E21" i="3"/>
  <c r="E494" i="3"/>
  <c r="E332" i="3"/>
  <c r="E391" i="3"/>
  <c r="AL6" i="3"/>
  <c r="E482" i="3"/>
  <c r="E18" i="3"/>
  <c r="E129" i="3"/>
  <c r="E235" i="3"/>
  <c r="E522" i="3"/>
  <c r="E86" i="3"/>
  <c r="E206" i="3"/>
  <c r="E251" i="3"/>
  <c r="AF6" i="3"/>
  <c r="E113" i="3"/>
  <c r="E287" i="3"/>
  <c r="E308" i="3"/>
  <c r="E205" i="3"/>
  <c r="E140" i="3"/>
  <c r="E197" i="3"/>
  <c r="E525" i="3"/>
  <c r="E534" i="3"/>
  <c r="T6" i="3"/>
  <c r="E456" i="3"/>
  <c r="E469" i="3"/>
  <c r="E512" i="3"/>
  <c r="E451" i="3"/>
  <c r="E360" i="3"/>
  <c r="E556" i="3"/>
  <c r="E13" i="3"/>
  <c r="E452" i="3"/>
  <c r="E470" i="3"/>
  <c r="E26" i="3"/>
  <c r="E104" i="3"/>
  <c r="E41" i="3"/>
  <c r="E225" i="3"/>
  <c r="E243" i="3"/>
  <c r="E356"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AE6" i="1"/>
  <c r="C16" i="67"/>
  <c r="F41" i="67"/>
  <c r="G1" i="73"/>
  <c r="W26" i="21" l="1"/>
  <c r="AC26" i="21"/>
  <c r="C28" i="43"/>
  <c r="T9" i="43" s="1"/>
  <c r="V9" i="43" s="1"/>
  <c r="Q61" i="67"/>
  <c r="Q52" i="67"/>
  <c r="E428" i="3"/>
  <c r="E115" i="3"/>
  <c r="E420" i="3"/>
  <c r="E497" i="3"/>
  <c r="E408" i="3"/>
  <c r="E405" i="3"/>
  <c r="E173" i="3"/>
  <c r="E22" i="3"/>
  <c r="E102" i="3"/>
  <c r="E34" i="3"/>
  <c r="E174" i="3"/>
  <c r="E75" i="3"/>
  <c r="E198" i="3"/>
  <c r="E283" i="3"/>
  <c r="E381" i="3"/>
  <c r="E67" i="3"/>
  <c r="E371" i="3"/>
  <c r="E103" i="3"/>
  <c r="E409" i="3"/>
  <c r="E349" i="3"/>
  <c r="E192" i="3"/>
  <c r="E417" i="3"/>
  <c r="AP6" i="3"/>
  <c r="AC6" i="3" s="1"/>
  <c r="E6" i="3" s="1"/>
  <c r="E541" i="3"/>
  <c r="E575" i="3"/>
  <c r="E539" i="3"/>
  <c r="C49" i="67"/>
  <c r="E3" i="6"/>
  <c r="M17" i="67"/>
  <c r="Q60" i="67"/>
  <c r="J5" i="67"/>
  <c r="J24" i="67" s="1"/>
  <c r="F59" i="67"/>
  <c r="E383" i="3"/>
  <c r="E96" i="3"/>
  <c r="E42" i="3"/>
  <c r="E281" i="3"/>
  <c r="E513" i="3"/>
  <c r="E81" i="3"/>
  <c r="E355" i="3"/>
  <c r="E33" i="3"/>
  <c r="E492" i="3"/>
  <c r="E249" i="3"/>
  <c r="E46" i="3"/>
  <c r="E484" i="3"/>
  <c r="E544" i="3"/>
  <c r="E292" i="3"/>
  <c r="E152" i="3"/>
  <c r="E479" i="3"/>
  <c r="E517" i="3"/>
  <c r="E255" i="3"/>
  <c r="E466" i="3"/>
  <c r="E499" i="3"/>
  <c r="T40" i="71"/>
  <c r="D40" i="71"/>
  <c r="C26" i="71"/>
  <c r="D26" i="71" s="1"/>
  <c r="D27" i="71"/>
  <c r="D36" i="71"/>
  <c r="T36" i="71"/>
  <c r="T32" i="71"/>
  <c r="D32"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15"/>
  <c r="C42" i="43" l="1"/>
  <c r="E42" i="43" s="1"/>
  <c r="C39" i="43"/>
  <c r="T4" i="43"/>
  <c r="V4" i="43" s="1"/>
  <c r="C38" i="43"/>
  <c r="G38" i="43" s="1"/>
  <c r="I38" i="43" s="1"/>
  <c r="T7" i="43"/>
  <c r="V7" i="43" s="1"/>
  <c r="C41" i="43"/>
  <c r="T11" i="43"/>
  <c r="V11" i="43" s="1"/>
  <c r="T2" i="43"/>
  <c r="V2" i="43" s="1"/>
  <c r="C40" i="43"/>
  <c r="T10" i="43"/>
  <c r="V10" i="43" s="1"/>
  <c r="T15" i="43"/>
  <c r="V15" i="43" s="1"/>
  <c r="T5" i="43"/>
  <c r="V5" i="43" s="1"/>
  <c r="T14" i="43"/>
  <c r="V14" i="43" s="1"/>
  <c r="C37" i="43"/>
  <c r="G37" i="43" s="1"/>
  <c r="I37" i="43" s="1"/>
  <c r="T6" i="43"/>
  <c r="V6" i="43" s="1"/>
  <c r="T8" i="43"/>
  <c r="V8" i="43" s="1"/>
  <c r="T16" i="43"/>
  <c r="V16" i="43" s="1"/>
  <c r="T13" i="43"/>
  <c r="V13" i="43" s="1"/>
  <c r="C33" i="43"/>
  <c r="C6" i="69" s="1"/>
  <c r="C7" i="69" s="1"/>
  <c r="T3" i="43"/>
  <c r="V3" i="43" s="1"/>
  <c r="T12" i="43"/>
  <c r="V12" i="43" s="1"/>
  <c r="F22" i="11"/>
  <c r="C25" i="11" s="1"/>
  <c r="F24" i="67"/>
  <c r="C24" i="67" s="1"/>
  <c r="C48" i="67"/>
  <c r="C66"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D10" i="69"/>
  <c r="C17" i="15"/>
  <c r="C34" i="69"/>
  <c r="C17" i="67"/>
  <c r="C14" i="67"/>
  <c r="E33" i="43" l="1"/>
  <c r="C23" i="11"/>
  <c r="E38" i="43"/>
  <c r="F41" i="68"/>
  <c r="C44" i="11"/>
  <c r="D41" i="11" s="1"/>
  <c r="C26" i="11"/>
  <c r="D22" i="11" s="1"/>
  <c r="C24" i="11"/>
  <c r="C44" i="69"/>
  <c r="D41" i="69" s="1"/>
  <c r="C60" i="67"/>
  <c r="C23" i="68"/>
  <c r="C44" i="68"/>
  <c r="D41" i="68"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C20" i="9"/>
  <c r="D2" i="34"/>
  <c r="D19" i="9"/>
  <c r="L51" i="15"/>
  <c r="C103" i="9" l="1"/>
  <c r="D22" i="9"/>
  <c r="G19"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10" i="1"/>
  <c r="AO9" i="1"/>
  <c r="AO6" i="1"/>
  <c r="AO8" i="1"/>
  <c r="AO7" i="1"/>
  <c r="D20" i="9"/>
  <c r="G21" i="9" l="1"/>
  <c r="D14" i="74"/>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C35" i="9"/>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105" i="9"/>
  <c r="I4" i="52"/>
  <c r="N60" i="9"/>
  <c r="N61" i="9"/>
  <c r="B20" i="72"/>
  <c r="D8" i="52"/>
  <c r="H4" i="52"/>
  <c r="C104" i="9"/>
  <c r="N59" i="9"/>
  <c r="N58" i="9"/>
  <c r="P57" i="9"/>
  <c r="B31" i="72"/>
  <c r="E97" i="9"/>
  <c r="D6" i="53"/>
  <c r="B22" i="72"/>
  <c r="M48" i="9"/>
  <c r="D5" i="53"/>
  <c r="B30" i="72"/>
  <c r="C5" i="74"/>
  <c r="H119" i="9"/>
  <c r="H5" i="52"/>
  <c r="H102" i="9"/>
  <c r="D7" i="53"/>
  <c r="B21" i="72"/>
  <c r="D53" i="9"/>
  <c r="D52" i="9"/>
  <c r="C93" i="9"/>
  <c r="C86" i="9"/>
  <c r="B51" i="72"/>
  <c r="C6" i="74"/>
  <c r="H108" i="9"/>
  <c r="D15" i="53"/>
  <c r="D4" i="52"/>
  <c r="B47" i="72"/>
  <c r="C81" i="9"/>
  <c r="D122" i="9"/>
  <c r="D123" i="9"/>
  <c r="D9" i="52"/>
  <c r="B52" i="72"/>
  <c r="G4" i="52"/>
  <c r="F4" i="52"/>
  <c r="D55" i="9"/>
  <c r="M53" i="9"/>
  <c r="N57" i="9"/>
  <c r="D58" i="9"/>
  <c r="D56" i="9"/>
  <c r="M54" i="9"/>
  <c r="B49" i="72"/>
  <c r="C68" i="9"/>
  <c r="D54" i="9"/>
  <c r="C97" i="9"/>
  <c r="C64" i="9"/>
  <c r="C63" i="9"/>
  <c r="C67" i="9"/>
  <c r="D59" i="9"/>
  <c r="M55" i="9"/>
  <c r="D118" i="9"/>
  <c r="D119" i="9"/>
  <c r="D5" i="52"/>
  <c r="H107" i="9"/>
  <c r="D13" i="53"/>
  <c r="D14" i="53"/>
  <c r="B32" i="72"/>
  <c r="G118" i="9"/>
  <c r="F118" i="9"/>
  <c r="F119" i="9"/>
  <c r="F5" i="52"/>
  <c r="B53" i="72"/>
  <c r="C72" i="9"/>
  <c r="C79" i="9"/>
  <c r="C80" i="9"/>
  <c r="E80" i="9"/>
  <c r="E81" i="9"/>
  <c r="C85" i="9"/>
  <c r="C95" i="9"/>
  <c r="C96" i="9"/>
  <c r="E96" i="9"/>
  <c r="H101" i="9"/>
  <c r="D45" i="9"/>
  <c r="C78" i="9"/>
  <c r="C73" i="9"/>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<sst xmlns="http://schemas.openxmlformats.org/spreadsheetml/2006/main" count="8119" uniqueCount="3530">
  <si>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</si>
  <si>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</si>
  <si>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</si>
  <si>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</si>
  <si>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</si>
  <si>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</si>
  <si>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</si>
  <si>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</si>
  <si>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</si>
  <si>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</si>
  <si>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</si>
  <si>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</si>
  <si>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</si>
  <si>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</si>
  <si>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</si>
  <si>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</si>
  <si>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</si>
  <si>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</si>
  <si>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</si>
  <si>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</si>
  <si>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</si>
  <si>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</si>
  <si>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</si>
  <si>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</si>
  <si>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</si>
  <si>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</si>
  <si>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</si>
  <si>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</si>
  <si>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</si>
  <si>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</si>
  <si>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</si>
  <si>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</si>
  <si>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</si>
  <si>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</si>
  <si>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</si>
  <si>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</si>
  <si>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</si>
  <si>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</si>
  <si>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</si>
  <si>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</si>
  <si>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</si>
  <si>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</si>
  <si>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</si>
  <si>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</si>
  <si>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</si>
  <si>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</si>
  <si>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</si>
  <si>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</si>
  <si>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</si>
  <si>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</si>
  <si>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</si>
  <si>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</si>
  <si>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</si>
  <si>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</si>
  <si>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</si>
  <si>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</si>
  <si>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</si>
  <si>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</si>
  <si>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</si>
  <si>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</si>
  <si>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</si>
  <si>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</si>
  <si>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</si>
  <si>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</si>
  <si>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</si>
  <si>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</si>
  <si>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</si>
  <si>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</si>
  <si>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</si>
  <si>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</si>
  <si>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</si>
  <si>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</si>
  <si>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</si>
  <si>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</si>
  <si>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</si>
  <si>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</si>
  <si>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</si>
  <si>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</si>
  <si>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</si>
  <si>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</si>
  <si>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</si>
  <si>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</si>
  <si>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</si>
  <si>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</si>
  <si>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</si>
  <si>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</si>
  <si>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</si>
  <si>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</si>
  <si>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</si>
  <si>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</si>
  <si>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</si>
  <si>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</si>
  <si>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</si>
  <si>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</si>
  <si>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</si>
  <si>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</si>
  <si>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</si>
  <si>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</si>
  <si>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</si>
  <si>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</si>
  <si>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</si>
  <si>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</si>
  <si>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</si>
  <si>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</si>
  <si>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</si>
  <si>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</si>
  <si>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</si>
  <si>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</si>
  <si>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</si>
  <si>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</si>
  <si>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</si>
  <si>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</si>
  <si>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</si>
  <si>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</si>
  <si>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</si>
  <si>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</si>
  <si>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</si>
  <si>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</si>
  <si>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</si>
  <si>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</si>
  <si>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</si>
  <si>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</si>
  <si>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</si>
  <si>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</si>
  <si>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</si>
  <si>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</si>
  <si>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</si>
  <si>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</si>
  <si>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</si>
  <si>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</si>
  <si>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</si>
  <si>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</si>
  <si>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</si>
  <si>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</si>
  <si>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</si>
  <si>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</si>
  <si>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</si>
  <si>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</si>
  <si>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</si>
  <si>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</si>
  <si>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</si>
  <si>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</si>
  <si>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</si>
  <si>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</si>
  <si>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</si>
  <si>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</si>
  <si>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</si>
  <si>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</si>
  <si>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</si>
  <si>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</si>
  <si>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</si>
  <si>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</si>
  <si>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</si>
  <si>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</si>
  <si>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</si>
  <si>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</si>
  <si>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</si>
  <si>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</si>
  <si>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</si>
  <si>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</si>
  <si>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</si>
  <si>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</si>
  <si>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</si>
  <si>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</si>
  <si>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</si>
  <si>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</si>
  <si>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</si>
  <si>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</si>
  <si>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</si>
  <si>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</si>
  <si>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</si>
  <si>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</si>
  <si>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</si>
  <si>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</si>
  <si>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</si>
  <si>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</si>
  <si>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</si>
  <si>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</si>
  <si>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</si>
  <si>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</si>
  <si>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</si>
  <si>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</si>
  <si>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</si>
  <si>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</si>
  <si>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</si>
  <si>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</si>
  <si>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</si>
  <si>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</si>
  <si>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</si>
  <si>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</si>
  <si>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</si>
  <si>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</si>
  <si>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</si>
  <si>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</si>
  <si>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</si>
  <si>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</si>
  <si>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</si>
  <si>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</si>
  <si>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</si>
  <si>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</si>
  <si>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</si>
  <si>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</si>
  <si>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</si>
  <si>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</si>
  <si>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</si>
  <si>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</si>
  <si>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</si>
  <si>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</si>
  <si>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</si>
  <si>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</si>
  <si>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</si>
  <si>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</si>
  <si>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</si>
  <si>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</si>
  <si>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</si>
  <si>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</si>
  <si>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</si>
  <si>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</si>
  <si>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</si>
  <si>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</si>
  <si>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</si>
  <si>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</si>
  <si>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</si>
  <si>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</si>
  <si>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</si>
  <si>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</si>
  <si>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</si>
  <si>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</si>
  <si>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</si>
  <si>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</si>
  <si>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</si>
  <si>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</si>
  <si>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</si>
  <si>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</si>
  <si>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</si>
  <si>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</si>
  <si>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</si>
  <si>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</si>
  <si>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</si>
  <si>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</si>
  <si>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</si>
  <si>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</si>
  <si>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</si>
  <si>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</si>
  <si>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</si>
  <si>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</si>
  <si>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</si>
  <si>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</si>
  <si>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</si>
  <si>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</si>
  <si>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</si>
  <si>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</si>
  <si>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</si>
  <si>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</si>
  <si>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</si>
  <si>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</si>
  <si>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</si>
  <si>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</si>
  <si>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</si>
  <si>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</si>
  <si>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</si>
  <si>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</si>
  <si>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</si>
  <si>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</si>
  <si>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</si>
  <si>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</si>
  <si>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</si>
  <si>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</si>
  <si>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</si>
  <si>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</si>
  <si>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</si>
  <si>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</si>
  <si>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</si>
  <si>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</si>
  <si>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</si>
  <si>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</si>
  <si>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</si>
  <si>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</si>
  <si>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</si>
  <si>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</si>
  <si>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</si>
  <si>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</si>
  <si>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</si>
  <si>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</si>
  <si>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</si>
  <si>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</si>
  <si>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</si>
  <si>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</si>
  <si>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</si>
  <si>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</si>
  <si>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</si>
  <si>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</si>
  <si>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</si>
  <si>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</si>
  <si>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</si>
  <si>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</si>
  <si>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</si>
  <si>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</si>
  <si>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</si>
  <si>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</si>
  <si>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</si>
  <si>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</si>
  <si>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</si>
  <si>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</si>
  <si>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</si>
  <si>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</si>
  <si>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</si>
  <si>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</si>
  <si>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</si>
  <si>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</si>
  <si>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</si>
  <si>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</si>
  <si>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</si>
  <si>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</si>
  <si>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</si>
  <si>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</si>
  <si>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</si>
  <si>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</si>
  <si>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</si>
  <si>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</si>
  <si>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</si>
  <si>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</si>
  <si>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</si>
  <si>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</si>
  <si>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</si>
  <si>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</si>
  <si>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</si>
  <si>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</si>
  <si>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</si>
  <si>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</si>
  <si>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</si>
  <si>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</si>
  <si>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</si>
  <si>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</si>
  <si>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</si>
  <si>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</si>
  <si>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</si>
  <si>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</si>
  <si>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</si>
  <si>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</si>
  <si>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</si>
  <si>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</si>
  <si>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</si>
  <si>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</si>
  <si>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</si>
  <si>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</si>
  <si>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</si>
  <si>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</si>
  <si>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</si>
  <si>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</si>
  <si>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</si>
  <si>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</si>
  <si>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</si>
  <si>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</si>
  <si>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</si>
  <si>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</si>
  <si>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</si>
  <si>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</si>
  <si>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</si>
  <si>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</si>
  <si>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</si>
  <si>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</si>
  <si>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</si>
  <si>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</si>
  <si>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</si>
  <si>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</si>
  <si>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</si>
  <si>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</si>
  <si>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</si>
  <si>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</si>
  <si>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</si>
  <si>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</si>
  <si>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</si>
  <si>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</si>
  <si>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</si>
  <si>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</si>
  <si>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</si>
  <si>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</si>
  <si>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</si>
  <si>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</si>
  <si>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</si>
  <si>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</si>
  <si>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</si>
  <si>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</si>
  <si>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</si>
  <si>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</si>
  <si>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</si>
  <si>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</si>
  <si>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</si>
  <si>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</si>
  <si>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</si>
  <si>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</si>
  <si>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</si>
  <si>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</si>
  <si>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</si>
  <si>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</si>
  <si>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</si>
  <si>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</si>
  <si>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</si>
  <si>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</si>
  <si>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</si>
  <si>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</si>
  <si>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</si>
  <si>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</si>
  <si>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</si>
  <si>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</si>
  <si>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</si>
  <si>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</si>
  <si>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</si>
  <si>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</si>
  <si>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</si>
  <si>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</si>
  <si>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</si>
  <si>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</si>
  <si>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</si>
  <si>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</si>
  <si>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</si>
  <si>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</si>
  <si>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</si>
  <si>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</si>
  <si>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</si>
  <si>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</si>
  <si>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</si>
  <si>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</si>
  <si>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</si>
  <si>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</si>
  <si>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</si>
  <si>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</si>
  <si>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</si>
  <si>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</si>
  <si>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</si>
  <si>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</si>
  <si>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</si>
  <si>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</si>
  <si>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</si>
  <si>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</si>
  <si>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</si>
  <si>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</si>
  <si>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</si>
  <si>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</si>
  <si>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</si>
  <si>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</si>
  <si>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</si>
  <si>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</si>
  <si>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</si>
  <si>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</si>
  <si>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</si>
  <si>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</si>
  <si>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</si>
  <si>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</si>
  <si>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</si>
  <si>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</si>
  <si>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</si>
  <si>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</si>
  <si>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</si>
  <si>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</si>
  <si>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</si>
  <si>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</si>
  <si>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</si>
  <si>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</si>
  <si>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</si>
  <si>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</si>
  <si>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</si>
  <si>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</si>
  <si>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</si>
  <si>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</si>
  <si>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</si>
  <si>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</si>
  <si>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</si>
  <si>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</si>
  <si>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</si>
  <si>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</si>
  <si>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</si>
  <si>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</si>
  <si>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</si>
  <si>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</si>
  <si>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</si>
  <si>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</si>
  <si>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</si>
  <si>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</si>
  <si>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</si>
  <si>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</si>
  <si>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</si>
  <si>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</si>
  <si>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</si>
  <si>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</si>
  <si>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</si>
  <si>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</si>
  <si>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</si>
  <si>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</si>
  <si>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</si>
  <si>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</si>
  <si>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</si>
  <si>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</si>
  <si>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</si>
  <si>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</si>
  <si>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</si>
  <si>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</si>
  <si>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</si>
  <si>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</si>
  <si>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</si>
  <si>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</si>
  <si>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</si>
  <si>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</si>
  <si>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</si>
  <si>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</si>
  <si>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</si>
  <si>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</si>
  <si>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</si>
  <si>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</si>
  <si>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</si>
  <si>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</si>
  <si>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</si>
  <si>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</si>
  <si>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</si>
  <si>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</si>
  <si>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</si>
  <si>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</si>
  <si>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</si>
  <si>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</si>
  <si>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</si>
  <si>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</si>
  <si>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</si>
  <si>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</si>
  <si>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</si>
  <si>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</si>
  <si>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</si>
  <si>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</si>
  <si>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</si>
  <si>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</si>
  <si>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</si>
  <si>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</si>
  <si>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</si>
  <si>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</si>
  <si>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</si>
  <si>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</si>
  <si>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</si>
  <si>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</si>
  <si>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</si>
  <si>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</si>
  <si>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</si>
  <si>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</si>
  <si>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</si>
  <si>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</si>
  <si>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</si>
  <si>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</si>
  <si>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</si>
  <si>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</si>
  <si>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</si>
  <si>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</si>
  <si>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</si>
  <si>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</si>
  <si>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</si>
  <si>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</si>
  <si>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</si>
  <si>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</si>
  <si>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</si>
  <si>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</si>
  <si>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</si>
  <si>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</si>
  <si>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</si>
  <si>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</si>
  <si>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</si>
  <si>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</si>
  <si>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</si>
  <si>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</si>
  <si>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</si>
  <si>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</si>
  <si>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</si>
  <si>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</si>
  <si>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</si>
  <si>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</si>
  <si>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</si>
  <si>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</si>
  <si>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</si>
  <si>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</si>
  <si>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</si>
  <si>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</si>
  <si>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</si>
  <si>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</si>
  <si>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</si>
  <si>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</si>
  <si>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</si>
  <si>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</si>
  <si>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</si>
  <si>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</si>
  <si>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</si>
  <si>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</si>
  <si>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</si>
  <si>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</si>
  <si>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</si>
  <si>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</si>
  <si>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</si>
  <si>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</si>
  <si>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</si>
  <si>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</si>
  <si>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</si>
  <si>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</si>
  <si>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</si>
  <si>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</si>
  <si>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</si>
  <si>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</si>
  <si>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</si>
  <si>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</si>
  <si>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</si>
  <si>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</si>
  <si>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</si>
  <si>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</si>
  <si>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</si>
  <si>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</si>
  <si>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</si>
  <si>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</si>
  <si>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</si>
  <si>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</si>
  <si>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</si>
  <si>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</si>
  <si>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</si>
  <si>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</si>
  <si>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</si>
  <si>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</si>
  <si>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</si>
  <si>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</si>
  <si>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</si>
  <si>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</si>
  <si>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</si>
  <si>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</si>
  <si>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</si>
  <si>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</si>
  <si>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</si>
  <si>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</si>
  <si>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</si>
  <si>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</si>
  <si>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</si>
  <si>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</si>
  <si>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</si>
  <si>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</si>
  <si>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</si>
  <si>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</si>
  <si>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</si>
  <si>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</si>
  <si>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</si>
  <si>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</si>
  <si>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</si>
  <si>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</si>
  <si>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</si>
  <si>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</si>
  <si>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</si>
  <si>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</si>
  <si>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</si>
  <si>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</si>
  <si>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</si>
  <si>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</si>
  <si>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</si>
  <si>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</si>
  <si>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</si>
  <si>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</si>
  <si>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</si>
  <si>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</si>
  <si>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</si>
  <si>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</si>
  <si>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</si>
  <si>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</si>
  <si>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</si>
  <si>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</si>
  <si>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</si>
  <si>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</si>
  <si>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</si>
  <si>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</si>
  <si>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</si>
  <si>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</si>
  <si>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</si>
  <si>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</si>
  <si>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</si>
  <si>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</si>
  <si>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</si>
  <si>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</si>
  <si>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</si>
  <si>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</si>
  <si>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</si>
  <si>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</si>
  <si>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</si>
  <si>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</si>
  <si>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</si>
  <si>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</si>
  <si>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</si>
  <si>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</si>
  <si>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</si>
  <si>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</si>
  <si>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</si>
  <si>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</si>
  <si>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</si>
  <si>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</si>
  <si>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</si>
  <si>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</si>
  <si>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</si>
  <si>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</si>
  <si>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</si>
  <si>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</si>
  <si>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</si>
  <si>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</si>
  <si>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</si>
  <si>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</si>
  <si>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</si>
  <si>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</si>
  <si>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</si>
  <si>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</si>
  <si>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</si>
  <si>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</si>
  <si>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</si>
  <si>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</si>
  <si>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</si>
  <si>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</si>
  <si>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</si>
  <si>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</si>
  <si>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</si>
  <si>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</si>
  <si>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</si>
  <si>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</si>
  <si>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</si>
  <si>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</si>
  <si>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</si>
  <si>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</si>
  <si>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</si>
  <si>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</si>
  <si>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</si>
  <si>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</si>
  <si>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</si>
  <si>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</si>
  <si>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</si>
  <si>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</si>
  <si>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</si>
  <si>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</si>
  <si>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</si>
  <si>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</si>
  <si>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</si>
  <si>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</si>
  <si>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</si>
  <si>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</si>
  <si>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</si>
  <si>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</si>
  <si>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</si>
  <si>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</si>
  <si>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</si>
  <si>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</si>
  <si>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</si>
  <si>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</si>
  <si>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</si>
  <si>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</si>
  <si>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</si>
  <si>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</si>
  <si>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</si>
  <si>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</si>
  <si>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</si>
  <si>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</si>
  <si>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</si>
  <si>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</si>
  <si>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</si>
  <si>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</si>
  <si>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</si>
  <si>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</si>
  <si>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</si>
  <si>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</si>
  <si>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</si>
  <si>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</si>
  <si>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</si>
  <si>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</si>
  <si>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</si>
  <si>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</si>
  <si>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</si>
  <si>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</si>
  <si>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</si>
  <si>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</si>
  <si>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</si>
  <si>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</si>
  <si>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</si>
  <si>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</si>
  <si>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</si>
  <si>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</si>
  <si>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</si>
  <si>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</si>
  <si>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</si>
  <si>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</si>
  <si>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</si>
  <si>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</si>
  <si>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</si>
  <si>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</si>
  <si>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</si>
  <si>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</si>
  <si>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</si>
  <si>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</si>
  <si>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</si>
  <si>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</si>
  <si>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</si>
  <si>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</si>
  <si>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</si>
  <si>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</si>
  <si>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</si>
  <si>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</si>
  <si>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</si>
  <si>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</si>
  <si>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</si>
  <si>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</si>
  <si>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</si>
  <si>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</si>
  <si>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</si>
  <si>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</si>
  <si>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</si>
  <si>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</si>
  <si>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</si>
  <si>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</si>
  <si>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</si>
  <si>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</si>
  <si>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</si>
  <si>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</si>
  <si>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</si>
  <si>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</si>
  <si>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</si>
  <si>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</si>
  <si>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</si>
  <si>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</si>
  <si>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</si>
  <si>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</si>
  <si>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</si>
  <si>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</si>
  <si>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</si>
  <si>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</si>
  <si>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</si>
  <si>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</si>
  <si>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</si>
  <si>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</si>
  <si>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</si>
  <si>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</si>
  <si>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</si>
  <si>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</si>
  <si>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</si>
  <si>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</si>
  <si>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</si>
  <si>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</si>
  <si>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</si>
  <si>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</si>
  <si>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</si>
  <si>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</si>
  <si>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</si>
  <si>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</si>
  <si>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</si>
  <si>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</si>
  <si>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</si>
  <si>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</si>
  <si>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</si>
  <si>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</si>
  <si>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</si>
  <si>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</si>
  <si>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</si>
  <si>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</si>
  <si>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</si>
  <si>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</si>
  <si>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</si>
  <si>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</si>
  <si>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</si>
  <si>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</si>
  <si>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</si>
  <si>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</si>
  <si>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</si>
  <si>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</si>
  <si>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</si>
  <si>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</si>
  <si>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</si>
  <si>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</si>
  <si>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</si>
  <si>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</si>
  <si>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</si>
  <si>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</si>
  <si>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</si>
  <si>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</si>
  <si>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</si>
  <si>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</si>
  <si>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</si>
  <si>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</si>
  <si>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</si>
  <si>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</si>
  <si>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</si>
  <si>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</si>
  <si>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</si>
  <si>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</si>
  <si>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</si>
  <si>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</si>
  <si>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</si>
  <si>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</si>
  <si>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</si>
  <si>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</si>
  <si>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</si>
  <si>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</si>
  <si>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</si>
  <si>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</si>
  <si>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</si>
  <si>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</si>
  <si>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</si>
  <si>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</si>
  <si>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</si>
  <si>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</si>
  <si>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</si>
  <si>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</si>
  <si>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</si>
  <si>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</si>
  <si>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</si>
  <si>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</si>
  <si>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</si>
  <si>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</si>
  <si>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</si>
  <si>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</si>
  <si>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</si>
  <si>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</si>
  <si>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</si>
  <si>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</si>
  <si>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</si>
  <si>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</si>
  <si>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</si>
  <si>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</si>
  <si>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</si>
  <si>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</si>
  <si>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</si>
  <si>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</si>
  <si>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</si>
  <si>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</si>
  <si>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</si>
  <si>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</si>
  <si>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</si>
  <si>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</si>
  <si>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</si>
  <si>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</si>
  <si>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</si>
  <si>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</si>
  <si>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</si>
  <si>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</si>
  <si>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</si>
  <si>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</si>
  <si>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</si>
  <si>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</si>
  <si>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</si>
  <si>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</si>
  <si>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</si>
  <si>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</si>
  <si>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</si>
  <si>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</si>
  <si>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</si>
  <si>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</si>
  <si>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</si>
  <si>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</si>
  <si>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</si>
  <si>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</si>
  <si>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</si>
  <si>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</si>
  <si>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</si>
  <si>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</si>
  <si>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</si>
  <si>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</si>
  <si>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</si>
  <si>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</si>
  <si>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</si>
  <si>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</si>
  <si>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</si>
  <si>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</si>
  <si>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</si>
  <si>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</si>
  <si>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</si>
  <si>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</si>
  <si>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</si>
  <si>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</si>
  <si>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</si>
  <si>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</si>
  <si>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</si>
  <si>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</si>
  <si>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</si>
  <si>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</si>
  <si>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</si>
  <si>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</si>
  <si>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</si>
  <si>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</si>
  <si>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</si>
  <si>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</si>
  <si>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</si>
  <si>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</si>
  <si>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</si>
  <si>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</si>
  <si>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</si>
  <si>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</si>
  <si>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</si>
  <si>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</si>
  <si>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</si>
  <si>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</si>
  <si>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</si>
  <si>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</si>
  <si>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</si>
  <si>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</si>
  <si>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</si>
  <si>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</si>
  <si>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</si>
  <si>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</si>
  <si>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</si>
  <si>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</si>
  <si>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</si>
  <si>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</si>
  <si>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</si>
  <si>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</si>
  <si>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</si>
  <si>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</si>
  <si>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</si>
  <si>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</si>
  <si>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</si>
  <si>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</si>
  <si>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</si>
  <si>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</si>
  <si>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</si>
  <si>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</si>
  <si>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</si>
  <si>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</si>
  <si>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</si>
  <si>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</si>
  <si>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</si>
  <si>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</si>
  <si>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</si>
  <si>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</si>
  <si>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</si>
  <si>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</si>
  <si>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</si>
  <si>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</si>
  <si>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</si>
  <si>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</si>
  <si>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</si>
  <si>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</si>
  <si>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</si>
  <si>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</si>
  <si>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</si>
  <si>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</si>
  <si>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</si>
  <si>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</si>
  <si>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</si>
  <si>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</si>
  <si>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</si>
  <si>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</si>
  <si>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</si>
  <si>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</si>
  <si>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</si>
  <si>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</si>
  <si>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</si>
  <si>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</si>
  <si>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</si>
  <si>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</si>
  <si>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</si>
  <si>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</si>
  <si>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</si>
  <si>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</si>
  <si>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</si>
  <si>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</si>
  <si>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</si>
  <si>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</si>
  <si>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</si>
  <si>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</si>
  <si>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</si>
  <si>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</si>
  <si>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</si>
  <si>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</si>
  <si>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</si>
  <si>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</si>
  <si>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</si>
  <si>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</si>
  <si>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</si>
  <si>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</si>
  <si>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</si>
  <si>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</si>
  <si>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</si>
  <si>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</si>
  <si>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</si>
  <si>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</si>
  <si>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</si>
  <si>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</si>
  <si>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</si>
  <si>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</si>
  <si>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</si>
  <si>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</si>
  <si>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</si>
  <si>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</si>
  <si>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</si>
  <si>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</si>
  <si>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</si>
  <si>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</si>
  <si>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</si>
  <si>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</si>
  <si>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</si>
  <si>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</si>
  <si>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</si>
  <si>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</si>
  <si>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</si>
  <si>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</si>
  <si>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</si>
  <si>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</si>
  <si>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</si>
  <si>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</si>
  <si>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</si>
  <si>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</si>
  <si>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</si>
  <si>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</si>
  <si>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</si>
  <si>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</si>
  <si>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</si>
  <si>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</si>
  <si>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</si>
  <si>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</si>
  <si>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</si>
  <si>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</si>
  <si>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</si>
  <si>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</si>
  <si>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</si>
  <si>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</si>
  <si>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</si>
  <si>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</si>
  <si>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</si>
  <si>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</si>
  <si>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</si>
  <si>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</si>
  <si>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</si>
  <si>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</si>
  <si>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</si>
  <si>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</si>
  <si>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</si>
  <si>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</si>
  <si>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</si>
  <si>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</si>
  <si>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</si>
  <si>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</si>
  <si>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</si>
  <si>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</si>
  <si>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</si>
  <si>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</si>
  <si>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</si>
  <si>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</si>
  <si>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</si>
  <si>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</si>
  <si>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</si>
  <si>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</si>
  <si>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</si>
  <si>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</si>
  <si>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</si>
  <si>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</si>
  <si>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</si>
  <si>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</si>
  <si>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</si>
  <si>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</si>
  <si>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</si>
  <si>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</si>
  <si>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</si>
  <si>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</si>
  <si>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</si>
  <si>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</si>
  <si>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</si>
  <si>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</si>
  <si>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</si>
  <si>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</si>
  <si>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</si>
  <si>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</si>
  <si>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</si>
  <si>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</si>
  <si>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</si>
  <si>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</si>
  <si>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</si>
  <si>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</si>
  <si>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</si>
  <si>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</si>
  <si>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</si>
  <si>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</si>
  <si>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</si>
  <si>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</si>
  <si>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</si>
  <si>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</si>
  <si>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</si>
  <si>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</si>
  <si>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</si>
  <si>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</si>
  <si>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</si>
  <si>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</si>
  <si>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</si>
  <si>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</si>
  <si>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</si>
  <si>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</si>
  <si>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</si>
  <si>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</si>
  <si>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</si>
  <si>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</si>
  <si>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</si>
  <si>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</si>
  <si>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</si>
  <si>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</si>
  <si>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</si>
  <si>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</si>
  <si>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</si>
  <si>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</si>
  <si>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</si>
  <si>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</si>
  <si>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</si>
  <si>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</si>
  <si>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</si>
  <si>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</si>
  <si>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</si>
  <si>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</si>
  <si>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</si>
  <si>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</si>
  <si>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</si>
  <si>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</si>
  <si>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</si>
  <si>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</si>
  <si>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</si>
  <si>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</si>
  <si>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</si>
  <si>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</si>
  <si>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</si>
  <si>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</si>
  <si>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</si>
  <si>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</si>
  <si>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</si>
  <si>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</si>
  <si>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</si>
  <si>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</si>
  <si>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</si>
  <si>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</si>
  <si>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</si>
  <si>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</si>
  <si>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</si>
  <si>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</si>
  <si>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</si>
  <si>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</si>
  <si>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</si>
  <si>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</si>
  <si>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</si>
  <si>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</si>
  <si>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</si>
  <si>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</si>
  <si>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</si>
  <si>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</si>
  <si>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</si>
  <si>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</si>
  <si>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</si>
  <si>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</si>
  <si>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</si>
  <si>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</si>
  <si>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</si>
  <si>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</si>
  <si>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</si>
  <si>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</si>
  <si>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</si>
  <si>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</si>
  <si>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</si>
  <si>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</si>
  <si>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</si>
  <si>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</si>
  <si>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</si>
  <si>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</si>
  <si>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</si>
  <si>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</si>
  <si>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</si>
  <si>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</si>
  <si>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</si>
  <si>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</si>
  <si>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</si>
  <si>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</si>
  <si>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</si>
  <si>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</si>
  <si>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</si>
  <si>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</si>
  <si>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</si>
  <si>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</si>
  <si>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</si>
  <si>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</si>
  <si>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</si>
  <si>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</si>
  <si>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</si>
  <si>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</si>
  <si>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</si>
  <si>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</si>
  <si>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</si>
  <si>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</si>
  <si>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</si>
  <si>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</si>
  <si>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</si>
  <si>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</si>
  <si>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</si>
  <si>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</si>
  <si>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</si>
  <si>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</si>
  <si>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</si>
  <si>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</si>
  <si>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</si>
  <si>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</si>
  <si>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</si>
  <si>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</si>
  <si>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</si>
  <si>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</si>
  <si>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</si>
  <si>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</si>
  <si>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</si>
  <si>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</si>
  <si>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</si>
  <si>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</si>
  <si>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</si>
  <si>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</si>
  <si>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</si>
  <si>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</si>
  <si>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</si>
  <si>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</si>
  <si>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</si>
  <si>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</si>
  <si>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</si>
  <si>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</si>
  <si>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</si>
  <si>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</si>
  <si>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</si>
  <si>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</si>
  <si>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</si>
  <si>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</si>
  <si>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</si>
  <si>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</si>
  <si>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</si>
  <si>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</si>
  <si>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</si>
  <si>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</si>
  <si>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</si>
  <si>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</si>
  <si>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</si>
  <si>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</si>
  <si>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</si>
  <si>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</si>
  <si>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</si>
  <si>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</si>
  <si>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</si>
  <si>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</si>
  <si>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</si>
  <si>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</si>
  <si>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</si>
  <si>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</si>
  <si>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</si>
  <si>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</si>
  <si>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</si>
  <si>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</si>
  <si>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</si>
  <si>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</si>
  <si>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</si>
  <si>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</si>
  <si>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</si>
  <si>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</si>
  <si>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</si>
  <si>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</si>
  <si>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</si>
  <si>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</si>
  <si>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</si>
  <si>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</si>
  <si>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</si>
  <si>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</si>
  <si>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</si>
  <si>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</si>
  <si>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</si>
  <si>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</si>
  <si>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</si>
  <si>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</si>
  <si>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</si>
  <si>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</si>
  <si>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</si>
  <si>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</si>
  <si>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</si>
  <si>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</si>
  <si>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</si>
  <si>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</si>
  <si>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</si>
  <si>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</si>
  <si>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</si>
  <si>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</si>
  <si>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</si>
  <si>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</si>
  <si>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</si>
  <si>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</si>
  <si>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</si>
  <si>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</si>
  <si>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</si>
  <si>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</si>
  <si>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</si>
  <si>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</si>
  <si>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</si>
  <si>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</si>
  <si>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</si>
  <si>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</si>
  <si>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</si>
  <si>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</si>
  <si>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</si>
  <si>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</si>
  <si>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</si>
  <si>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</si>
  <si>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</si>
  <si>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</si>
  <si>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</si>
  <si>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</si>
  <si>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</si>
  <si>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</si>
  <si>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</si>
  <si>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</si>
  <si>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</si>
  <si>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</si>
  <si>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</si>
  <si>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</si>
  <si>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</si>
  <si>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</si>
  <si>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</si>
  <si>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</si>
  <si>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</si>
  <si>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</si>
  <si>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</si>
  <si>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</si>
  <si>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</si>
  <si>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</si>
  <si>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</si>
  <si>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</si>
  <si>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</si>
  <si>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</si>
  <si>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</si>
  <si>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</si>
  <si>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</si>
  <si>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</si>
  <si>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</si>
  <si>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</si>
  <si>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</si>
  <si>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</si>
  <si>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</si>
  <si>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</si>
  <si>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</si>
  <si>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</si>
  <si>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</si>
  <si>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</si>
  <si>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</si>
  <si>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</si>
  <si>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</si>
  <si>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</si>
  <si>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</si>
  <si>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</si>
  <si>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</si>
  <si>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</si>
  <si>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</si>
  <si>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</si>
  <si>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</si>
  <si>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</si>
  <si>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</si>
  <si>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</si>
  <si>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</si>
  <si>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</si>
  <si>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</si>
  <si>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</si>
  <si>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</si>
  <si>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</si>
  <si>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</si>
  <si>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</si>
  <si>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</si>
  <si>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</si>
  <si>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</si>
  <si>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</si>
  <si>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</si>
  <si>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</si>
  <si>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</si>
  <si>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</si>
  <si>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</si>
  <si>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</si>
  <si>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</si>
  <si>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</si>
  <si>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</si>
  <si>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</si>
  <si>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</si>
  <si>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</si>
  <si>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</si>
  <si>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</si>
  <si>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</si>
  <si>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</si>
  <si>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</si>
  <si>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</si>
  <si>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</si>
  <si>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</si>
  <si>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</si>
  <si>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</si>
  <si>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</si>
  <si>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</si>
  <si>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</si>
  <si>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</si>
  <si>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</si>
  <si>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</si>
  <si>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</si>
  <si>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</si>
  <si>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</si>
  <si>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</si>
  <si>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</si>
  <si>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</si>
  <si>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</si>
  <si>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</si>
  <si>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</si>
  <si>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</si>
  <si>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</si>
  <si>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</si>
  <si>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</si>
  <si>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</si>
  <si>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</si>
  <si>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</si>
  <si>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</si>
  <si>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</si>
  <si>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</si>
  <si>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</si>
  <si>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</si>
  <si>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</si>
  <si>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</si>
  <si>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</si>
  <si>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</si>
  <si>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</si>
  <si>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</si>
  <si>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</si>
  <si>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</si>
  <si>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</si>
  <si>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</si>
  <si>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</si>
  <si>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</si>
  <si>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</si>
  <si>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</si>
  <si>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</si>
  <si>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</si>
  <si>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</si>
  <si>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</si>
  <si>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</si>
  <si>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</si>
  <si>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</si>
  <si>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</si>
  <si>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</si>
  <si>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</si>
  <si>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</si>
  <si>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</si>
  <si>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</si>
  <si>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</si>
  <si>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</si>
  <si>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</si>
  <si>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</si>
  <si>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</si>
  <si>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</si>
  <si>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</si>
  <si>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</si>
  <si>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</si>
  <si>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</si>
  <si>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</si>
  <si>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</si>
  <si>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</si>
  <si>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</si>
  <si>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</si>
  <si>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</si>
  <si>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</si>
  <si>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</si>
  <si>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</si>
  <si>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</si>
  <si>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</si>
  <si>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</si>
  <si>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</si>
  <si>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</si>
  <si>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</si>
  <si>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</si>
  <si>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</si>
  <si>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</si>
  <si>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</si>
  <si>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</si>
  <si>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</si>
  <si>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</si>
  <si>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</si>
  <si>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</si>
  <si>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</si>
  <si>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</si>
  <si>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</si>
  <si>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</si>
  <si>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</si>
  <si>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</si>
  <si>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</si>
  <si>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</si>
  <si>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</si>
  <si>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</si>
  <si>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</si>
  <si>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</si>
  <si>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</si>
  <si>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</si>
  <si>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</si>
  <si>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</si>
  <si>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</si>
  <si>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</si>
  <si>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</si>
  <si>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</si>
  <si>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</si>
  <si>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</si>
  <si>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</si>
  <si>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</si>
  <si>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</si>
  <si>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</si>
  <si>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</si>
  <si>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</si>
  <si>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</si>
  <si>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</si>
  <si>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</si>
  <si>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</si>
  <si>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</si>
  <si>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</si>
  <si>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</si>
  <si>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</si>
  <si>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</si>
  <si>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</si>
  <si>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</si>
  <si>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</si>
  <si>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</si>
  <si>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</si>
  <si>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</si>
  <si>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</si>
  <si>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</si>
  <si>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</si>
  <si>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</si>
  <si>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</si>
  <si>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</si>
  <si>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</si>
  <si>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</si>
  <si>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</si>
  <si>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</si>
  <si>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</si>
  <si>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</si>
  <si>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</si>
  <si>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</si>
  <si>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</si>
  <si>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</si>
  <si>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</si>
  <si>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</si>
  <si>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</si>
  <si>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</si>
  <si>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</si>
  <si>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</si>
  <si>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</si>
  <si>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</si>
  <si>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</si>
  <si>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</si>
  <si>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</si>
  <si>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</si>
  <si>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</si>
  <si>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</si>
  <si>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</si>
  <si>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</si>
  <si>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</si>
  <si>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</si>
  <si>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</si>
  <si>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</si>
  <si>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</si>
  <si>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</si>
  <si>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</si>
  <si>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</si>
  <si>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</si>
  <si>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</si>
  <si>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</si>
  <si>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</si>
  <si>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</si>
  <si>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</si>
  <si>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</si>
  <si>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</si>
  <si>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</si>
  <si>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</si>
  <si>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</si>
  <si>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</si>
  <si>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</si>
  <si>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</si>
  <si>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</si>
  <si>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</si>
  <si>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</si>
  <si>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</si>
  <si>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</si>
  <si>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</si>
  <si>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</si>
  <si>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</si>
  <si>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</si>
  <si>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</si>
  <si>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</si>
  <si>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</si>
  <si>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</si>
  <si>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</si>
  <si>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</si>
  <si>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</si>
  <si>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</si>
  <si>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</si>
  <si>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</si>
  <si>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</si>
  <si>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</si>
  <si>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</si>
  <si>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</si>
  <si>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</si>
  <si>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</si>
  <si>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</si>
  <si>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</si>
  <si>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</si>
  <si>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</si>
  <si>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</si>
  <si>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</si>
  <si>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</si>
  <si>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</si>
  <si>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</si>
  <si>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</si>
  <si>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</si>
  <si>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</si>
  <si>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</si>
  <si>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</si>
  <si>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</si>
  <si>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</si>
  <si>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</si>
  <si>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</si>
  <si>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</si>
  <si>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</si>
  <si>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</si>
  <si>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</si>
  <si>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</si>
  <si>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</si>
  <si>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</si>
  <si>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</si>
  <si>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</si>
  <si>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</si>
  <si>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</si>
  <si>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</si>
  <si>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</si>
  <si>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</si>
  <si>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</si>
  <si>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</si>
  <si>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</si>
  <si>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</si>
  <si>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</si>
  <si>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</si>
  <si>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</si>
  <si>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</si>
  <si>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</si>
  <si>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</si>
  <si>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</si>
  <si>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</si>
  <si>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</si>
  <si>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</si>
  <si>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</si>
  <si>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</si>
  <si>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</si>
  <si>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</si>
  <si>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</si>
  <si>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</si>
  <si>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</si>
  <si>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</si>
  <si>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</si>
  <si>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</si>
  <si>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</si>
  <si>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</si>
  <si>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</si>
  <si>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</si>
  <si>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</si>
  <si>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</si>
  <si>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</si>
  <si>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</si>
  <si>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</si>
  <si>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</si>
  <si>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</si>
  <si>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</si>
  <si>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</si>
  <si>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</si>
  <si>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</si>
  <si>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</si>
  <si>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</si>
  <si>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</si>
  <si>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</si>
  <si>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</si>
  <si>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</si>
  <si>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</si>
  <si>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</si>
  <si>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</si>
  <si>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</si>
  <si>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</si>
  <si>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</si>
  <si>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</si>
  <si>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</si>
  <si>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</si>
  <si>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</si>
  <si>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</si>
  <si>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</si>
  <si>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</si>
  <si>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</si>
  <si>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</si>
  <si>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</si>
  <si>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</si>
  <si>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</si>
  <si>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</si>
  <si>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</si>
  <si>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</si>
  <si>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</si>
  <si>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</si>
  <si>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</si>
  <si>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</si>
  <si>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</si>
  <si>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</si>
  <si>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</si>
  <si>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</si>
  <si>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</si>
  <si>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</si>
  <si>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</si>
  <si>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</si>
  <si>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</si>
  <si>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</si>
  <si>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</si>
  <si>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</si>
  <si>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</si>
  <si>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</si>
  <si>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</si>
  <si>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</si>
  <si>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</si>
  <si>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</si>
  <si>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</si>
  <si>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</si>
  <si>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</si>
  <si>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</si>
  <si>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</si>
  <si>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</si>
  <si>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</si>
  <si>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</si>
  <si>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</si>
  <si>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</si>
  <si>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</si>
  <si>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</si>
  <si>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</si>
  <si>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</si>
  <si>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</si>
  <si>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</si>
  <si>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</si>
  <si>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</si>
  <si>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</si>
  <si>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</si>
  <si>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</si>
  <si>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</si>
  <si>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</si>
  <si>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</si>
  <si>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</si>
  <si>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</si>
  <si>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</si>
  <si>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</si>
  <si>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</si>
  <si>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</si>
  <si>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</si>
  <si>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</si>
  <si>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</si>
  <si>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</si>
  <si>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</si>
  <si>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</si>
  <si>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</si>
  <si>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</si>
  <si>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</si>
  <si>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</si>
  <si>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</si>
  <si>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</si>
  <si>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</si>
  <si>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</si>
  <si>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</si>
  <si>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</si>
  <si>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</si>
  <si>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</si>
  <si>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</si>
  <si>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</si>
  <si>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</si>
  <si>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</si>
  <si>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</si>
  <si>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</si>
  <si>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</si>
  <si>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</si>
  <si>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</si>
  <si>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</si>
  <si>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</si>
  <si>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</si>
  <si>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</si>
  <si>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</si>
  <si>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</si>
  <si>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</si>
  <si>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</si>
  <si>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</si>
  <si>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</si>
  <si>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</si>
  <si>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</si>
  <si>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</si>
  <si>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</si>
  <si>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</si>
  <si>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</si>
  <si>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</si>
  <si>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</si>
  <si>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</si>
  <si>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</si>
  <si>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</si>
  <si>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</si>
  <si>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</si>
  <si>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</si>
  <si>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</si>
  <si>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</si>
  <si>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</si>
  <si>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</si>
  <si>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</si>
  <si>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</si>
  <si>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</si>
  <si>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</si>
  <si>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</si>
  <si>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</si>
  <si>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</si>
  <si>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</si>
  <si>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</si>
  <si>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</si>
  <si>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</si>
  <si>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</si>
  <si>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</si>
  <si>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</si>
  <si>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</si>
  <si>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</si>
  <si>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</si>
  <si>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</si>
  <si>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</si>
  <si>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</si>
  <si>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</si>
  <si>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</si>
  <si>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</si>
  <si>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</si>
  <si>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</si>
  <si>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</si>
  <si>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</si>
  <si>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</si>
  <si>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</si>
  <si>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</si>
  <si>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</si>
  <si>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</si>
  <si>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</si>
  <si>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</si>
  <si>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</si>
  <si>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</si>
  <si>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</si>
  <si>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</si>
  <si>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</si>
  <si>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</si>
  <si>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</si>
  <si>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</si>
  <si>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</si>
  <si>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</si>
  <si>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</si>
  <si>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</si>
  <si>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</si>
  <si>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</si>
  <si>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</si>
  <si>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</si>
  <si>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</si>
  <si>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</si>
  <si>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</si>
  <si>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</si>
  <si>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</si>
  <si>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</si>
  <si>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</si>
  <si>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</si>
  <si>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</si>
  <si>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</si>
  <si>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</si>
  <si>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</si>
  <si>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</si>
  <si>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</si>
  <si>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</si>
  <si>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</si>
  <si>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</si>
  <si>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</si>
  <si>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</si>
  <si>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</si>
  <si>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</si>
  <si>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</si>
  <si>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</si>
  <si>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</si>
  <si>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</si>
  <si>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</si>
  <si>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</si>
  <si>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</si>
  <si>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</si>
  <si>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</si>
  <si>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</si>
  <si>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</si>
  <si>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</si>
  <si>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</si>
  <si>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</si>
  <si>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</si>
  <si>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</si>
  <si>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</si>
  <si>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</si>
  <si>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</si>
  <si>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</si>
  <si>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</si>
  <si>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</si>
  <si>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</si>
  <si>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</si>
  <si>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</si>
  <si>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</si>
  <si>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</si>
  <si>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</si>
  <si>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</si>
  <si>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</si>
  <si>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</si>
  <si>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</si>
  <si>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</si>
  <si>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</si>
  <si>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</si>
  <si>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</si>
  <si>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</si>
  <si>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</si>
  <si>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</si>
  <si>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</si>
  <si>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</si>
  <si>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</si>
  <si>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</si>
  <si>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</si>
  <si>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</si>
  <si>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</si>
  <si>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</si>
  <si>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</si>
  <si>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</si>
  <si>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</si>
  <si>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</si>
  <si>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</si>
  <si>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</si>
  <si>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</si>
  <si>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</si>
  <si>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</si>
  <si>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</si>
  <si>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</si>
  <si>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</si>
  <si>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</si>
  <si>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</si>
  <si>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</si>
  <si>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</si>
  <si>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</si>
  <si>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</si>
  <si>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</si>
  <si>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</si>
  <si>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</si>
  <si>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</si>
  <si>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</si>
  <si>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</si>
  <si>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</si>
  <si>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</si>
  <si>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</si>
  <si>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</si>
  <si>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</si>
  <si>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</si>
  <si>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</si>
  <si>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</si>
  <si>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</si>
  <si>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</si>
  <si>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</si>
  <si>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</si>
  <si>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</si>
  <si>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</si>
  <si>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</si>
  <si>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</si>
  <si>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</si>
  <si>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</si>
  <si>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</si>
  <si>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</si>
  <si>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</si>
  <si>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</si>
  <si>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</si>
  <si>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</si>
  <si>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</si>
  <si>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</si>
  <si>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</si>
  <si>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</si>
  <si>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</si>
  <si>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</si>
  <si>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</si>
  <si>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</si>
  <si>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</si>
  <si>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</si>
  <si>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</si>
  <si>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</si>
  <si>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</si>
  <si>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</si>
  <si>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</si>
  <si>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</si>
  <si>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</si>
  <si>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</si>
  <si>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</si>
  <si>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</si>
  <si>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</si>
  <si>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</si>
  <si>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</si>
  <si>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</si>
  <si>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</si>
  <si>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</si>
  <si>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</si>
  <si>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</si>
  <si>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</si>
  <si>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</si>
  <si>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</si>
  <si>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</si>
  <si>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</si>
  <si>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</si>
  <si>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</si>
  <si>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</si>
  <si>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</si>
  <si>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</si>
  <si>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</si>
  <si>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</si>
  <si>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</si>
  <si>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</si>
  <si>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</si>
  <si>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</si>
  <si>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</si>
  <si>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</si>
  <si>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</si>
  <si>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</si>
  <si>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</si>
  <si>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</si>
  <si>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</si>
  <si>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</si>
  <si>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</si>
  <si>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</si>
  <si>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</si>
  <si>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</si>
  <si>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</si>
  <si>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</si>
  <si>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</si>
  <si>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</si>
  <si>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</si>
  <si>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</si>
  <si>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</si>
  <si>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</si>
  <si>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</si>
  <si>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</si>
  <si>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</si>
  <si>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</si>
  <si>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</si>
  <si>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</si>
  <si>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</si>
  <si>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</si>
  <si>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</si>
  <si>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</si>
  <si>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</si>
  <si>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</si>
  <si>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</si>
  <si>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</si>
  <si>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</si>
  <si>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</si>
  <si>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</si>
  <si>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</si>
  <si>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</si>
  <si>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</si>
  <si>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</si>
  <si>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</si>
  <si>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</si>
  <si>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</si>
  <si>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</si>
  <si>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</si>
  <si>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</si>
  <si>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</si>
  <si>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</si>
  <si>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</si>
  <si>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</si>
  <si>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</si>
  <si>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</si>
  <si>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</si>
  <si>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</si>
  <si>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</si>
  <si>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</si>
  <si>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</si>
  <si>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</si>
  <si>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</si>
  <si>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</si>
  <si>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</si>
  <si>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</si>
  <si>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</si>
  <si>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</si>
  <si>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</si>
  <si>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</si>
  <si>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</si>
  <si>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</si>
  <si>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</si>
  <si>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</si>
  <si>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</si>
  <si>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</si>
  <si>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</si>
  <si>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</si>
  <si>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</si>
  <si>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</si>
  <si>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</si>
  <si>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</si>
  <si>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</si>
  <si>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</si>
  <si>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</si>
  <si>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</si>
  <si>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</si>
  <si>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</si>
  <si>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</si>
  <si>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</si>
  <si>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</si>
  <si>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</si>
  <si>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</si>
  <si>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</si>
  <si>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</si>
  <si>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</si>
  <si>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</si>
  <si>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</si>
  <si>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</si>
  <si>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</si>
  <si>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</si>
  <si>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</si>
  <si>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</si>
  <si>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</si>
  <si>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</si>
  <si>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</si>
  <si>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</si>
  <si>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</si>
  <si>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</si>
  <si>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</si>
  <si>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</si>
  <si>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</si>
  <si>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</si>
  <si>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</si>
  <si>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</si>
  <si>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</si>
  <si>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</si>
  <si>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</si>
  <si>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</si>
  <si>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</si>
  <si>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</si>
  <si>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</si>
  <si>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</si>
  <si>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</si>
  <si>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</si>
  <si>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</si>
  <si>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</si>
  <si>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</si>
  <si>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</si>
  <si>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</si>
  <si>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</si>
  <si>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</si>
  <si>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</si>
  <si>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</si>
  <si>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</si>
  <si>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</si>
  <si>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</si>
  <si>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</si>
  <si>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</si>
  <si>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</si>
  <si>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</si>
  <si>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</si>
  <si>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</si>
  <si>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</si>
  <si>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</si>
  <si>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</si>
  <si>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</si>
  <si>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</si>
  <si>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</si>
  <si>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</si>
  <si>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</si>
  <si>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</si>
  <si>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</si>
  <si>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</si>
  <si>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</si>
  <si>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</si>
  <si>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</si>
  <si>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</si>
  <si>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</si>
  <si>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</si>
  <si>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</si>
  <si>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</si>
  <si>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</si>
  <si>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</si>
  <si>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</si>
  <si>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</si>
  <si>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</si>
  <si>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</si>
  <si>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</si>
  <si>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</si>
  <si>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</si>
  <si>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</si>
  <si>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</si>
  <si>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</si>
  <si>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</si>
  <si>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</si>
  <si>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</si>
  <si>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</si>
  <si>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</si>
  <si>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</si>
  <si>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</si>
  <si>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</si>
  <si>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</si>
  <si>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</si>
  <si>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</si>
  <si>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</si>
  <si>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</si>
  <si>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</si>
  <si>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</si>
  <si>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</si>
  <si>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</si>
  <si>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</si>
  <si>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</si>
  <si>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</si>
  <si>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</si>
  <si>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</si>
  <si>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</si>
  <si>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</si>
  <si>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</si>
  <si>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</si>
  <si>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</si>
  <si>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</si>
  <si>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</si>
  <si>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</si>
  <si>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</si>
  <si>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</si>
  <si>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</si>
  <si>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</si>
  <si>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</si>
  <si>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</si>
  <si>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</si>
  <si>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</si>
  <si>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</si>
  <si>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</si>
  <si>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</si>
  <si>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</si>
  <si>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</si>
  <si>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</si>
  <si>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</si>
  <si>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</si>
  <si>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</si>
  <si>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</si>
  <si>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</si>
  <si>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</si>
  <si>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</si>
  <si>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</si>
  <si>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</si>
  <si>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</si>
  <si>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</si>
  <si>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</si>
  <si>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</si>
  <si>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</si>
  <si>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</si>
  <si>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</si>
  <si>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</si>
  <si>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</si>
  <si>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</si>
  <si>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</si>
  <si>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</si>
  <si>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</si>
  <si>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</si>
  <si>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</si>
  <si>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</si>
  <si>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</si>
  <si>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</si>
  <si>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</si>
  <si>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</si>
  <si>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</si>
  <si>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</si>
  <si>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</si>
  <si>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</si>
  <si>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</si>
  <si>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</si>
  <si>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</si>
  <si>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</si>
  <si>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</si>
  <si>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</si>
  <si>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</si>
  <si>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</si>
  <si>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</si>
  <si>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</si>
  <si>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</si>
  <si>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</si>
  <si>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</si>
  <si>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</si>
  <si>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</si>
  <si>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</si>
  <si>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</si>
  <si>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</si>
  <si>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</si>
  <si>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</si>
  <si>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</si>
  <si>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</si>
  <si>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</si>
  <si>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</si>
  <si>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</si>
  <si>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</si>
  <si>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</si>
  <si>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</si>
  <si>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</si>
  <si>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</si>
  <si>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</si>
  <si>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</si>
  <si>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</si>
  <si>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</si>
  <si>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</si>
  <si>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</si>
  <si>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</si>
  <si>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</si>
  <si>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</si>
  <si>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</si>
  <si>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</si>
  <si>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</si>
  <si>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</si>
  <si>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</si>
  <si>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</si>
  <si>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</si>
  <si>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</si>
  <si>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</si>
  <si>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</si>
  <si>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</si>
  <si>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</si>
  <si>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</si>
  <si>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</si>
  <si>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</si>
  <si>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</si>
  <si>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</si>
  <si>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</si>
  <si>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</si>
  <si>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</si>
  <si>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</si>
  <si>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</si>
  <si>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</si>
  <si>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</si>
  <si>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</si>
  <si>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</si>
  <si>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</si>
  <si>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</si>
  <si>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</si>
  <si>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</si>
  <si>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</si>
  <si>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</si>
  <si>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</si>
  <si>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</si>
  <si>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</si>
  <si>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</si>
  <si>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</si>
  <si>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</si>
  <si>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</si>
  <si>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</si>
  <si>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</si>
  <si>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</si>
  <si>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</si>
  <si>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</si>
  <si>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</si>
  <si>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</si>
  <si>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</si>
  <si>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</si>
  <si>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</si>
  <si>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</si>
  <si>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</si>
  <si>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</si>
  <si>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</si>
  <si>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</si>
  <si>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</si>
  <si>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</si>
  <si>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</si>
  <si>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</si>
  <si>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</si>
  <si>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</si>
  <si>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</si>
  <si>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</si>
  <si>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</si>
  <si>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</si>
  <si>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</si>
  <si>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</si>
  <si>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</si>
  <si>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</si>
  <si>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</si>
  <si>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</si>
  <si>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</si>
  <si>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</si>
  <si>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</si>
  <si>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</si>
  <si>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</si>
  <si>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</si>
  <si>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</si>
  <si>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</si>
  <si>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</si>
  <si>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</si>
  <si>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</si>
  <si>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</si>
  <si>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</si>
  <si>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</si>
  <si>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</si>
  <si>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</si>
  <si>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</si>
  <si>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</si>
  <si>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</si>
  <si>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</si>
  <si>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</si>
  <si>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</si>
  <si>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</si>
  <si>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</si>
  <si>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</si>
  <si>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</si>
  <si>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</si>
  <si>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</si>
  <si>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</si>
  <si>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</si>
  <si>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</si>
  <si>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</si>
  <si>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</si>
  <si>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</si>
  <si>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</si>
  <si>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</si>
  <si>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</si>
  <si>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</si>
  <si>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</si>
  <si>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</si>
  <si>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</si>
  <si>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</si>
  <si>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</si>
  <si>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</si>
  <si>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</si>
  <si>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</si>
  <si>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</si>
  <si>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</si>
  <si>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</si>
  <si>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</si>
  <si>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</si>
  <si>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</si>
  <si>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</si>
  <si>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</si>
  <si>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</si>
  <si>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</si>
  <si>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</si>
  <si>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</si>
  <si>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</si>
  <si>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</si>
  <si>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</si>
  <si>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</si>
  <si>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</si>
  <si>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</si>
  <si>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</si>
  <si>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</si>
  <si>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</si>
  <si>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</si>
  <si>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</si>
  <si>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</si>
  <si>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</si>
  <si>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</si>
  <si>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</si>
  <si>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</si>
  <si>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</si>
  <si>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</si>
  <si>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</si>
  <si>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</si>
  <si>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</si>
  <si>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</si>
  <si>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</si>
  <si>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</si>
  <si>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</si>
  <si>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</si>
  <si>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</si>
  <si>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</si>
  <si>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</si>
  <si>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</si>
  <si>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</si>
  <si>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</si>
  <si>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</si>
  <si>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</si>
  <si>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</si>
  <si>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</si>
  <si>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</si>
  <si>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</si>
  <si>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</si>
  <si>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</si>
  <si>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</si>
  <si>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</si>
  <si>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</si>
  <si>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</si>
  <si>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</si>
  <si>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</si>
  <si>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</si>
  <si>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</si>
  <si>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</si>
  <si>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</si>
  <si>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</si>
  <si>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</si>
  <si>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</si>
  <si>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</si>
  <si>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</si>
  <si>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</si>
  <si>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</si>
  <si>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</si>
  <si>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</si>
  <si>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</si>
  <si>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</si>
  <si>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</si>
  <si>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</si>
  <si>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</si>
  <si>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</si>
  <si>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</si>
  <si>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</si>
  <si>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</si>
  <si>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</si>
  <si>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</si>
  <si>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</si>
  <si>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</si>
  <si>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</si>
  <si>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</si>
  <si>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</si>
  <si>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</si>
  <si>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</si>
  <si>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</si>
  <si>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</si>
  <si>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</si>
  <si>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</si>
  <si>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</si>
  <si>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</si>
  <si>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</si>
  <si>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</si>
  <si>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</si>
  <si>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</si>
  <si>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</si>
  <si>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</si>
  <si>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</si>
  <si>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</si>
  <si>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</si>
  <si>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</si>
  <si>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</si>
  <si>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</si>
  <si>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</si>
  <si>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</si>
  <si>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</si>
  <si>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</si>
  <si>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</si>
  <si>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</si>
  <si>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</si>
  <si>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</si>
  <si>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</si>
  <si>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</si>
  <si>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</si>
  <si>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</si>
  <si>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</si>
  <si>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</si>
  <si>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</si>
  <si>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</si>
  <si>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</si>
  <si>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</si>
  <si>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</si>
  <si>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</si>
  <si>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</si>
  <si>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</si>
  <si>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</si>
  <si>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</si>
  <si>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</si>
  <si>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</si>
  <si>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</si>
  <si>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</si>
  <si>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</si>
  <si>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</si>
  <si>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</si>
  <si>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</si>
  <si>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</si>
  <si>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</si>
  <si>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</si>
  <si>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</si>
  <si>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</si>
  <si>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</si>
  <si>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</si>
  <si>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</si>
  <si>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</si>
  <si>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</si>
  <si>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</si>
  <si>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</si>
  <si>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</si>
  <si>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</si>
  <si>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</si>
  <si>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</si>
  <si>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</si>
  <si>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</si>
  <si>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</si>
  <si>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</si>
  <si>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</si>
  <si>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</si>
  <si>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</si>
  <si>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</si>
  <si>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</si>
  <si>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</si>
  <si>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</si>
  <si>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</si>
  <si>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</si>
  <si>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</si>
  <si>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</si>
  <si>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</si>
  <si>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</si>
  <si>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</si>
  <si>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</si>
  <si>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</si>
  <si>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</si>
  <si>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</si>
  <si>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</si>
  <si>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</si>
  <si>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</si>
  <si>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</si>
  <si>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</si>
  <si>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</si>
  <si>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</si>
  <si>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</si>
  <si>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</si>
  <si>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</si>
  <si>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</si>
  <si>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</si>
  <si>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</si>
  <si>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</si>
  <si>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</si>
  <si>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</si>
  <si>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</si>
  <si>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</si>
  <si>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</si>
  <si>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</si>
  <si>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</si>
  <si>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</si>
  <si>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</si>
  <si>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</si>
  <si>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</si>
  <si>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</si>
  <si>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</si>
  <si>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</si>
  <si>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</si>
  <si>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</si>
  <si>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</si>
  <si>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</si>
  <si>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</si>
  <si>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</si>
  <si>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</si>
  <si>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</si>
  <si>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</si>
  <si>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</si>
  <si>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</si>
  <si>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</si>
  <si>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</si>
  <si>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</si>
  <si>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</si>
  <si>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</si>
  <si>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</si>
  <si>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</si>
  <si>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</si>
  <si>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</si>
  <si>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</si>
  <si>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</si>
  <si>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</si>
  <si>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</si>
  <si>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</si>
  <si>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</si>
  <si>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</si>
  <si>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</si>
  <si>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</si>
  <si>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</si>
  <si>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</si>
  <si>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</si>
  <si>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</si>
  <si>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</si>
  <si>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</si>
  <si>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</si>
  <si>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</si>
  <si>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</si>
  <si>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</si>
  <si>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</si>
  <si>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</si>
  <si>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</si>
  <si>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</si>
  <si>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</si>
  <si>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</si>
  <si>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</si>
  <si>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</si>
  <si>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</si>
  <si>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</si>
  <si>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</si>
  <si>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</si>
  <si>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</si>
  <si>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</si>
  <si>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</si>
  <si>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</si>
  <si>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</si>
  <si>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</si>
  <si>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</si>
  <si>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</si>
  <si>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</si>
  <si>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</si>
  <si>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</si>
  <si>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</si>
  <si>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</si>
  <si>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</si>
  <si>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</si>
  <si>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</si>
  <si>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</si>
  <si>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</si>
  <si>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</si>
  <si>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</si>
  <si>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</si>
  <si>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</si>
  <si>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</si>
  <si>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</si>
  <si>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</si>
  <si>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</si>
  <si>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</si>
  <si>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</si>
  <si>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</si>
  <si>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</si>
  <si>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</si>
  <si>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</si>
  <si>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</si>
  <si>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</si>
  <si>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</si>
  <si>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</si>
  <si>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</si>
  <si>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</si>
  <si>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</si>
  <si>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</si>
  <si>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</si>
  <si>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</si>
  <si>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</si>
  <si>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</si>
  <si>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</si>
  <si>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</si>
  <si>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</si>
  <si>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</si>
  <si>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</si>
  <si>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</si>
  <si>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</si>
  <si>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</si>
  <si>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</si>
  <si>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</si>
  <si>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</si>
  <si>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</si>
  <si>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</si>
  <si>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</si>
  <si>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</si>
  <si>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</si>
  <si>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</si>
  <si>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</si>
  <si>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</si>
  <si>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</si>
  <si>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</si>
  <si>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</si>
  <si>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</si>
  <si>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</si>
  <si>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</si>
  <si>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</si>
  <si>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</si>
  <si>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</si>
  <si>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</si>
  <si>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</si>
  <si>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</si>
  <si>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</si>
  <si>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</si>
  <si>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</si>
  <si>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</si>
  <si>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</si>
  <si>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</si>
  <si>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</si>
  <si>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</si>
  <si>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</si>
  <si>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</si>
  <si>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</si>
  <si>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</si>
  <si>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</si>
  <si>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</si>
  <si>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</si>
  <si>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</si>
  <si>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</si>
  <si>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</si>
  <si>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</si>
  <si>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</si>
  <si>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</si>
  <si>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</si>
  <si>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</si>
  <si>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</si>
  <si>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</si>
  <si>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</si>
  <si>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</si>
  <si>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</si>
  <si>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</si>
  <si>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</si>
  <si>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</si>
  <si>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</si>
  <si>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</si>
  <si>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</si>
  <si>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</si>
  <si>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</si>
  <si>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</si>
  <si>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</si>
  <si>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</si>
  <si>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</si>
  <si>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</si>
  <si>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</si>
  <si>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</si>
  <si>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</si>
  <si>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</si>
  <si>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</si>
  <si>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</si>
  <si>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</si>
  <si>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</si>
  <si>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</si>
  <si>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</si>
  <si>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</si>
  <si>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</si>
  <si>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</si>
  <si>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</si>
  <si>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</si>
  <si>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</si>
  <si>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</si>
  <si>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</si>
  <si>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</si>
  <si>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</si>
  <si>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</si>
  <si>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</si>
  <si>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</si>
  <si>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</si>
  <si>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</si>
  <si>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</si>
  <si>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</si>
  <si>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</si>
  <si>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</si>
  <si>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</si>
  <si>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</si>
  <si>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</si>
  <si>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</si>
  <si>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</si>
  <si>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</si>
  <si>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</si>
  <si>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</si>
  <si>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</si>
  <si>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</si>
  <si>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</si>
  <si>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</si>
  <si>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</si>
  <si>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</si>
  <si>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</si>
  <si>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</si>
  <si>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</si>
  <si>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</si>
  <si>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</si>
  <si>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</si>
  <si>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</si>
  <si>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</si>
  <si>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</si>
  <si>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</si>
  <si>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</si>
  <si>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</si>
  <si>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</si>
  <si>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</si>
  <si>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</si>
  <si>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</si>
  <si>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</si>
  <si>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</si>
  <si>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</si>
  <si>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</si>
  <si>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</si>
  <si>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</si>
  <si>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</si>
  <si>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</si>
  <si>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</si>
  <si>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</si>
  <si>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</si>
  <si>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</si>
  <si>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</si>
  <si>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</si>
  <si>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</si>
  <si>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</si>
  <si>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</si>
  <si>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</si>
  <si>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</si>
  <si>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</si>
  <si>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</si>
  <si>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</si>
  <si>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</si>
  <si>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</si>
  <si>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</si>
  <si>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</si>
  <si>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</si>
  <si>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</si>
  <si>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</si>
  <si>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</si>
  <si>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</si>
  <si>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</si>
  <si>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</si>
  <si>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</si>
  <si>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</si>
  <si>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</si>
  <si>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</si>
  <si>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</si>
  <si>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</si>
  <si>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</si>
  <si>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</si>
  <si>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</si>
  <si>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</si>
  <si>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</si>
  <si>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</si>
  <si>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</si>
  <si>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</si>
  <si>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</si>
  <si>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</si>
  <si>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</si>
  <si>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</si>
  <si>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</si>
  <si>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</si>
  <si>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</si>
  <si>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</si>
  <si>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</si>
  <si>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</si>
  <si>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</si>
  <si>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</si>
  <si>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</si>
  <si>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</si>
  <si>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</si>
  <si>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</si>
  <si>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</si>
  <si>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</si>
  <si>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</si>
  <si>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</si>
  <si>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</si>
  <si>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</si>
  <si>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</si>
  <si>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</si>
  <si>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</si>
  <si>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</si>
  <si>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</si>
  <si>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</si>
  <si>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</si>
  <si>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</si>
  <si>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</si>
  <si>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</si>
  <si>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</si>
  <si>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</si>
  <si>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</si>
  <si>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</si>
  <si>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</si>
  <si>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</si>
  <si>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</si>
  <si>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</si>
  <si>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</si>
  <si>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</si>
  <si>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</si>
  <si>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</si>
  <si>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</si>
  <si>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</si>
  <si>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</si>
  <si>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</si>
  <si>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</si>
  <si>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</si>
  <si>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</si>
  <si>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</si>
  <si>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</si>
  <si>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</si>
  <si>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</si>
  <si>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</si>
  <si>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</si>
  <si>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</si>
  <si>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</si>
  <si>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</si>
  <si>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</si>
  <si>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</si>
  <si>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</si>
  <si>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</si>
  <si>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</si>
  <si>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</si>
  <si>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</si>
  <si>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</si>
  <si>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</si>
  <si>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</si>
  <si>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</si>
  <si>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</si>
  <si>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</si>
  <si>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</si>
  <si>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</si>
  <si>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</si>
  <si>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</si>
  <si>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</si>
  <si>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</si>
  <si>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</si>
  <si>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</si>
  <si>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</si>
  <si>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</si>
  <si>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</si>
  <si>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</si>
  <si>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</si>
  <si>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</si>
  <si>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</si>
  <si>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</si>
  <si>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</si>
  <si>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</si>
  <si>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</si>
  <si>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</si>
  <si>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</si>
  <si>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</si>
  <si>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</si>
  <si>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</si>
  <si>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</si>
  <si>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</si>
  <si>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</si>
  <si>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</si>
  <si>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</si>
  <si>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</si>
  <si>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</si>
  <si>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</si>
  <si>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</si>
  <si>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</si>
  <si>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</si>
  <si>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</si>
  <si>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</si>
  <si>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</si>
  <si>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</si>
  <si>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</si>
  <si>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</si>
  <si>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</si>
  <si>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</si>
  <si>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</si>
  <si>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</si>
  <si>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</si>
  <si>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</si>
  <si>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</si>
  <si>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</si>
  <si>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</si>
  <si>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</si>
  <si>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</si>
  <si>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</si>
  <si>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</si>
  <si>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</si>
  <si>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</si>
  <si>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</si>
  <si>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</si>
  <si>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</si>
  <si>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</si>
  <si>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</si>
  <si>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</si>
  <si>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</si>
  <si>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</si>
  <si>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</si>
  <si>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</si>
  <si>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</si>
  <si>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</si>
  <si>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</si>
  <si>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</si>
  <si>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</si>
  <si>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</si>
  <si>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</si>
  <si>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</si>
  <si>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</si>
  <si>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</si>
  <si>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</si>
  <si>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</si>
  <si>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</si>
  <si>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</si>
  <si>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</si>
  <si>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</si>
  <si>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</si>
  <si>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</si>
  <si>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</si>
  <si>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</si>
  <si>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</si>
  <si>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</si>
  <si>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</si>
  <si>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</si>
  <si>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</si>
  <si>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</si>
  <si>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</si>
  <si>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</si>
  <si>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</si>
  <si>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</si>
  <si>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</si>
  <si>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</si>
  <si>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</si>
  <si>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</si>
  <si>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</si>
  <si>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</si>
  <si>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</si>
  <si>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</si>
  <si>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</si>
  <si>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</si>
  <si>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</si>
  <si>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</si>
  <si>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</si>
  <si>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</si>
  <si>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</si>
  <si>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</si>
  <si>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</si>
  <si>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</si>
  <si>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</si>
  <si>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</si>
  <si>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</si>
  <si>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</si>
  <si>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</si>
  <si>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</si>
  <si>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</si>
  <si>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</si>
  <si>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</si>
  <si>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</si>
  <si>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</si>
  <si>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</si>
  <si>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</si>
  <si>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</si>
  <si>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</si>
  <si>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</si>
  <si>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</si>
  <si>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</si>
  <si>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</si>
  <si>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</si>
  <si>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</si>
  <si>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</si>
  <si>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</si>
  <si>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</si>
  <si>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</si>
  <si>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</si>
  <si>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</si>
  <si>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</si>
  <si>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</si>
  <si>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</si>
  <si>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</si>
  <si>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</si>
  <si>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</si>
  <si>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</si>
  <si>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</si>
  <si>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</si>
  <si>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</si>
  <si>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</si>
  <si>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</si>
  <si>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</si>
  <si>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</si>
  <si>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</si>
  <si>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</si>
  <si>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</si>
  <si>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</si>
  <si>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</si>
  <si>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</si>
  <si>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</si>
  <si>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</si>
  <si>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</si>
  <si>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</si>
  <si>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</si>
  <si>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</si>
  <si>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</si>
  <si>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</si>
  <si>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</si>
  <si>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</si>
  <si>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</si>
  <si>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</si>
  <si>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</si>
  <si>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</si>
  <si>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</si>
  <si>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</si>
  <si>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</si>
  <si>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</si>
  <si>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</si>
  <si>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</si>
  <si>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</si>
  <si>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</si>
  <si>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</si>
  <si>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</si>
  <si>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</si>
  <si>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</si>
  <si>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</si>
  <si>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</si>
  <si>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</si>
  <si>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</si>
  <si>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</si>
  <si>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</si>
  <si>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</si>
  <si>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</si>
  <si>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</si>
  <si>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</si>
  <si>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</si>
  <si>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</si>
  <si>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</si>
  <si>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</si>
  <si>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</si>
  <si>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</si>
  <si>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</si>
  <si>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</si>
  <si>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</si>
  <si>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</si>
  <si>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</si>
  <si>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</si>
  <si>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</si>
  <si>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</si>
  <si>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</si>
  <si>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</si>
  <si>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</si>
  <si>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</si>
  <si>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</si>
  <si>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</si>
  <si>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</si>
  <si>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</si>
  <si>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</si>
  <si>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</si>
  <si>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</si>
  <si>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</si>
  <si>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</si>
  <si>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</si>
  <si>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</si>
  <si>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</si>
  <si>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</si>
  <si>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</si>
  <si>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</si>
  <si>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</si>
  <si>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</si>
  <si>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</si>
  <si>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</si>
  <si>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</si>
  <si>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</si>
  <si>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</si>
  <si>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</si>
  <si>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</si>
  <si>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</si>
  <si>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</si>
  <si>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</si>
  <si>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</si>
  <si>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</si>
  <si>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</si>
  <si>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</si>
  <si>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</si>
  <si>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</si>
  <si>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</si>
  <si>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</si>
  <si>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</si>
  <si>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</si>
  <si>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</si>
  <si>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</si>
  <si>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</si>
  <si>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</si>
  <si>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</si>
  <si>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</si>
  <si>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</si>
  <si>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</si>
  <si>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</si>
  <si>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</si>
  <si>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</si>
  <si>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</si>
  <si>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</si>
  <si>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</si>
  <si>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</si>
  <si>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</si>
  <si>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</si>
  <si>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</si>
  <si>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</si>
  <si>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</si>
  <si>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</si>
  <si>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</si>
  <si>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</si>
  <si>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</si>
  <si>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</si>
  <si>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</si>
  <si>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</si>
  <si>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</si>
  <si>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</si>
  <si>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</si>
  <si>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</si>
  <si>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</si>
  <si>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</si>
  <si>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</si>
  <si>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</si>
  <si>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</si>
  <si>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</si>
  <si>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</si>
  <si>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</si>
  <si>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</si>
  <si>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</si>
  <si>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</si>
  <si>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</si>
  <si>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</si>
  <si>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</si>
  <si>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</si>
  <si>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</si>
  <si>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</si>
  <si>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</si>
  <si>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</si>
  <si>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</si>
  <si>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</si>
  <si>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</si>
  <si>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</si>
  <si>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</si>
  <si>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</si>
  <si>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</si>
  <si>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</si>
  <si>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</si>
  <si>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</si>
  <si>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</si>
  <si>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</si>
  <si>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</si>
  <si>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</si>
  <si>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</si>
  <si>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</si>
  <si>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</si>
  <si>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</si>
  <si>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</si>
  <si>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</si>
  <si>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</si>
  <si>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</si>
  <si>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</si>
  <si>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</si>
  <si>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核定资产</t>
  </si>
  <si>
    <t>房地产市场价值</t>
  </si>
  <si>
    <t>北京市</t>
  </si>
  <si>
    <t>https://paimai.jd.com/293884109</t>
    <phoneticPr fontId="134" type="noConversion"/>
  </si>
  <si>
    <t>企业</t>
  </si>
  <si>
    <t>地上</t>
  </si>
  <si>
    <t>是</t>
  </si>
  <si>
    <t>住宅</t>
  </si>
  <si>
    <t>住宅</t>
    <phoneticPr fontId="7" type="noConversion"/>
  </si>
  <si>
    <t>利息：取LPR加浮动点数</t>
  </si>
  <si>
    <t>成新度</t>
  </si>
  <si>
    <t>城镇住宅用地</t>
  </si>
  <si>
    <t>自定义容积率</t>
  </si>
  <si>
    <t>时间</t>
  </si>
  <si>
    <t>成交套数(套)</t>
  </si>
  <si>
    <t>成交面积(㎡)</t>
  </si>
  <si>
    <t>成交价格(元/㎡)</t>
  </si>
  <si>
    <t>成交金额(万元)</t>
  </si>
  <si>
    <t>可售套数(套)</t>
  </si>
  <si>
    <t>可售面积(㎡)</t>
  </si>
  <si>
    <t>全量汇总</t>
  </si>
  <si>
    <t>当页汇总</t>
  </si>
  <si>
    <t>2024-09</t>
  </si>
  <si>
    <t>2024-08</t>
  </si>
  <si>
    <t>2024-07</t>
  </si>
  <si>
    <t>2024-06</t>
  </si>
  <si>
    <t>2024-05</t>
  </si>
  <si>
    <t>2024-04</t>
  </si>
  <si>
    <t>2024-03</t>
  </si>
  <si>
    <t>2024-02</t>
  </si>
  <si>
    <t>2024-01</t>
  </si>
  <si>
    <t>2023-12</t>
  </si>
  <si>
    <t>2023-11</t>
  </si>
  <si>
    <t>2023-10</t>
  </si>
  <si>
    <t>2023-09</t>
  </si>
  <si>
    <t>2023-08</t>
  </si>
  <si>
    <t>2023-07</t>
  </si>
  <si>
    <t>2023-06</t>
  </si>
  <si>
    <t>2023-05</t>
  </si>
  <si>
    <t>2023-04</t>
  </si>
  <si>
    <t>2023-03</t>
  </si>
  <si>
    <t>2023-02</t>
  </si>
  <si>
    <t>2023-01</t>
  </si>
  <si>
    <t>2022-12</t>
  </si>
  <si>
    <t>2022-11</t>
  </si>
  <si>
    <t>2022-10</t>
  </si>
  <si>
    <t>2022-09</t>
  </si>
  <si>
    <t>2022-08</t>
  </si>
  <si>
    <t>2022-07</t>
  </si>
  <si>
    <t>2022-03</t>
  </si>
  <si>
    <t>2022-01</t>
  </si>
  <si>
    <t>2021-12</t>
  </si>
  <si>
    <t>2021-11</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</si>
  <si>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</si>
  <si>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</si>
  <si>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</si>
  <si>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</si>
  <si>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</si>
  <si>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</si>
  <si>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</si>
  <si>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</si>
  <si>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</si>
  <si>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</si>
  <si>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</si>
  <si>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</si>
  <si>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</si>
  <si>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</si>
  <si>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</si>
  <si>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</si>
  <si>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</si>
  <si>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</si>
  <si>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</si>
  <si>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</si>
  <si>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</si>
  <si>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</si>
  <si>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</si>
  <si>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</si>
  <si>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</si>
  <si>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</si>
  <si>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</si>
  <si>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</si>
  <si>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</si>
  <si>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</si>
  <si>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</si>
  <si>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</si>
  <si>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</si>
  <si>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</si>
  <si>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</si>
  <si>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</si>
  <si>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梵悦万国府</t>
  </si>
  <si>
    <t>梵悦万国府</t>
    <phoneticPr fontId="3" type="noConversion"/>
  </si>
  <si>
    <t>正常</t>
  </si>
  <si>
    <t>住宅</t>
    <phoneticPr fontId="24" type="noConversion"/>
  </si>
  <si>
    <t>不临65条商业街</t>
  </si>
  <si>
    <t>有</t>
  </si>
  <si>
    <t>与级别开发程度一致</t>
  </si>
  <si>
    <t>估价对象周边有梵悦108、使馆壹号院、海晟名苑、万国城MOMA等住宅小区，综合评价居住社区成熟度较好</t>
    <phoneticPr fontId="40" type="noConversion"/>
  </si>
  <si>
    <t>估价对象周边有24路、117路、123路、132路、135路、413路、515路等多条公交线路，地铁2号线及13号线换乘站（东直门站），东直门长途汽车站等，综合评价交通便捷度较好</t>
    <phoneticPr fontId="40" type="noConversion"/>
  </si>
  <si>
    <t>七通</t>
    <phoneticPr fontId="24" type="noConversion"/>
  </si>
  <si>
    <t>区域自然环境：亮马河、东城区亮马河公园；人文环境：工人体育场、东直门外清真寺；综合评价环境状况较好</t>
    <phoneticPr fontId="40" type="noConversion"/>
  </si>
  <si>
    <t>城市次干道——胡家园路</t>
    <phoneticPr fontId="24" type="noConversion"/>
  </si>
  <si>
    <t>好</t>
  </si>
  <si>
    <t>较好</t>
  </si>
  <si>
    <t>一般</t>
  </si>
  <si>
    <t>比较法-住宅</t>
  </si>
  <si>
    <t>收益法 (元)</t>
  </si>
  <si>
    <t>押一</t>
  </si>
  <si>
    <t>钢混</t>
  </si>
  <si>
    <t>非生产用房</t>
  </si>
  <si>
    <t>小区</t>
  </si>
  <si>
    <t>平米租金(元/㎡·月)</t>
  </si>
  <si>
    <t>评估价(元/㎡)</t>
  </si>
  <si>
    <t>单套模式</t>
  </si>
  <si>
    <t>售价</t>
  </si>
  <si>
    <t>南北</t>
    <phoneticPr fontId="24" type="noConversion"/>
  </si>
  <si>
    <t>东南</t>
  </si>
  <si>
    <t>东南</t>
    <phoneticPr fontId="24" type="noConversion"/>
  </si>
  <si>
    <t>西南</t>
  </si>
  <si>
    <t>西南</t>
    <phoneticPr fontId="24" type="noConversion"/>
  </si>
  <si>
    <t>塔楼</t>
  </si>
  <si>
    <t>塔楼</t>
    <phoneticPr fontId="24" type="noConversion"/>
  </si>
  <si>
    <t>钢混</t>
    <phoneticPr fontId="24" type="noConversion"/>
  </si>
  <si>
    <t>普通装修</t>
  </si>
  <si>
    <t>普通装修</t>
    <phoneticPr fontId="24" type="noConversion"/>
  </si>
  <si>
    <t>物业公司管理</t>
    <phoneticPr fontId="24" type="noConversion"/>
  </si>
  <si>
    <t>七通</t>
    <phoneticPr fontId="24" type="noConversion"/>
  </si>
  <si>
    <t>平层</t>
    <phoneticPr fontId="24" type="noConversion"/>
  </si>
  <si>
    <t>普通装修</t>
    <phoneticPr fontId="24" type="noConversion"/>
  </si>
  <si>
    <t>景观</t>
    <phoneticPr fontId="24" type="noConversion"/>
  </si>
  <si>
    <t>是</t>
    <phoneticPr fontId="24" type="noConversion"/>
  </si>
  <si>
    <t>否</t>
    <phoneticPr fontId="24" type="noConversion"/>
  </si>
  <si>
    <t>万国城moma</t>
    <phoneticPr fontId="3" type="noConversion"/>
  </si>
  <si>
    <t>东</t>
  </si>
  <si>
    <t>东</t>
    <phoneticPr fontId="24" type="noConversion"/>
  </si>
  <si>
    <t>是</t>
    <phoneticPr fontId="24" type="noConversion"/>
  </si>
  <si>
    <t>西</t>
    <phoneticPr fontId="24" type="noConversion"/>
  </si>
  <si>
    <t>东北</t>
    <phoneticPr fontId="24" type="noConversion"/>
  </si>
  <si>
    <t>西北</t>
    <phoneticPr fontId="24" type="noConversion"/>
  </si>
  <si>
    <t>楼层</t>
    <phoneticPr fontId="24" type="noConversion"/>
  </si>
  <si>
    <t>31/35</t>
    <phoneticPr fontId="24" type="noConversion"/>
  </si>
  <si>
    <t>27/35</t>
    <phoneticPr fontId="24" type="noConversion"/>
  </si>
  <si>
    <t>28/35</t>
    <phoneticPr fontId="24" type="noConversion"/>
  </si>
  <si>
    <r>
      <rPr>
        <sz val="11"/>
        <color indexed="8"/>
        <rFont val="宋体"/>
        <family val="3"/>
        <charset val="134"/>
      </rPr>
      <t>高</t>
    </r>
    <r>
      <rPr>
        <sz val="11"/>
        <color indexed="8"/>
        <rFont val="Arial"/>
        <family val="2"/>
      </rPr>
      <t>/26</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</si>
</sst>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u/>
      <sz val="11"/>
      <color theme="1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xf numFmtId="0" fontId="271" fillId="0" borderId="0"/>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0" xfId="19">
      <alignment vertical="center"/>
    </xf>
    <xf numFmtId="0" fontId="271" fillId="0" borderId="0" xfId="20" applyNumberFormat="1"/>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271" fillId="0" borderId="0" xfId="20" applyNumberFormat="1"/>
    <xf numFmtId="0" fontId="271" fillId="0" borderId="0" xfId="20" applyNumberFormat="1"/>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image" Target="../media/image15.jp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jp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jpg"/><Relationship Id="rId4" Type="http://schemas.openxmlformats.org/officeDocument/2006/relationships/image" Target="../media/image6.png"/><Relationship Id="rId9" Type="http://schemas.openxmlformats.org/officeDocument/2006/relationships/image" Target="../media/image11.jpg"/><Relationship Id="rId14" Type="http://schemas.openxmlformats.org/officeDocument/2006/relationships/image" Target="../media/image16.jp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17</xdr:col>
      <xdr:colOff>453311</xdr:colOff>
      <xdr:row>27</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10816510" cy="5036820"/>
        </a:xfrm>
        <a:prstGeom prst="rect">
          <a:avLst/>
        </a:prstGeom>
      </xdr:spPr>
    </xdr:pic>
    <xdr:clientData/>
  </xdr:twoCellAnchor>
  <xdr:twoCellAnchor editAs="oneCell">
    <xdr:from>
      <xdr:col>0</xdr:col>
      <xdr:colOff>1</xdr:colOff>
      <xdr:row>29</xdr:row>
      <xdr:rowOff>1</xdr:rowOff>
    </xdr:from>
    <xdr:to>
      <xdr:col>11</xdr:col>
      <xdr:colOff>402367</xdr:colOff>
      <xdr:row>57</xdr:row>
      <xdr:rowOff>91441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5303521"/>
          <a:ext cx="7107966" cy="5212080"/>
        </a:xfrm>
        <a:prstGeom prst="rect">
          <a:avLst/>
        </a:prstGeom>
      </xdr:spPr>
    </xdr:pic>
    <xdr:clientData/>
  </xdr:twoCellAnchor>
  <xdr:twoCellAnchor editAs="oneCell">
    <xdr:from>
      <xdr:col>0</xdr:col>
      <xdr:colOff>0</xdr:colOff>
      <xdr:row>57</xdr:row>
      <xdr:rowOff>83820</xdr:rowOff>
    </xdr:from>
    <xdr:to>
      <xdr:col>9</xdr:col>
      <xdr:colOff>196430</xdr:colOff>
      <xdr:row>74</xdr:row>
      <xdr:rowOff>160020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07980"/>
          <a:ext cx="5682830" cy="3185160"/>
        </a:xfrm>
        <a:prstGeom prst="rect">
          <a:avLst/>
        </a:prstGeom>
      </xdr:spPr>
    </xdr:pic>
    <xdr:clientData/>
  </xdr:twoCellAnchor>
  <xdr:twoCellAnchor editAs="oneCell">
    <xdr:from>
      <xdr:col>0</xdr:col>
      <xdr:colOff>0</xdr:colOff>
      <xdr:row>75</xdr:row>
      <xdr:rowOff>38100</xdr:rowOff>
    </xdr:from>
    <xdr:to>
      <xdr:col>9</xdr:col>
      <xdr:colOff>246933</xdr:colOff>
      <xdr:row>86</xdr:row>
      <xdr:rowOff>178801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54100"/>
          <a:ext cx="5733333" cy="2152381"/>
        </a:xfrm>
        <a:prstGeom prst="rect">
          <a:avLst/>
        </a:prstGeom>
      </xdr:spPr>
    </xdr:pic>
    <xdr:clientData/>
  </xdr:twoCellAnchor>
  <xdr:twoCellAnchor editAs="oneCell">
    <xdr:from>
      <xdr:col>0</xdr:col>
      <xdr:colOff>0</xdr:colOff>
      <xdr:row>89</xdr:row>
      <xdr:rowOff>160021</xdr:rowOff>
    </xdr:from>
    <xdr:to>
      <xdr:col>10</xdr:col>
      <xdr:colOff>581800</xdr:colOff>
      <xdr:row>111</xdr:row>
      <xdr:rowOff>15241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436341"/>
          <a:ext cx="6677800" cy="3878580"/>
        </a:xfrm>
        <a:prstGeom prst="rect">
          <a:avLst/>
        </a:prstGeom>
      </xdr:spPr>
    </xdr:pic>
    <xdr:clientData/>
  </xdr:twoCellAnchor>
  <xdr:twoCellAnchor editAs="oneCell">
    <xdr:from>
      <xdr:col>0</xdr:col>
      <xdr:colOff>0</xdr:colOff>
      <xdr:row>113</xdr:row>
      <xdr:rowOff>38100</xdr:rowOff>
    </xdr:from>
    <xdr:to>
      <xdr:col>9</xdr:col>
      <xdr:colOff>68580</xdr:colOff>
      <xdr:row>137</xdr:row>
      <xdr:rowOff>164060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703540"/>
          <a:ext cx="5554980" cy="4515080"/>
        </a:xfrm>
        <a:prstGeom prst="rect">
          <a:avLst/>
        </a:prstGeom>
      </xdr:spPr>
    </xdr:pic>
    <xdr:clientData/>
  </xdr:twoCellAnchor>
  <xdr:twoCellAnchor editAs="oneCell">
    <xdr:from>
      <xdr:col>0</xdr:col>
      <xdr:colOff>1</xdr:colOff>
      <xdr:row>137</xdr:row>
      <xdr:rowOff>137160</xdr:rowOff>
    </xdr:from>
    <xdr:to>
      <xdr:col>9</xdr:col>
      <xdr:colOff>496917</xdr:colOff>
      <xdr:row>145</xdr:row>
      <xdr:rowOff>175260</xdr:rowOff>
    </xdr:to>
    <xdr:pic>
      <xdr:nvPicPr>
        <xdr:cNvPr id="8" name="图片 7"/>
        <xdr:cNvPicPr>
          <a:picLocks noChangeAspect="1"/>
        </xdr:cNvPicPr>
      </xdr:nvPicPr>
      <xdr:blipFill>
        <a:blip xmlns:r="http://schemas.openxmlformats.org/officeDocument/2006/relationships" r:embed="rId7"/>
        <a:stretch>
          <a:fillRect/>
        </a:stretch>
      </xdr:blipFill>
      <xdr:spPr>
        <a:xfrm>
          <a:off x="1" y="25191720"/>
          <a:ext cx="5983316" cy="1501140"/>
        </a:xfrm>
        <a:prstGeom prst="rect">
          <a:avLst/>
        </a:prstGeom>
      </xdr:spPr>
    </xdr:pic>
    <xdr:clientData/>
  </xdr:twoCellAnchor>
  <xdr:twoCellAnchor editAs="oneCell">
    <xdr:from>
      <xdr:col>0</xdr:col>
      <xdr:colOff>0</xdr:colOff>
      <xdr:row>237</xdr:row>
      <xdr:rowOff>99060</xdr:rowOff>
    </xdr:from>
    <xdr:to>
      <xdr:col>7</xdr:col>
      <xdr:colOff>372414</xdr:colOff>
      <xdr:row>292</xdr:row>
      <xdr:rowOff>99060</xdr:rowOff>
    </xdr:to>
    <xdr:pic>
      <xdr:nvPicPr>
        <xdr:cNvPr id="9" name="图片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43441620"/>
          <a:ext cx="4639614" cy="10058400"/>
        </a:xfrm>
        <a:prstGeom prst="rect">
          <a:avLst/>
        </a:prstGeom>
      </xdr:spPr>
    </xdr:pic>
    <xdr:clientData/>
  </xdr:twoCellAnchor>
  <xdr:twoCellAnchor editAs="oneCell">
    <xdr:from>
      <xdr:col>0</xdr:col>
      <xdr:colOff>0</xdr:colOff>
      <xdr:row>284</xdr:row>
      <xdr:rowOff>73800</xdr:rowOff>
    </xdr:from>
    <xdr:to>
      <xdr:col>7</xdr:col>
      <xdr:colOff>372414</xdr:colOff>
      <xdr:row>339</xdr:row>
      <xdr:rowOff>73800</xdr:rowOff>
    </xdr:to>
    <xdr:pic>
      <xdr:nvPicPr>
        <xdr:cNvPr id="10" name="图片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52011720"/>
          <a:ext cx="4639614" cy="10058400"/>
        </a:xfrm>
        <a:prstGeom prst="rect">
          <a:avLst/>
        </a:prstGeom>
      </xdr:spPr>
    </xdr:pic>
    <xdr:clientData/>
  </xdr:twoCellAnchor>
  <xdr:twoCellAnchor editAs="oneCell">
    <xdr:from>
      <xdr:col>7</xdr:col>
      <xdr:colOff>345720</xdr:colOff>
      <xdr:row>237</xdr:row>
      <xdr:rowOff>101880</xdr:rowOff>
    </xdr:from>
    <xdr:to>
      <xdr:col>15</xdr:col>
      <xdr:colOff>108534</xdr:colOff>
      <xdr:row>292</xdr:row>
      <xdr:rowOff>101880</xdr:rowOff>
    </xdr:to>
    <xdr:pic>
      <xdr:nvPicPr>
        <xdr:cNvPr id="11" name="图片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12920" y="43444440"/>
          <a:ext cx="4639614" cy="10058400"/>
        </a:xfrm>
        <a:prstGeom prst="rect">
          <a:avLst/>
        </a:prstGeom>
      </xdr:spPr>
    </xdr:pic>
    <xdr:clientData/>
  </xdr:twoCellAnchor>
  <xdr:twoCellAnchor editAs="oneCell">
    <xdr:from>
      <xdr:col>7</xdr:col>
      <xdr:colOff>348540</xdr:colOff>
      <xdr:row>145</xdr:row>
      <xdr:rowOff>180900</xdr:rowOff>
    </xdr:from>
    <xdr:to>
      <xdr:col>15</xdr:col>
      <xdr:colOff>111354</xdr:colOff>
      <xdr:row>182</xdr:row>
      <xdr:rowOff>22860</xdr:rowOff>
    </xdr:to>
    <xdr:pic>
      <xdr:nvPicPr>
        <xdr:cNvPr id="13" name="图片 12"/>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34299"/>
        <a:stretch/>
      </xdr:blipFill>
      <xdr:spPr>
        <a:xfrm>
          <a:off x="4615740" y="26698500"/>
          <a:ext cx="4639614" cy="6608520"/>
        </a:xfrm>
        <a:prstGeom prst="rect">
          <a:avLst/>
        </a:prstGeom>
      </xdr:spPr>
    </xdr:pic>
    <xdr:clientData/>
  </xdr:twoCellAnchor>
  <xdr:twoCellAnchor editAs="oneCell">
    <xdr:from>
      <xdr:col>0</xdr:col>
      <xdr:colOff>0</xdr:colOff>
      <xdr:row>146</xdr:row>
      <xdr:rowOff>3240</xdr:rowOff>
    </xdr:from>
    <xdr:to>
      <xdr:col>7</xdr:col>
      <xdr:colOff>388620</xdr:colOff>
      <xdr:row>182</xdr:row>
      <xdr:rowOff>7620</xdr:rowOff>
    </xdr:to>
    <xdr:pic>
      <xdr:nvPicPr>
        <xdr:cNvPr id="14" name="图片 13"/>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34730"/>
        <a:stretch/>
      </xdr:blipFill>
      <xdr:spPr>
        <a:xfrm>
          <a:off x="0" y="26703720"/>
          <a:ext cx="4655820" cy="6588060"/>
        </a:xfrm>
        <a:prstGeom prst="rect">
          <a:avLst/>
        </a:prstGeom>
      </xdr:spPr>
    </xdr:pic>
    <xdr:clientData/>
  </xdr:twoCellAnchor>
  <xdr:twoCellAnchor editAs="oneCell">
    <xdr:from>
      <xdr:col>0</xdr:col>
      <xdr:colOff>0</xdr:colOff>
      <xdr:row>182</xdr:row>
      <xdr:rowOff>16080</xdr:rowOff>
    </xdr:from>
    <xdr:to>
      <xdr:col>7</xdr:col>
      <xdr:colOff>372414</xdr:colOff>
      <xdr:row>237</xdr:row>
      <xdr:rowOff>16080</xdr:rowOff>
    </xdr:to>
    <xdr:pic>
      <xdr:nvPicPr>
        <xdr:cNvPr id="15" name="图片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33300240"/>
          <a:ext cx="4639614" cy="10058400"/>
        </a:xfrm>
        <a:prstGeom prst="rect">
          <a:avLst/>
        </a:prstGeom>
      </xdr:spPr>
    </xdr:pic>
    <xdr:clientData/>
  </xdr:twoCellAnchor>
  <xdr:twoCellAnchor editAs="oneCell">
    <xdr:from>
      <xdr:col>7</xdr:col>
      <xdr:colOff>373800</xdr:colOff>
      <xdr:row>182</xdr:row>
      <xdr:rowOff>420</xdr:rowOff>
    </xdr:from>
    <xdr:to>
      <xdr:col>15</xdr:col>
      <xdr:colOff>136614</xdr:colOff>
      <xdr:row>237</xdr:row>
      <xdr:rowOff>420</xdr:rowOff>
    </xdr:to>
    <xdr:pic>
      <xdr:nvPicPr>
        <xdr:cNvPr id="12" name="图片 1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41000" y="33284580"/>
          <a:ext cx="4639614" cy="10058400"/>
        </a:xfrm>
        <a:prstGeom prst="rect">
          <a:avLst/>
        </a:prstGeom>
      </xdr:spPr>
    </xdr:pic>
    <xdr:clientData/>
  </xdr:twoCellAnchor>
  <xdr:twoCellAnchor editAs="oneCell">
    <xdr:from>
      <xdr:col>0</xdr:col>
      <xdr:colOff>1</xdr:colOff>
      <xdr:row>342</xdr:row>
      <xdr:rowOff>0</xdr:rowOff>
    </xdr:from>
    <xdr:to>
      <xdr:col>13</xdr:col>
      <xdr:colOff>332471</xdr:colOff>
      <xdr:row>363</xdr:row>
      <xdr:rowOff>45720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 y="62544960"/>
          <a:ext cx="8257270" cy="3886200"/>
        </a:xfrm>
        <a:prstGeom prst="rect">
          <a:avLst/>
        </a:prstGeom>
      </xdr:spPr>
    </xdr:pic>
    <xdr:clientData/>
  </xdr:twoCellAnchor>
  <xdr:twoCellAnchor editAs="oneCell">
    <xdr:from>
      <xdr:col>15</xdr:col>
      <xdr:colOff>365760</xdr:colOff>
      <xdr:row>247</xdr:row>
      <xdr:rowOff>144780</xdr:rowOff>
    </xdr:from>
    <xdr:to>
      <xdr:col>20</xdr:col>
      <xdr:colOff>41569</xdr:colOff>
      <xdr:row>266</xdr:row>
      <xdr:rowOff>3393</xdr:rowOff>
    </xdr:to>
    <xdr:pic>
      <xdr:nvPicPr>
        <xdr:cNvPr id="17" name="图片 16"/>
        <xdr:cNvPicPr>
          <a:picLocks noChangeAspect="1"/>
        </xdr:cNvPicPr>
      </xdr:nvPicPr>
      <xdr:blipFill>
        <a:blip xmlns:r="http://schemas.openxmlformats.org/officeDocument/2006/relationships" r:embed="rId16"/>
        <a:stretch>
          <a:fillRect/>
        </a:stretch>
      </xdr:blipFill>
      <xdr:spPr>
        <a:xfrm>
          <a:off x="9509760" y="45316140"/>
          <a:ext cx="2723809" cy="3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91440</xdr:rowOff>
    </xdr:from>
    <xdr:to>
      <xdr:col>8</xdr:col>
      <xdr:colOff>1478280</xdr:colOff>
      <xdr:row>7</xdr:row>
      <xdr:rowOff>167932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
          <a:ext cx="13670280" cy="1265212"/>
        </a:xfrm>
        <a:prstGeom prst="rect">
          <a:avLst/>
        </a:prstGeom>
      </xdr:spPr>
    </xdr:pic>
    <xdr:clientData/>
  </xdr:twoCellAnchor>
  <xdr:twoCellAnchor editAs="oneCell">
    <xdr:from>
      <xdr:col>0</xdr:col>
      <xdr:colOff>0</xdr:colOff>
      <xdr:row>7</xdr:row>
      <xdr:rowOff>38101</xdr:rowOff>
    </xdr:from>
    <xdr:to>
      <xdr:col>8</xdr:col>
      <xdr:colOff>1508760</xdr:colOff>
      <xdr:row>11</xdr:row>
      <xdr:rowOff>159005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24941"/>
          <a:ext cx="13700760" cy="913384"/>
        </a:xfrm>
        <a:prstGeom prst="rect">
          <a:avLst/>
        </a:prstGeom>
      </xdr:spPr>
    </xdr:pic>
    <xdr:clientData/>
  </xdr:twoCellAnchor>
  <xdr:twoCellAnchor editAs="oneCell">
    <xdr:from>
      <xdr:col>0</xdr:col>
      <xdr:colOff>0</xdr:colOff>
      <xdr:row>70</xdr:row>
      <xdr:rowOff>0</xdr:rowOff>
    </xdr:from>
    <xdr:to>
      <xdr:col>11</xdr:col>
      <xdr:colOff>340762</xdr:colOff>
      <xdr:row>117</xdr:row>
      <xdr:rowOff>21693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68400"/>
          <a:ext cx="17104762" cy="9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aimai.jd.com/293884109"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估价对象为北京市房地产，为所有。根据《国有土地使用证》[]，估价对象（分摊）出让国有建设用地使用权面积为0平方米，建筑面积为375.87平方米。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估价对象为北京市房地产,属开发建设的，该项目尚在开发建设中。根据《国有土地使用证》[]，估价对象（分摊）出让国有建设用地使用权面积为0平方米，规划建筑面积为375.87平方米。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2024年9月3日</v>
      </c>
    </row>
    <row r="13" spans="1:2" s="1202" customFormat="1">
      <c r="A13" s="1200" t="s">
        <v>529</v>
      </c>
      <c r="B13" s="1201"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375.87</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
      </c>
    </row>
    <row r="58" spans="1:2" s="1199" customFormat="1" ht="16.2"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2291</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3" t="s">
        <v>385</v>
      </c>
      <c r="C54" s="1550" t="s">
        <v>583</v>
      </c>
    </row>
    <row r="55" spans="1:4">
      <c r="A55" s="3500"/>
      <c r="B55" s="1553" t="s">
        <v>386</v>
      </c>
      <c r="C55" s="1550" t="s">
        <v>584</v>
      </c>
    </row>
    <row r="56" spans="1:4">
      <c r="A56" s="3500"/>
      <c r="B56" s="1553" t="s">
        <v>387</v>
      </c>
      <c r="C56" s="1550" t="s">
        <v>588</v>
      </c>
    </row>
    <row r="57" spans="1:4">
      <c r="A57" s="350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01" t="s">
        <v>2579</v>
      </c>
      <c r="J2" s="3501"/>
      <c r="K2" s="3501"/>
      <c r="L2" s="3501"/>
      <c r="M2" s="3501"/>
      <c r="N2" s="3501"/>
      <c r="O2" s="3501"/>
      <c r="P2" s="3501"/>
      <c r="Q2" s="3501"/>
      <c r="R2" s="3501"/>
    </row>
    <row r="3" spans="1:18">
      <c r="A3" s="3017" t="s">
        <v>2500</v>
      </c>
      <c r="B3" s="3018">
        <f>项目基本情况!D3</f>
        <v>45538</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2.29</v>
      </c>
      <c r="D5" s="3022">
        <f>IF(ISERROR(ROUND(POWER(1+E5,A5-C5)*(POWER(1+E5,C5)-1)/(POWER(1+E5,A5)-1),3)),0,ROUND(POWER(1+E5,A5-C5)*(POWER(1+E5,C5)-1)/(POWER(1+E5,A5)-1),4))</f>
        <v>0.1085</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12.3</v>
      </c>
      <c r="D6" s="3022">
        <f>IF(ISERROR(ROUND(POWER(1+E6,A6-C6)*(POWER(1+E6,C6)-1)/(POWER(1+E6,A6)-1),3)),0,ROUND(POWER(1+E6,A6-C6)*(POWER(1+E6,C6)-1)/(POWER(1+E6,A6)-1),4))</f>
        <v>0.44540000000000002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32.31</v>
      </c>
      <c r="D7" s="3022">
        <f>IF(ISERROR(ROUND(POWER(1+E7,A7-C7)*(POWER(1+E7,C7)-1)/(POWER(1+E7,A7)-1),3)),0,ROUND(POWER(1+E7,A7-C7)*(POWER(1+E7,C7)-1)/(POWER(1+E7,A7)-1),4))</f>
        <v>0.76770000000000005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5" thickBot="1">
      <c r="A18" s="3028" t="s">
        <v>2515</v>
      </c>
      <c r="B18" s="3029">
        <f>ROUND(B17*F11/F12,2)</f>
        <v>5541.87</v>
      </c>
      <c r="C18" s="3029">
        <f>ROUND(F11/F12,4)</f>
        <v>1.1521999999999999</v>
      </c>
      <c r="D18" s="3030"/>
      <c r="E18" s="3030"/>
      <c r="F18" s="3031"/>
    </row>
    <row r="19" spans="1:13" ht="15" thickBot="1"/>
    <row r="20" spans="1:13" s="3066" customFormat="1" ht="1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0" sqref="L29:M30"/>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502" t="str">
        <f>IF(B10="北京市","北京市",C10)&amp;F10&amp;IF(结果表!G1="在建","出让国有建设用地使用权及在建建筑物",IF(结果表!G1="土地","出让国有建设用地使用权",))&amp;B9&amp;"预评估"</f>
        <v>北京市房地产市场价值预评估</v>
      </c>
      <c r="C1" s="3503"/>
      <c r="D1" s="3503"/>
      <c r="E1" s="3503"/>
      <c r="F1" s="3503"/>
      <c r="G1" s="3503"/>
      <c r="H1" s="3503"/>
      <c r="I1" s="3504"/>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7"/>
      <c r="E2" s="2659"/>
      <c r="F2" s="2659"/>
      <c r="G2" s="2660"/>
      <c r="H2" s="2660"/>
      <c r="I2" s="2660"/>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45538</v>
      </c>
      <c r="E3" s="2660"/>
      <c r="F3" s="2660"/>
      <c r="G3" s="2660"/>
      <c r="H3" s="2660"/>
      <c r="I3" s="2660"/>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61"/>
      <c r="F5" s="2661"/>
      <c r="G5" s="2661"/>
      <c r="H5" s="2661"/>
      <c r="I5" s="2661"/>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3387</v>
      </c>
      <c r="C8" s="2389"/>
      <c r="D8" s="3505" t="s">
        <v>2177</v>
      </c>
      <c r="E8" s="2390"/>
      <c r="F8" s="2391"/>
      <c r="G8" s="2660"/>
      <c r="H8" s="2660"/>
      <c r="I8" s="2660"/>
      <c r="J8" s="2438"/>
      <c r="K8" s="2611"/>
      <c r="L8" s="2610"/>
      <c r="M8" s="2610"/>
      <c r="N8" s="2438"/>
      <c r="O8" s="2449"/>
      <c r="P8" s="2438"/>
      <c r="Q8" s="2438"/>
      <c r="R8" s="2438"/>
    </row>
    <row r="9" spans="1:30" ht="13.8" thickBot="1">
      <c r="A9" s="2392" t="s">
        <v>2178</v>
      </c>
      <c r="B9" s="2393" t="s">
        <v>3388</v>
      </c>
      <c r="C9" s="2394"/>
      <c r="D9" s="3506"/>
      <c r="E9" s="2393"/>
      <c r="F9" s="2395"/>
      <c r="G9" s="2662"/>
      <c r="H9" s="2662"/>
      <c r="I9" s="2662"/>
      <c r="J9" s="2438"/>
      <c r="K9" s="2613"/>
      <c r="L9" s="2610"/>
      <c r="M9" s="2610"/>
      <c r="N9" s="2438"/>
      <c r="O9" s="2449"/>
      <c r="P9" s="2438"/>
      <c r="Q9" s="2438"/>
      <c r="R9" s="2438"/>
    </row>
    <row r="10" spans="1:30" ht="13.8" thickTop="1">
      <c r="A10" s="2396" t="s">
        <v>2179</v>
      </c>
      <c r="B10" s="2397" t="s">
        <v>3389</v>
      </c>
      <c r="C10" s="2398"/>
      <c r="D10" s="2381"/>
      <c r="E10" s="2399" t="s">
        <v>2180</v>
      </c>
      <c r="F10" s="2663"/>
      <c r="G10" s="2664"/>
      <c r="H10" s="2665"/>
      <c r="I10" s="2666"/>
      <c r="J10" s="2438"/>
      <c r="K10" s="2613"/>
      <c r="L10" s="2610"/>
      <c r="M10" s="2610"/>
      <c r="N10" s="2438"/>
      <c r="O10" s="2449"/>
      <c r="P10" s="2438"/>
      <c r="Q10" s="2438"/>
      <c r="R10" s="2438"/>
    </row>
    <row r="11" spans="1:30">
      <c r="A11" s="2400" t="s">
        <v>2181</v>
      </c>
      <c r="B11" s="2401" t="s">
        <v>3391</v>
      </c>
      <c r="C11" s="2402"/>
      <c r="D11" s="2403"/>
      <c r="E11" s="2369"/>
      <c r="F11" s="2369"/>
      <c r="G11" s="2369"/>
      <c r="H11" s="2369"/>
      <c r="I11" s="2369"/>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4"/>
    </row>
    <row r="13" spans="1:30">
      <c r="A13" s="3420" t="s">
        <v>3331</v>
      </c>
      <c r="B13" s="2406" t="s">
        <v>2190</v>
      </c>
      <c r="C13" s="856">
        <v>62243</v>
      </c>
      <c r="D13" s="856"/>
      <c r="E13" s="856"/>
      <c r="F13" s="856"/>
      <c r="G13" s="856"/>
      <c r="H13" s="856"/>
      <c r="I13" s="856"/>
      <c r="J13" s="3059"/>
      <c r="K13" s="2610"/>
      <c r="L13" s="2610"/>
      <c r="M13" s="2438"/>
      <c r="N13" s="2449"/>
      <c r="O13" s="2438"/>
      <c r="P13" s="2438"/>
      <c r="Q13" s="2438"/>
      <c r="AD13" s="1744"/>
    </row>
    <row r="14" spans="1:30">
      <c r="A14" s="1081"/>
      <c r="B14" s="2406" t="s">
        <v>2191</v>
      </c>
      <c r="C14" s="2407">
        <v>70</v>
      </c>
      <c r="D14" s="2407"/>
      <c r="E14" s="2407"/>
      <c r="F14" s="2407"/>
      <c r="G14" s="2407"/>
      <c r="H14" s="2407"/>
      <c r="I14" s="2407"/>
      <c r="J14" s="3060"/>
      <c r="K14" s="2610"/>
      <c r="L14" s="2610"/>
      <c r="M14" s="2438"/>
      <c r="N14" s="2449"/>
      <c r="O14" s="2438"/>
      <c r="P14" s="2438"/>
      <c r="Q14" s="2438"/>
      <c r="AD14" s="1744"/>
    </row>
    <row r="15" spans="1:30">
      <c r="A15" s="320"/>
      <c r="B15" s="2408" t="s">
        <v>2192</v>
      </c>
      <c r="C15" s="2409">
        <f>IF(A13="出让",IF(C13="","",ROUNDDOWN(MIN((C13-$D$3)/365,C14),2)),C14)</f>
        <v>45.76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4"/>
    </row>
    <row r="16" spans="1:30">
      <c r="A16" s="2399" t="s">
        <v>2193</v>
      </c>
      <c r="B16" s="3512"/>
      <c r="C16" s="3513"/>
      <c r="D16" s="3514"/>
      <c r="E16" s="2412" t="s">
        <v>2194</v>
      </c>
      <c r="F16" s="3515"/>
      <c r="G16" s="3516"/>
      <c r="H16" s="3516"/>
      <c r="I16" s="3517"/>
      <c r="J16" s="2438"/>
      <c r="K16" s="2614"/>
      <c r="L16" s="2450"/>
      <c r="M16" s="2450"/>
      <c r="N16" s="2506"/>
      <c r="O16" s="2450"/>
      <c r="P16" s="2506"/>
      <c r="Q16" s="2438"/>
      <c r="R16" s="2438"/>
    </row>
    <row r="17" spans="1:28">
      <c r="A17" s="313" t="s">
        <v>2195</v>
      </c>
      <c r="B17" s="302" t="s">
        <v>2196</v>
      </c>
      <c r="C17" s="8">
        <f>'数据-汇总表'!E3</f>
        <v>375.87</v>
      </c>
      <c r="D17" s="2321" t="s">
        <v>2197</v>
      </c>
      <c r="E17" s="3518" t="s">
        <v>2198</v>
      </c>
      <c r="F17" s="3519"/>
      <c r="G17" s="3519"/>
      <c r="H17" s="3519"/>
      <c r="I17" s="3520"/>
      <c r="J17" s="2438"/>
      <c r="K17" s="2615"/>
      <c r="L17" s="2450"/>
      <c r="M17" s="2450"/>
      <c r="N17" s="2506"/>
      <c r="O17" s="2450"/>
      <c r="P17" s="2506"/>
      <c r="Q17" s="2438"/>
      <c r="R17" s="2438"/>
      <c r="S17" s="2438"/>
      <c r="T17" s="2438"/>
      <c r="U17" s="2438"/>
      <c r="V17" s="2438"/>
    </row>
    <row r="18" spans="1:28" ht="24.6" thickBot="1">
      <c r="A18" s="2413" t="s">
        <v>2199</v>
      </c>
      <c r="B18" s="1090" t="s">
        <v>2200</v>
      </c>
      <c r="C18" s="2414">
        <f>'数据-汇总表'!D3</f>
        <v>0</v>
      </c>
      <c r="D18" s="1092" t="s">
        <v>2201</v>
      </c>
      <c r="E18" s="3521" t="s">
        <v>2202</v>
      </c>
      <c r="F18" s="3522"/>
      <c r="G18" s="3522"/>
      <c r="H18" s="3522"/>
      <c r="I18" s="3523"/>
      <c r="J18" s="2438"/>
      <c r="K18" s="2615"/>
      <c r="L18" s="2450"/>
      <c r="M18" s="2450"/>
      <c r="N18" s="2506"/>
      <c r="O18" s="2450"/>
      <c r="P18" s="2506"/>
      <c r="Q18" s="2438"/>
      <c r="R18" s="2438"/>
      <c r="S18" s="2438"/>
      <c r="T18" s="2438"/>
      <c r="U18" s="2438"/>
      <c r="V18" s="2438"/>
    </row>
    <row r="19" spans="1:28" ht="37.200000000000003" thickTop="1" thickBot="1">
      <c r="A19" s="327" t="s">
        <v>1055</v>
      </c>
      <c r="B19" s="307" t="s">
        <v>2203</v>
      </c>
      <c r="C19" s="1562"/>
      <c r="D19" s="1563" t="s">
        <v>2204</v>
      </c>
      <c r="E19" s="1564"/>
      <c r="F19" s="1565" t="str">
        <f>IF(AND(C19="是",E19="否"),"是否提供他项权证或相关说明","")</f>
        <v/>
      </c>
      <c r="G19" s="1566"/>
      <c r="H19" s="2661"/>
      <c r="I19" s="2661"/>
      <c r="J19" s="2438"/>
      <c r="K19" s="2613"/>
      <c r="L19" s="2610"/>
      <c r="M19" s="2610"/>
      <c r="N19" s="2506"/>
      <c r="O19" s="2450"/>
      <c r="P19" s="2506"/>
      <c r="Q19" s="2438"/>
      <c r="R19" s="2438"/>
      <c r="S19" s="2438"/>
      <c r="T19" s="2438"/>
      <c r="U19" s="2438"/>
      <c r="V19" s="2438"/>
    </row>
    <row r="20" spans="1:28">
      <c r="A20" s="2629" t="s">
        <v>2205</v>
      </c>
      <c r="B20" s="3508" t="s">
        <v>2206</v>
      </c>
      <c r="C20" s="3509"/>
      <c r="D20" s="3510" t="s">
        <v>2207</v>
      </c>
      <c r="E20" s="3511"/>
      <c r="F20" s="2644" t="s">
        <v>1056</v>
      </c>
      <c r="G20" s="2661"/>
      <c r="H20" s="2661"/>
      <c r="I20" s="2661"/>
      <c r="J20" s="2438"/>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29"/>
      <c r="B21" s="2630" t="s">
        <v>2209</v>
      </c>
      <c r="C21" s="2631" t="s">
        <v>1057</v>
      </c>
      <c r="D21" s="1567" t="s">
        <v>2210</v>
      </c>
      <c r="E21" s="2632" t="s">
        <v>1057</v>
      </c>
      <c r="F21" s="2645"/>
      <c r="G21" s="2661"/>
      <c r="H21" s="2661"/>
      <c r="I21" s="2661"/>
      <c r="J21" s="2438"/>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29"/>
      <c r="B22" s="2633" t="s">
        <v>2211</v>
      </c>
      <c r="C22" s="2631" t="s">
        <v>1058</v>
      </c>
      <c r="D22" s="2660"/>
      <c r="E22" s="2660"/>
      <c r="F22" s="2660"/>
      <c r="G22" s="2661"/>
      <c r="H22" s="2661"/>
      <c r="I22" s="2661"/>
      <c r="J22" s="2438"/>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2212</v>
      </c>
      <c r="B23" s="2499" t="s">
        <v>2213</v>
      </c>
      <c r="C23" s="2635"/>
      <c r="D23" s="2636" t="s">
        <v>2213</v>
      </c>
      <c r="E23" s="2637"/>
      <c r="F23" s="2660"/>
      <c r="G23" s="2661"/>
      <c r="H23" s="2661"/>
      <c r="I23" s="2661"/>
      <c r="J23" s="2438"/>
      <c r="K23" s="2616"/>
      <c r="L23" s="2473"/>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3"/>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8"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8" thickTop="1">
      <c r="A27" s="3525"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25"/>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25"/>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26"/>
      <c r="B30" s="302" t="s">
        <v>2218</v>
      </c>
      <c r="C30" s="3527"/>
      <c r="D30" s="3528"/>
      <c r="E30" s="2661"/>
      <c r="F30" s="2661"/>
      <c r="G30" s="2661"/>
      <c r="H30" s="2661"/>
      <c r="I30" s="2661"/>
      <c r="J30" s="2438"/>
      <c r="K30" s="2613"/>
      <c r="L30" s="2610"/>
      <c r="M30" s="2610"/>
      <c r="N30" s="2438"/>
      <c r="O30" s="2449"/>
      <c r="P30" s="2438"/>
      <c r="Q30" s="2438"/>
      <c r="R30" s="2438"/>
      <c r="S30" s="2438"/>
      <c r="T30" s="2438"/>
      <c r="U30" s="2438"/>
      <c r="V30" s="2438"/>
    </row>
    <row r="31" spans="1:28">
      <c r="A31" s="3529" t="s">
        <v>2219</v>
      </c>
      <c r="B31" s="2421"/>
      <c r="C31" s="2322" t="str">
        <f>IF(B31="现房","成新及维护状况正常否",IF(B31="在建","工程状态是否正常",IF(B31="土地","是否闲置","-")))</f>
        <v>-</v>
      </c>
      <c r="D31" s="1372"/>
      <c r="E31" s="2422"/>
      <c r="F31" s="2661"/>
      <c r="G31" s="2661"/>
      <c r="H31" s="2661"/>
      <c r="I31" s="2661"/>
      <c r="J31" s="2438"/>
      <c r="K31" s="2612"/>
      <c r="L31" s="2610"/>
      <c r="M31" s="2610"/>
      <c r="N31" s="2438"/>
      <c r="O31" s="2449"/>
      <c r="P31" s="2438"/>
      <c r="Q31" s="2438"/>
      <c r="R31" s="2438"/>
      <c r="S31" s="2438"/>
      <c r="T31" s="2438"/>
      <c r="U31" s="2438"/>
      <c r="V31" s="2438"/>
    </row>
    <row r="32" spans="1:28">
      <c r="A32" s="3530"/>
      <c r="B32" s="2421"/>
      <c r="C32" s="2322" t="str">
        <f>IF(B32="现房","成新及维护状况是否正常",IF(B32="在建","工程状态是否正常",IF(B32="土地","是否闲置","-")))</f>
        <v>-</v>
      </c>
      <c r="D32" s="1372"/>
      <c r="E32" s="2422"/>
      <c r="F32" s="2661"/>
      <c r="G32" s="2661"/>
      <c r="H32" s="2661"/>
      <c r="I32" s="2661"/>
      <c r="J32" s="2438"/>
      <c r="K32" s="2613"/>
      <c r="L32" s="2610"/>
      <c r="M32" s="2610"/>
      <c r="N32" s="2438"/>
      <c r="O32" s="2449"/>
      <c r="P32" s="2438"/>
      <c r="Q32" s="2438"/>
      <c r="R32" s="2438"/>
      <c r="S32" s="2438"/>
      <c r="T32" s="2438"/>
      <c r="U32" s="2438"/>
      <c r="V32" s="2438"/>
    </row>
    <row r="33" spans="1:30">
      <c r="A33" s="3530"/>
      <c r="B33" s="2424"/>
      <c r="C33" s="1589" t="str">
        <f>IF(B33="现房","成新及维护状况是否正常",IF(B33="在建","工程状态是否正常",IF(B33="土地","是否闲置","-")))</f>
        <v>-</v>
      </c>
      <c r="D33" s="1364"/>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5"/>
      <c r="C34" s="2025"/>
      <c r="D34" s="2025"/>
      <c r="E34" s="2025"/>
      <c r="F34" s="2025"/>
      <c r="G34" s="2025"/>
      <c r="H34" s="2025"/>
      <c r="I34" s="2661"/>
      <c r="J34" s="2438"/>
      <c r="K34" s="2426">
        <f>COUNTIF(B34:H34,"——")</f>
        <v>0</v>
      </c>
      <c r="L34" s="323" t="s">
        <v>2221</v>
      </c>
      <c r="M34" s="323" t="s">
        <v>2222</v>
      </c>
      <c r="N34" s="323" t="s">
        <v>2223</v>
      </c>
      <c r="O34" s="323" t="s">
        <v>2224</v>
      </c>
      <c r="P34" s="323" t="s">
        <v>2225</v>
      </c>
      <c r="Q34" s="323" t="s">
        <v>2226</v>
      </c>
      <c r="R34" s="323" t="s">
        <v>2227</v>
      </c>
      <c r="S34" s="3524" t="s">
        <v>2228</v>
      </c>
      <c r="T34" s="2427" t="str">
        <f>NUMBERSTRING(7-K34,1)&amp;"通"</f>
        <v>七通</v>
      </c>
      <c r="U34" s="2438"/>
      <c r="V34" s="2438"/>
    </row>
    <row r="35" spans="1:30">
      <c r="A35" s="2428"/>
      <c r="B35" s="3531" t="s">
        <v>2229</v>
      </c>
      <c r="C35" s="3531"/>
      <c r="D35" s="3531"/>
      <c r="E35" s="3531"/>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t="s">
        <v>184</v>
      </c>
      <c r="E37" s="2430"/>
      <c r="F37" s="2430"/>
      <c r="G37" s="2661"/>
      <c r="H37" s="2661"/>
      <c r="I37" s="2661"/>
      <c r="J37" s="2438"/>
      <c r="K37" s="2613"/>
      <c r="L37" s="2610"/>
      <c r="M37" s="2610"/>
      <c r="N37" s="2438"/>
      <c r="O37" s="2449"/>
      <c r="P37" s="2438"/>
      <c r="Q37" s="2438"/>
      <c r="R37" s="2438"/>
      <c r="S37" s="2438"/>
      <c r="T37" s="2438"/>
      <c r="U37" s="2438"/>
      <c r="V37" s="2438"/>
    </row>
    <row r="38" spans="1:30" ht="13.8" thickBot="1">
      <c r="A38" s="2628" t="s">
        <v>2231</v>
      </c>
      <c r="B38" s="2431"/>
      <c r="C38" s="2431"/>
      <c r="D38" s="2431" t="s">
        <v>251</v>
      </c>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50"/>
      <c r="M40" s="2450"/>
      <c r="N40" s="2506"/>
      <c r="O40" s="2450"/>
      <c r="P40" s="2438"/>
      <c r="Q40" s="2438"/>
      <c r="R40" s="2438"/>
      <c r="S40" s="2438"/>
      <c r="T40" s="2438"/>
      <c r="U40" s="2438"/>
      <c r="V40" s="2438"/>
    </row>
    <row r="41" spans="1:30">
      <c r="A41" s="2435" t="s">
        <v>2233</v>
      </c>
      <c r="B41" s="1756"/>
      <c r="C41" s="1372"/>
      <c r="D41" s="2369"/>
      <c r="E41" s="2369"/>
      <c r="F41" s="2369"/>
      <c r="G41" s="2369"/>
      <c r="H41" s="2369"/>
      <c r="I41" s="1575"/>
      <c r="J41" s="2438"/>
      <c r="K41" s="2613"/>
      <c r="L41" s="2610"/>
      <c r="M41" s="2610"/>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375.87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375.87</v>
      </c>
      <c r="H5" s="13">
        <f t="shared" ref="H5:AT5" si="0">SUM(H13:H656)</f>
        <v>375.87</v>
      </c>
      <c r="I5" s="13">
        <f t="shared" si="0"/>
        <v>375.87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375.87</v>
      </c>
      <c r="BA5" s="15">
        <f t="shared" si="1"/>
        <v>375.87</v>
      </c>
      <c r="BB5" s="15">
        <f t="shared" si="1"/>
        <v>375.87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3392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3394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v>3110</v>
      </c>
      <c r="C13" s="1051"/>
      <c r="D13" s="1624" t="s">
        <v>3393</v>
      </c>
      <c r="E13" s="13">
        <f>IF($C$3="是",ROUND($A$3*G13/$B$3,2),ROUND($A$3*(G13-AT13)/$B$3,2))</f>
        <v>0</v>
      </c>
      <c r="F13" s="29"/>
      <c r="G13" s="30">
        <f>H13+AC13+AT13</f>
        <v>375.87</v>
      </c>
      <c r="H13" s="17">
        <f>SUMIF(I$12:AB$12,"总值",I13:AB13)</f>
        <v>375.87</v>
      </c>
      <c r="I13" s="1625">
        <v>375.87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3110</v>
      </c>
      <c r="AX13" s="8">
        <f t="shared" si="6"/>
        <v>0</v>
      </c>
      <c r="AY13" s="1348">
        <f>ROUND($AY$6*AZ13/$AZ$5,2)</f>
        <v>0</v>
      </c>
      <c r="AZ13" s="13">
        <f>BA13+BL13</f>
        <v>375.87</v>
      </c>
      <c r="BA13" s="13">
        <f>SUM(BB13:BK13)</f>
        <v>375.87</v>
      </c>
      <c r="BB13" s="13">
        <f>IF($D13="是",I13-J13,0)</f>
        <v>375.87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6"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41" t="s">
        <v>1131</v>
      </c>
      <c r="B2" s="3541"/>
      <c r="C2" s="3541"/>
      <c r="D2" s="796" t="s">
        <v>1107</v>
      </c>
      <c r="E2" s="1638" t="s">
        <v>1108</v>
      </c>
      <c r="F2" s="2656"/>
      <c r="G2" s="2647"/>
      <c r="H2" s="2648"/>
      <c r="I2" s="2324" t="s">
        <v>1132</v>
      </c>
      <c r="J2" s="2656"/>
      <c r="K2" s="2656"/>
      <c r="L2" s="2656"/>
      <c r="M2" s="2656"/>
      <c r="N2" s="2658"/>
      <c r="O2" s="2656"/>
      <c r="P2" s="2656"/>
    </row>
    <row r="3" spans="1:16" ht="15" thickBot="1">
      <c r="A3" s="3542" t="s">
        <v>1105</v>
      </c>
      <c r="B3" s="3542"/>
      <c r="C3" s="3542"/>
      <c r="D3" s="43">
        <f>'数据-基础表'!AY6</f>
        <v>0</v>
      </c>
      <c r="E3" s="43">
        <f>'数据-基础表'!AZ5</f>
        <v>375.87</v>
      </c>
      <c r="F3" s="2656"/>
      <c r="G3" s="1145"/>
      <c r="H3" s="1026" t="s">
        <v>1106</v>
      </c>
      <c r="I3" s="855" t="e">
        <f>ROUND('数据-基础表'!B3/'数据-基础表'!A3,2)</f>
        <v>#DIV/0!</v>
      </c>
      <c r="J3" s="2656"/>
      <c r="K3" s="2656"/>
      <c r="L3" s="2656"/>
      <c r="M3" s="2656"/>
      <c r="N3" s="2658"/>
      <c r="O3" s="2656"/>
      <c r="P3" s="2656"/>
    </row>
    <row r="4" spans="1:16" ht="14.4">
      <c r="A4" s="3543"/>
      <c r="B4" s="3544"/>
      <c r="C4" s="3545"/>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46" t="s">
        <v>1110</v>
      </c>
      <c r="C5" s="3546"/>
      <c r="D5" s="45">
        <f>ROUND($D$3*E5/$E$3,2)</f>
        <v>0</v>
      </c>
      <c r="E5" s="46">
        <f>SUMIF('数据-基础表'!$11:$11,"住宅",'数据-基础表'!$5:$5)</f>
        <v>375.87</v>
      </c>
      <c r="F5" s="2656"/>
      <c r="G5" s="1145"/>
      <c r="H5" s="1026" t="s">
        <v>1106</v>
      </c>
      <c r="I5" s="855" t="e">
        <f>ROUND(E31/D31,2)</f>
        <v>#DIV/0!</v>
      </c>
      <c r="J5" s="2656"/>
      <c r="K5" s="2656"/>
      <c r="L5" s="2656"/>
      <c r="M5" s="2656"/>
      <c r="N5" s="2656"/>
      <c r="O5" s="2656"/>
      <c r="P5" s="2656"/>
    </row>
    <row r="6" spans="1:16" ht="15" thickBot="1">
      <c r="A6" s="1643"/>
      <c r="B6" s="3546" t="s">
        <v>1111</v>
      </c>
      <c r="C6" s="3546"/>
      <c r="D6" s="45">
        <f>ROUND($D$3*E6/$E$3,2)</f>
        <v>0</v>
      </c>
      <c r="E6" s="46">
        <f>E3-E5</f>
        <v>0</v>
      </c>
      <c r="F6" s="2656"/>
      <c r="G6" s="2650" t="s">
        <v>1112</v>
      </c>
      <c r="H6" s="1146" t="s">
        <v>1113</v>
      </c>
      <c r="I6" s="2651" t="e">
        <f>ROUND(F31/D31,2)</f>
        <v>#DIV/0!</v>
      </c>
      <c r="J6" s="2656"/>
      <c r="K6" s="2656"/>
      <c r="L6" s="2656"/>
      <c r="M6" s="2656"/>
      <c r="N6" s="2656"/>
      <c r="O6" s="2656"/>
      <c r="P6" s="2656"/>
    </row>
    <row r="7" spans="1:16" ht="15" thickBot="1">
      <c r="A7" s="3538"/>
      <c r="B7" s="3539"/>
      <c r="C7" s="3540"/>
      <c r="D7" s="1640" t="s">
        <v>1107</v>
      </c>
      <c r="E7" s="1644" t="s">
        <v>1114</v>
      </c>
      <c r="F7" s="2656"/>
      <c r="G7" s="2652" t="s">
        <v>1115</v>
      </c>
      <c r="H7" s="2653"/>
      <c r="I7" s="2654">
        <v>2.5</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375.87</v>
      </c>
      <c r="F8" s="2656"/>
      <c r="G8" s="2657"/>
      <c r="H8" s="2657"/>
      <c r="I8" s="2656"/>
      <c r="J8" s="2656"/>
      <c r="K8" s="2656"/>
      <c r="L8" s="2656"/>
      <c r="M8" s="2656"/>
      <c r="N8" s="2656"/>
      <c r="O8" s="2656"/>
      <c r="P8" s="2656"/>
    </row>
    <row r="9" spans="1:16" ht="14.4">
      <c r="A9" s="1645"/>
      <c r="B9" s="1646"/>
      <c r="C9" s="45" t="s">
        <v>1119</v>
      </c>
      <c r="D9" s="45">
        <f t="shared" si="0"/>
        <v>0</v>
      </c>
      <c r="E9" s="49">
        <v>0</v>
      </c>
      <c r="F9" s="2656"/>
      <c r="G9" s="2657"/>
      <c r="H9" s="2657"/>
      <c r="I9" s="2656"/>
      <c r="J9" s="2656"/>
      <c r="K9" s="2656"/>
      <c r="L9" s="2656"/>
      <c r="M9" s="2656"/>
      <c r="N9" s="2656"/>
      <c r="O9" s="2656"/>
      <c r="P9" s="2656"/>
    </row>
    <row r="10" spans="1:16" ht="14.4">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3"/>
      <c r="B16" s="1646"/>
      <c r="C16" s="47" t="s">
        <v>1123</v>
      </c>
      <c r="D16" s="47">
        <f>SUM(D8:D15)</f>
        <v>0</v>
      </c>
      <c r="E16" s="50">
        <f>SUM(E8:E15)</f>
        <v>375.87</v>
      </c>
      <c r="F16" s="2656"/>
      <c r="G16" s="2657"/>
      <c r="H16" s="1647" t="s">
        <v>1135</v>
      </c>
      <c r="I16" s="1648"/>
      <c r="J16" s="1139"/>
      <c r="K16" s="3535" t="s">
        <v>1135</v>
      </c>
      <c r="L16" s="3536"/>
      <c r="M16" s="3536"/>
      <c r="N16" s="3536"/>
      <c r="O16" s="3536"/>
      <c r="P16" s="3537"/>
    </row>
    <row r="17" spans="1:19" ht="14.4">
      <c r="A17" s="1649" t="s">
        <v>1136</v>
      </c>
      <c r="B17" s="1650" t="s">
        <v>1137</v>
      </c>
      <c r="C17" s="1651" t="s">
        <v>1138</v>
      </c>
      <c r="D17" s="1652" t="s">
        <v>1126</v>
      </c>
      <c r="E17" s="1653" t="s">
        <v>1127</v>
      </c>
      <c r="F17" s="1654"/>
      <c r="G17" s="1655"/>
      <c r="H17" s="1656" t="s">
        <v>1139</v>
      </c>
      <c r="I17" s="1657" t="s">
        <v>1124</v>
      </c>
      <c r="J17" s="1139"/>
      <c r="K17" s="3532" t="s">
        <v>1140</v>
      </c>
      <c r="L17" s="3533"/>
      <c r="M17" s="3534"/>
      <c r="N17" s="3532" t="s">
        <v>1141</v>
      </c>
      <c r="O17" s="3533"/>
      <c r="P17" s="3534"/>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14" t="s">
        <v>3395</v>
      </c>
      <c r="D19" s="45">
        <f>ROUND($D$3*E19/$E$3,2)</f>
        <v>0</v>
      </c>
      <c r="E19" s="53">
        <f t="shared" ref="E19:E26" si="1">SUM(F19:G19)</f>
        <v>375.87</v>
      </c>
      <c r="F19" s="2792">
        <f>'数据-基础表'!I13</f>
        <v>375.87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375.87</v>
      </c>
    </row>
    <row r="20" spans="1:19" ht="14.4">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0</v>
      </c>
      <c r="E27" s="1141">
        <f>IF(SUM(E19:E26)='数据-基础表'!BA5,SUM(E19:E26),IF(F27="地上面积有误","面积有误","地下面积有误"))</f>
        <v>375.87</v>
      </c>
      <c r="F27" s="1140">
        <f>IF(SUM(F19:F26)=E8,SUM(F19:F26),"地上面积有误")</f>
        <v>375.87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375.87</v>
      </c>
    </row>
    <row r="28" spans="1:19" ht="14.4">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5"/>
      <c r="B31" s="1676"/>
      <c r="C31" s="835" t="s">
        <v>1158</v>
      </c>
      <c r="D31" s="676">
        <f>D27+D30</f>
        <v>0</v>
      </c>
      <c r="E31" s="676">
        <f>E27+E30</f>
        <v>375.87</v>
      </c>
      <c r="F31" s="677">
        <f>F27+F30</f>
        <v>375.87</v>
      </c>
      <c r="G31" s="678">
        <f>G27+G30</f>
        <v>0</v>
      </c>
      <c r="H31" s="2656"/>
      <c r="I31" s="2656"/>
      <c r="J31" s="2656"/>
      <c r="K31" s="2656"/>
      <c r="L31" s="2656"/>
      <c r="M31" s="2656"/>
      <c r="N31" s="2656"/>
      <c r="O31" s="2656"/>
      <c r="P31" s="2656"/>
    </row>
    <row r="32" spans="1:19" ht="14.4">
      <c r="A32" s="1642"/>
      <c r="B32" s="1642" t="s">
        <v>1159</v>
      </c>
      <c r="C32" s="1642"/>
      <c r="D32" s="1642"/>
      <c r="E32" s="1053">
        <f>SUMIF(C19:C26,"*住宅*",E19:E26)</f>
        <v>375.87</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V7" sqref="V7"/>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 thickBot="1">
      <c r="A2" s="1682" t="s">
        <v>1161</v>
      </c>
      <c r="B2" s="1045">
        <f>项目基本情况!D3</f>
        <v>45538</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3397</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3394</v>
      </c>
      <c r="D6" s="858">
        <f>SUMIF(项目基本情况!C$12:I$12,C6,项目基本情况!C$14:I$14)</f>
        <v>70</v>
      </c>
      <c r="E6" s="857">
        <f>IF(B6="","",SUMIF(项目基本情况!C$12:I$12,C6,项目基本情况!C$13:I$13))</f>
        <v>62243</v>
      </c>
      <c r="F6" s="64">
        <f>SUMIF(项目基本情况!C$12:I$12,C6,项目基本情况!C$15:I$15)</f>
        <v>45.76</v>
      </c>
      <c r="G6" s="65">
        <f>IF(ISERROR(ROUND(POWER(1+H6,D6-F6)*(POWER(1+H6,F6)-1)/(POWER(1+H6,D6)-1),3)),0,ROUND(POWER(1+H6,D6-F6)*(POWER(1+H6,F6)-1)/(POWER(1+H6,D6)-1),3))</f>
        <v>0.89100000000000001</v>
      </c>
      <c r="H6" s="732">
        <v>0.04</v>
      </c>
      <c r="I6" s="732">
        <v>4.4999999999999998E-2</v>
      </c>
      <c r="J6" s="66"/>
      <c r="K6" s="1030">
        <f>SUMIF('数据-汇总表'!C$19:C$33,A6,'数据-汇总表'!E$19:E$33)</f>
        <v>375.87</v>
      </c>
      <c r="L6" s="733">
        <v>5000</v>
      </c>
      <c r="M6" s="67">
        <f t="shared" ref="M6:M14" si="0">ROUND(K6*L6/10000,0)</f>
        <v>188</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v>260</v>
      </c>
      <c r="V6" s="70">
        <v>0.03</v>
      </c>
      <c r="W6" s="70">
        <v>0.1</v>
      </c>
      <c r="X6" s="1040"/>
      <c r="Y6" s="71">
        <v>0.65</v>
      </c>
      <c r="Z6" s="72"/>
      <c r="AA6" s="66"/>
      <c r="AB6" s="66"/>
      <c r="AC6" s="1040"/>
      <c r="AD6" s="73"/>
      <c r="AE6" s="1041">
        <f ca="1">IF(AN6="",0,SUMIF(INDIRECT("'"&amp;AN6&amp;"'"&amp;"!E:E"),$AE$5,INDIRECT("'"&amp;AN6&amp;"'"&amp;"!F:F")))</f>
        <v>45.76</v>
      </c>
      <c r="AF6" s="1347"/>
      <c r="AG6" s="138">
        <f>IF(AF6="",0,AE6-AF6)</f>
        <v>0</v>
      </c>
      <c r="AH6" s="74">
        <f>'数据-汇总表'!F19</f>
        <v>375.87</v>
      </c>
      <c r="AI6" s="76">
        <v>12</v>
      </c>
      <c r="AJ6" s="77"/>
      <c r="AK6" s="78">
        <v>2E-3</v>
      </c>
      <c r="AL6" s="79">
        <v>1E-3</v>
      </c>
      <c r="AM6" s="80">
        <v>0.01</v>
      </c>
      <c r="AN6" s="1714" t="s">
        <v>3492</v>
      </c>
      <c r="AO6" s="52">
        <f ca="1">SUMIF(INDIRECT("'"&amp;AN6&amp;"'"&amp;"!A:A"),"总价",INDIRECT("'"&amp;AN6&amp;"'"&amp;"!B:B"))</f>
        <v>2779.1091999999999</v>
      </c>
      <c r="AP6" s="1715">
        <f>IF(C6="住宅",K6*L6,0)</f>
        <v>1879350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0.89100000000000001</v>
      </c>
      <c r="H16" s="90">
        <f>ROUND(SUMPRODUCT(H6:H13,K6:K13)/SUMPRODUCT((H6:H13&gt;0)*(K6:K13)),3)</f>
        <v>0.04</v>
      </c>
      <c r="I16" s="91"/>
      <c r="J16" s="91"/>
      <c r="K16" s="92">
        <f>SUM(K6:K15)</f>
        <v>375.87</v>
      </c>
      <c r="L16" s="93">
        <f>ROUND(M16*10000/SUM(K6:K14),0)</f>
        <v>5002</v>
      </c>
      <c r="M16" s="93">
        <f>SUM(M6:M14)</f>
        <v>188</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ROUND(1-(2024-2002)/60,2)</f>
        <v>0.63</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1" t="s">
        <v>1211</v>
      </c>
      <c r="B19" s="103"/>
      <c r="C19" s="2796" t="s">
        <v>2301</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2" t="s">
        <v>1212</v>
      </c>
      <c r="B20" s="104">
        <v>2</v>
      </c>
      <c r="C20" s="2797" t="s">
        <v>2299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3"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8.8">
      <c r="A27" s="1726"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0.05</v>
      </c>
      <c r="C33" s="2800" t="s">
        <v>3375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0.1</v>
      </c>
      <c r="C34" s="2800" t="s">
        <v>2293</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0" t="s">
        <v>2294</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3376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0"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8"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3396</v>
      </c>
      <c r="B40" s="1078">
        <f ca="1">IF(A40="利息：取LPR",存贷款利率!G1,存贷款利率!G1+C40)</f>
        <v>4.7500000000000001E-2</v>
      </c>
      <c r="C40" s="2811">
        <v>1.4E-2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3"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6"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8" t="s">
        <v>1245</v>
      </c>
      <c r="B53" s="1737"/>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8"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685" customWidth="1"/>
    <col min="2" max="2" width="24.44140625" style="1571" customWidth="1"/>
    <col min="3" max="3" width="24.44140625" style="2507" customWidth="1"/>
    <col min="4" max="4" width="2.6640625" style="2507" customWidth="1"/>
    <col min="5" max="5" width="5.88671875" style="2507" customWidth="1"/>
    <col min="6" max="6" width="27" style="1571"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5"/>
  </cols>
  <sheetData>
    <row r="1" spans="1:29" s="2456" customFormat="1" ht="18" thickBot="1">
      <c r="A1" s="3547" t="s">
        <v>2284</v>
      </c>
      <c r="B1" s="3548"/>
      <c r="C1" s="3548"/>
      <c r="D1" s="3548"/>
      <c r="E1" s="3548"/>
      <c r="F1" s="3548"/>
      <c r="G1" s="354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2252</v>
      </c>
      <c r="C3" s="3449" t="s">
        <v>3483</v>
      </c>
      <c r="D3" s="2463"/>
      <c r="E3" s="2441" t="s">
        <v>2282</v>
      </c>
      <c r="F3" s="2464" t="s">
        <v>2253</v>
      </c>
      <c r="G3" s="2465" t="s">
        <v>2283</v>
      </c>
      <c r="H3" s="799"/>
      <c r="I3" s="799"/>
      <c r="J3" s="799"/>
      <c r="K3" s="799"/>
      <c r="L3" s="799"/>
      <c r="M3" s="799"/>
      <c r="N3" s="799"/>
      <c r="O3" s="799"/>
      <c r="P3" s="799"/>
      <c r="Q3" s="799"/>
      <c r="R3" s="799"/>
    </row>
    <row r="4" spans="1:29" ht="37.200000000000003">
      <c r="A4" s="2441"/>
      <c r="B4" s="323" t="s">
        <v>2254</v>
      </c>
      <c r="C4" s="2466" t="s">
        <v>2255</v>
      </c>
      <c r="D4" s="2463"/>
      <c r="E4" s="2467"/>
      <c r="F4" s="1372" t="s">
        <v>2256</v>
      </c>
      <c r="G4" s="2468" t="s">
        <v>2257</v>
      </c>
      <c r="H4" s="799"/>
      <c r="I4" s="799"/>
      <c r="J4" s="799"/>
      <c r="K4" s="799"/>
      <c r="L4" s="799"/>
      <c r="M4" s="799"/>
      <c r="N4" s="799"/>
      <c r="O4" s="799"/>
      <c r="P4" s="799"/>
      <c r="Q4" s="799"/>
      <c r="R4" s="799"/>
    </row>
    <row r="5" spans="1:29" ht="37.200000000000003">
      <c r="A5" s="2441"/>
      <c r="B5" s="323" t="s">
        <v>2258</v>
      </c>
      <c r="C5" s="2466" t="s">
        <v>2259</v>
      </c>
      <c r="D5" s="2463"/>
      <c r="E5" s="2467"/>
      <c r="F5" s="323" t="s">
        <v>2260</v>
      </c>
      <c r="G5" s="2468" t="s">
        <v>2261</v>
      </c>
      <c r="H5" s="799"/>
      <c r="I5" s="799"/>
      <c r="J5" s="799"/>
      <c r="K5" s="799"/>
      <c r="L5" s="799"/>
      <c r="M5" s="799"/>
      <c r="N5" s="799"/>
      <c r="O5" s="799"/>
      <c r="P5" s="799"/>
      <c r="Q5" s="799"/>
      <c r="R5" s="799"/>
    </row>
    <row r="6" spans="1:29" ht="84">
      <c r="A6" s="2441"/>
      <c r="B6" s="323" t="s">
        <v>2262</v>
      </c>
      <c r="C6" s="3450" t="s">
        <v>3484</v>
      </c>
      <c r="D6" s="2463"/>
      <c r="E6" s="2467"/>
      <c r="F6" s="323" t="s">
        <v>2263</v>
      </c>
      <c r="G6" s="2468" t="s">
        <v>2264</v>
      </c>
      <c r="H6" s="799"/>
      <c r="I6" s="799"/>
      <c r="J6" s="799"/>
      <c r="K6" s="799"/>
      <c r="L6" s="799"/>
      <c r="M6" s="799"/>
      <c r="N6" s="799"/>
      <c r="O6" s="799"/>
      <c r="P6" s="799"/>
      <c r="Q6" s="799"/>
      <c r="R6" s="799"/>
    </row>
    <row r="7" spans="1:29" ht="36.6" thickBot="1">
      <c r="A7" s="2441"/>
      <c r="B7" s="323" t="s">
        <v>2260</v>
      </c>
      <c r="C7" s="2468" t="s">
        <v>2261</v>
      </c>
      <c r="D7" s="2469"/>
      <c r="E7" s="2470"/>
      <c r="F7" s="2471" t="s">
        <v>2265</v>
      </c>
      <c r="G7" s="2472" t="s">
        <v>2266</v>
      </c>
      <c r="H7" s="799"/>
      <c r="I7" s="799"/>
      <c r="J7" s="799"/>
      <c r="K7" s="799"/>
      <c r="L7" s="799"/>
      <c r="M7" s="799"/>
      <c r="N7" s="799"/>
      <c r="O7" s="799"/>
      <c r="P7" s="799"/>
      <c r="Q7" s="799"/>
      <c r="R7" s="799"/>
    </row>
    <row r="8" spans="1:29">
      <c r="A8" s="2441"/>
      <c r="B8" s="323" t="s">
        <v>2263</v>
      </c>
      <c r="C8" s="3450" t="s">
        <v>3485</v>
      </c>
      <c r="D8" s="2469"/>
      <c r="E8" s="2469"/>
      <c r="F8" s="2473"/>
      <c r="G8" s="2473"/>
      <c r="H8" s="799"/>
      <c r="I8" s="799"/>
      <c r="J8" s="799"/>
      <c r="K8" s="799"/>
      <c r="L8" s="799"/>
      <c r="M8" s="799"/>
      <c r="N8" s="799"/>
      <c r="O8" s="799"/>
      <c r="P8" s="799"/>
      <c r="Q8" s="799"/>
      <c r="R8" s="799"/>
    </row>
    <row r="9" spans="1:29" ht="60">
      <c r="A9" s="2441"/>
      <c r="B9" s="323" t="s">
        <v>2267</v>
      </c>
      <c r="C9" s="3451" t="s">
        <v>3486</v>
      </c>
      <c r="D9" s="2463"/>
      <c r="E9" s="2469"/>
      <c r="F9" s="2473"/>
      <c r="G9" s="2473"/>
      <c r="H9" s="799"/>
      <c r="I9" s="799"/>
      <c r="J9" s="799"/>
      <c r="K9" s="799"/>
      <c r="L9" s="799"/>
      <c r="M9" s="799"/>
      <c r="N9" s="799"/>
      <c r="O9" s="799"/>
      <c r="P9" s="799"/>
      <c r="Q9" s="799"/>
      <c r="R9" s="799"/>
    </row>
    <row r="10" spans="1:29" s="2478" customFormat="1" ht="14.4" thickBot="1">
      <c r="A10" s="2442"/>
      <c r="B10" s="2474" t="s">
        <v>2268</v>
      </c>
      <c r="C10" s="3452" t="s">
        <v>3487</v>
      </c>
      <c r="D10" s="2463"/>
      <c r="E10" s="2463"/>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3"/>
      <c r="D11" s="2463"/>
      <c r="E11" s="2463"/>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7.399999999999999">
      <c r="A12" s="2479"/>
      <c r="B12" s="2469"/>
      <c r="C12" s="2463"/>
      <c r="D12" s="2481"/>
      <c r="E12" s="2463"/>
      <c r="F12" s="2469"/>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 thickBot="1">
      <c r="A13" s="2487" t="s">
        <v>2285</v>
      </c>
      <c r="B13" s="2481"/>
      <c r="C13" s="2481"/>
      <c r="D13" s="2479"/>
      <c r="E13" s="2481"/>
      <c r="F13" s="2481"/>
      <c r="G13" s="2481"/>
    </row>
    <row r="14" spans="1:29" ht="14.4" thickBot="1">
      <c r="A14" s="2491"/>
      <c r="B14" s="2491"/>
      <c r="C14" s="2492" t="s">
        <v>2269</v>
      </c>
      <c r="D14" s="2463"/>
      <c r="E14" s="2493"/>
      <c r="F14" s="2493"/>
      <c r="G14" s="2459" t="s">
        <v>2270</v>
      </c>
    </row>
    <row r="15" spans="1:29" ht="52.8">
      <c r="A15" s="2443" t="s">
        <v>2271</v>
      </c>
      <c r="B15" s="2494" t="s">
        <v>2252</v>
      </c>
      <c r="C15" s="2495" t="str">
        <f>C3</f>
        <v>估价对象周边有梵悦108、使馆壹号院、海晟名苑、万国城MOMA等住宅小区，综合评价居住社区成熟度较好</v>
      </c>
      <c r="D15" s="2463"/>
      <c r="E15" s="2444" t="s">
        <v>2272</v>
      </c>
      <c r="F15" s="2494" t="s">
        <v>2273</v>
      </c>
      <c r="G15" s="2496" t="str">
        <f>G3</f>
        <v>估价对象位于XX开发区，园区建设成熟度XX，产业集聚程度XX</v>
      </c>
    </row>
    <row r="16" spans="1:29" ht="39.6">
      <c r="A16" s="2445"/>
      <c r="B16" s="2497" t="s">
        <v>2254</v>
      </c>
      <c r="C16" s="2498" t="str">
        <f>C4</f>
        <v>估价对象位于XX商圈，周边商业氛围成熟，人流量大，商业繁华度好</v>
      </c>
      <c r="D16" s="2463"/>
      <c r="E16" s="2446"/>
      <c r="F16" s="2499" t="s">
        <v>2256</v>
      </c>
      <c r="G16" s="2500" t="str">
        <f>G4</f>
        <v>估价对象周边道路状况、公共交通通达情况、停车便捷程度，综合评价交通便捷度较好</v>
      </c>
    </row>
    <row r="17" spans="1:18" ht="39.6">
      <c r="A17" s="2445"/>
      <c r="B17" s="2497" t="s">
        <v>2258</v>
      </c>
      <c r="C17" s="2498" t="str">
        <f>C5</f>
        <v>估价对象位于XX商圈，周边办公楼项目较多，入驻率高，办公集聚程度较好</v>
      </c>
      <c r="D17" s="2469"/>
      <c r="E17" s="2446"/>
      <c r="F17" s="2499" t="s">
        <v>2274</v>
      </c>
      <c r="G17" s="2501"/>
    </row>
    <row r="18" spans="1:18" ht="92.4">
      <c r="A18" s="2445"/>
      <c r="B18" s="2499" t="s">
        <v>2262</v>
      </c>
      <c r="C18" s="2500" t="str">
        <f>C6</f>
        <v>估价对象周边有24路、117路、123路、132路、135路、413路、515路等多条公交线路，地铁2号线及13号线换乘站（东直门站），东直门长途汽车站等，综合评价交通便捷度较好</v>
      </c>
      <c r="D18" s="2469"/>
      <c r="E18" s="2446"/>
      <c r="F18" s="2499" t="s">
        <v>2265</v>
      </c>
      <c r="G18" s="2500" t="str">
        <f>G7</f>
        <v>该园区内是否有污染型企业，绿化情况，卫生条件，整体环境状况判断</v>
      </c>
    </row>
    <row r="19" spans="1:18" ht="26.4">
      <c r="A19" s="2445"/>
      <c r="B19" s="2499" t="s">
        <v>2275</v>
      </c>
      <c r="C19" s="2501"/>
      <c r="D19" s="2463"/>
      <c r="E19" s="2446"/>
      <c r="F19" s="323" t="s">
        <v>2260</v>
      </c>
      <c r="G19" s="2500" t="str">
        <f>G5</f>
        <v>估价对象所在区域公共配套设施齐备情况</v>
      </c>
    </row>
    <row r="20" spans="1:18" ht="66">
      <c r="A20" s="2445"/>
      <c r="B20" s="2499" t="s">
        <v>2276</v>
      </c>
      <c r="C20" s="2498" t="str">
        <f>C9</f>
        <v>区域自然环境：亮马河、东城区亮马河公园；人文环境：工人体育场、东直门外清真寺；综合评价环境状况较好</v>
      </c>
      <c r="D20" s="2469"/>
      <c r="E20" s="2446"/>
      <c r="F20" s="323" t="s">
        <v>2263</v>
      </c>
      <c r="G20" s="2500" t="str">
        <f>G6</f>
        <v>估价对象所在区域基础设施水平</v>
      </c>
    </row>
    <row r="21" spans="1:18" ht="26.4">
      <c r="A21" s="2445"/>
      <c r="B21" s="323" t="s">
        <v>2260</v>
      </c>
      <c r="C21" s="2500" t="str">
        <f>C7</f>
        <v>估价对象所在区域公共配套设施齐备情况</v>
      </c>
      <c r="D21" s="2463"/>
      <c r="E21" s="2446"/>
      <c r="F21" s="2499" t="s">
        <v>2277</v>
      </c>
      <c r="G21" s="2502"/>
    </row>
    <row r="22" spans="1:18" ht="13.5" customHeight="1">
      <c r="A22" s="2445"/>
      <c r="B22" s="323" t="s">
        <v>2263</v>
      </c>
      <c r="C22" s="2500" t="str">
        <f>C8</f>
        <v>七通</v>
      </c>
      <c r="D22" s="2463"/>
      <c r="E22" s="2446"/>
      <c r="F22" s="2499" t="s">
        <v>2268</v>
      </c>
      <c r="G22" s="2501"/>
    </row>
    <row r="23" spans="1:18" s="799" customFormat="1" ht="14.4" thickBot="1">
      <c r="A23" s="2445"/>
      <c r="B23" s="2499" t="s">
        <v>2277</v>
      </c>
      <c r="C23" s="2502"/>
      <c r="D23" s="1740"/>
      <c r="E23" s="2447"/>
      <c r="F23" s="2503" t="s">
        <v>2278</v>
      </c>
      <c r="G23" s="2504"/>
      <c r="H23" s="2488"/>
      <c r="I23" s="2489"/>
      <c r="J23" s="2488"/>
      <c r="K23" s="2488"/>
      <c r="L23" s="2489"/>
      <c r="M23" s="2488"/>
      <c r="N23" s="2488"/>
      <c r="O23" s="2489"/>
      <c r="P23" s="2488"/>
      <c r="Q23" s="2488"/>
      <c r="R23" s="2490"/>
    </row>
    <row r="24" spans="1:18" s="799" customFormat="1" ht="14.4" thickBot="1">
      <c r="A24" s="2448"/>
      <c r="B24" s="2503" t="s">
        <v>2279</v>
      </c>
      <c r="C24" s="2505" t="str">
        <f>C10</f>
        <v>城市次干道——胡家园路</v>
      </c>
      <c r="D24" s="1740"/>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6" sqref="F16"/>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375.87</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45538</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3842</v>
      </c>
      <c r="C5" s="2509">
        <f ca="1">IF(B5=D14,结果表!H102,ROUND(B5*10000/$B$1,0))</f>
        <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'数据-基础表'!I13</f>
        <v>375.87</v>
      </c>
      <c r="C14" s="2515"/>
      <c r="D14" s="2515">
        <f ca="1">结果表!G19</f>
        <v>3842</v>
      </c>
      <c r="E14" s="2515">
        <f ca="1">结果表!G20</f>
        <v>102224</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5.6">
      <c r="A16" s="2514" t="s">
        <v>648</v>
      </c>
      <c r="B16" s="2516"/>
      <c r="C16" s="2516"/>
      <c r="D16" s="2516"/>
      <c r="E16" s="2515" t="e">
        <f t="shared" si="0"/>
        <v>#DIV/0!</v>
      </c>
      <c r="F16" s="2515" t="e">
        <f t="shared" si="1"/>
        <v>#DIV/0!</v>
      </c>
      <c r="G16" s="1330"/>
      <c r="H16" s="1330"/>
      <c r="I16" s="2516"/>
      <c r="J16" s="2685"/>
      <c r="K16" s="2685"/>
    </row>
    <row r="17" spans="1:11" ht="15.6">
      <c r="A17" s="2514" t="s">
        <v>647</v>
      </c>
      <c r="B17" s="2516"/>
      <c r="C17" s="2516"/>
      <c r="D17" s="2516"/>
      <c r="E17" s="2515" t="e">
        <f t="shared" si="0"/>
        <v>#DIV/0!</v>
      </c>
      <c r="F17" s="2515" t="e">
        <f t="shared" si="1"/>
        <v>#DIV/0!</v>
      </c>
      <c r="G17" s="1330"/>
      <c r="H17" s="1330"/>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8" sqref="D8:D9"/>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t="s">
        <v>3394</v>
      </c>
      <c r="D1" s="1746"/>
      <c r="E1" s="1746"/>
      <c r="F1" s="1748" t="s">
        <v>1263</v>
      </c>
      <c r="G1" s="1560"/>
      <c r="H1" s="1749" t="str">
        <f>IF(G1="现房","——","估价对象范围")</f>
        <v>估价对象范围</v>
      </c>
      <c r="I1" s="1750"/>
    </row>
    <row r="2" spans="1:12" ht="21.75" customHeight="1" thickBot="1">
      <c r="A2" s="3616" t="str">
        <f>项目基本情况!S2</f>
        <v>北京市房地产</v>
      </c>
      <c r="B2" s="3617"/>
      <c r="C2" s="3617"/>
      <c r="D2" s="3617"/>
      <c r="E2" s="3617"/>
      <c r="F2" s="3617"/>
      <c r="G2" s="3617"/>
      <c r="H2" s="3617"/>
      <c r="I2" s="3618"/>
    </row>
    <row r="3" spans="1:12" ht="13.2">
      <c r="A3" s="3620" t="s">
        <v>1264</v>
      </c>
      <c r="B3" s="3621"/>
      <c r="C3" s="3621"/>
      <c r="D3" s="3621"/>
      <c r="E3" s="3621"/>
      <c r="F3" s="3621"/>
      <c r="G3" s="3621"/>
      <c r="H3" s="3621"/>
      <c r="I3" s="3621"/>
    </row>
    <row r="4" spans="1:12" ht="14.4">
      <c r="A4" s="1753" t="s">
        <v>1265</v>
      </c>
      <c r="B4" s="1754" t="s">
        <v>1266</v>
      </c>
      <c r="C4" s="1755" t="s">
        <v>3491</v>
      </c>
      <c r="D4" s="1755" t="s">
        <v>3492</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4" t="s">
        <v>1268</v>
      </c>
      <c r="B5" s="3619">
        <v>25</v>
      </c>
      <c r="C5" s="3622">
        <v>8</v>
      </c>
      <c r="D5" s="3610">
        <f>10-C5</f>
        <v>2</v>
      </c>
      <c r="E5" s="131" t="s">
        <v>1269</v>
      </c>
      <c r="F5" s="1756"/>
      <c r="G5" s="1756"/>
      <c r="H5" s="1756"/>
      <c r="I5" s="1372"/>
    </row>
    <row r="6" spans="1:12" ht="13.2">
      <c r="A6" s="3564"/>
      <c r="B6" s="3619"/>
      <c r="C6" s="3624"/>
      <c r="D6" s="3610"/>
      <c r="E6" s="131" t="s">
        <v>1270</v>
      </c>
      <c r="F6" s="1756"/>
      <c r="G6" s="1756"/>
      <c r="H6" s="1756"/>
      <c r="I6" s="1372"/>
    </row>
    <row r="7" spans="1:12" ht="13.2">
      <c r="A7" s="3564"/>
      <c r="B7" s="3619"/>
      <c r="C7" s="3623"/>
      <c r="D7" s="3610"/>
      <c r="E7" s="131" t="s">
        <v>1271</v>
      </c>
      <c r="F7" s="1756"/>
      <c r="G7" s="1756"/>
      <c r="H7" s="1756"/>
      <c r="I7" s="1372"/>
    </row>
    <row r="8" spans="1:12" ht="13.2">
      <c r="A8" s="3564" t="s">
        <v>1272</v>
      </c>
      <c r="B8" s="3619">
        <v>15</v>
      </c>
      <c r="C8" s="3622"/>
      <c r="D8" s="3610"/>
      <c r="E8" s="131" t="s">
        <v>1273</v>
      </c>
      <c r="F8" s="1756"/>
      <c r="G8" s="1756"/>
      <c r="H8" s="1756"/>
      <c r="I8" s="1372"/>
    </row>
    <row r="9" spans="1:12" ht="13.2">
      <c r="A9" s="3564"/>
      <c r="B9" s="3619"/>
      <c r="C9" s="3623"/>
      <c r="D9" s="3610"/>
      <c r="E9" s="131" t="s">
        <v>1274</v>
      </c>
      <c r="F9" s="1756"/>
      <c r="G9" s="1756"/>
      <c r="H9" s="1756"/>
      <c r="I9" s="1372"/>
    </row>
    <row r="10" spans="1:12" ht="13.2">
      <c r="A10" s="3564" t="s">
        <v>1275</v>
      </c>
      <c r="B10" s="3619">
        <v>15</v>
      </c>
      <c r="C10" s="3622"/>
      <c r="D10" s="3610"/>
      <c r="E10" s="131" t="s">
        <v>1276</v>
      </c>
      <c r="F10" s="1756"/>
      <c r="G10" s="1756"/>
      <c r="H10" s="1756"/>
      <c r="I10" s="1372"/>
    </row>
    <row r="11" spans="1:12" ht="13.2">
      <c r="A11" s="3564"/>
      <c r="B11" s="3619"/>
      <c r="C11" s="3623"/>
      <c r="D11" s="3610"/>
      <c r="E11" s="131" t="s">
        <v>1277</v>
      </c>
      <c r="F11" s="1756"/>
      <c r="G11" s="1756"/>
      <c r="H11" s="1756"/>
      <c r="I11" s="1372"/>
    </row>
    <row r="12" spans="1:12" ht="13.2">
      <c r="A12" s="3564" t="s">
        <v>1278</v>
      </c>
      <c r="B12" s="3619">
        <v>15</v>
      </c>
      <c r="C12" s="3622"/>
      <c r="D12" s="3610"/>
      <c r="E12" s="131" t="s">
        <v>1279</v>
      </c>
      <c r="F12" s="1756"/>
      <c r="G12" s="1756"/>
      <c r="H12" s="1756"/>
      <c r="I12" s="1372"/>
    </row>
    <row r="13" spans="1:12" ht="13.2">
      <c r="A13" s="3564"/>
      <c r="B13" s="3619"/>
      <c r="C13" s="3623"/>
      <c r="D13" s="3610"/>
      <c r="E13" s="131" t="s">
        <v>1280</v>
      </c>
      <c r="F13" s="1756"/>
      <c r="G13" s="1756"/>
      <c r="H13" s="1756"/>
      <c r="I13" s="1372"/>
    </row>
    <row r="14" spans="1:12" ht="13.2">
      <c r="A14" s="3564" t="s">
        <v>1281</v>
      </c>
      <c r="B14" s="3619">
        <v>30</v>
      </c>
      <c r="C14" s="3622"/>
      <c r="D14" s="3610"/>
      <c r="E14" s="131" t="s">
        <v>1282</v>
      </c>
      <c r="F14" s="1756"/>
      <c r="G14" s="1756"/>
      <c r="H14" s="1756"/>
      <c r="I14" s="1372"/>
    </row>
    <row r="15" spans="1:12" ht="13.2">
      <c r="A15" s="3564"/>
      <c r="B15" s="3619"/>
      <c r="C15" s="3624"/>
      <c r="D15" s="3610"/>
      <c r="E15" s="131" t="s">
        <v>1283</v>
      </c>
      <c r="F15" s="1756"/>
      <c r="G15" s="1756"/>
      <c r="H15" s="1756"/>
      <c r="I15" s="1372"/>
    </row>
    <row r="16" spans="1:12" ht="13.2">
      <c r="A16" s="3564"/>
      <c r="B16" s="3619"/>
      <c r="C16" s="3623"/>
      <c r="D16" s="3610"/>
      <c r="E16" s="131" t="s">
        <v>1284</v>
      </c>
      <c r="F16" s="1756"/>
      <c r="G16" s="1756"/>
      <c r="H16" s="1756"/>
      <c r="I16" s="1372"/>
    </row>
    <row r="17" spans="1:36" ht="14.4">
      <c r="A17" s="1757" t="s">
        <v>1285</v>
      </c>
      <c r="B17" s="56"/>
      <c r="C17" s="132">
        <f>SUM(C5:C16)</f>
        <v>8</v>
      </c>
      <c r="D17" s="132">
        <f>SUM(D5:D16)</f>
        <v>2</v>
      </c>
      <c r="E17" s="129"/>
      <c r="F17" s="129"/>
      <c r="G17" s="129"/>
      <c r="H17" s="129"/>
      <c r="I17" s="129"/>
      <c r="K17" s="302"/>
      <c r="L17" s="302" t="s">
        <v>1286</v>
      </c>
      <c r="M17" s="302" t="s">
        <v>1287</v>
      </c>
    </row>
    <row r="18" spans="1:36" ht="31.95" customHeight="1" thickBot="1">
      <c r="A18" s="1758" t="s">
        <v>1288</v>
      </c>
      <c r="B18" s="1759"/>
      <c r="C18" s="133">
        <f>ROUND(C17/SUM(C17:D17),2)</f>
        <v>0.8</v>
      </c>
      <c r="D18" s="133">
        <f>1-C18</f>
        <v>0.19999999999999996</v>
      </c>
      <c r="E18" s="3641" t="s">
        <v>2131</v>
      </c>
      <c r="F18" s="3642"/>
      <c r="G18" s="3642"/>
      <c r="H18" s="3642"/>
      <c r="I18" s="3642"/>
      <c r="K18" s="302" t="s">
        <v>1289</v>
      </c>
      <c r="L18" s="302">
        <f>IF(C1="",'数据-汇总表'!E3,SUMIF(项目类型,C1,'数据-汇总表'!E17:E26)+SUMIF(项目类型,C1,'数据-汇总表'!I17:I26))</f>
        <v>375.87</v>
      </c>
      <c r="M18" s="302">
        <f>IF(C1="",'数据-汇总表'!E3,SUMIF(项目类型,C1,'数据-汇总表'!E17:E26))</f>
        <v>375.87</v>
      </c>
    </row>
    <row r="19" spans="1:36" ht="14.4">
      <c r="A19" s="1760" t="s">
        <v>1290</v>
      </c>
      <c r="B19" s="1761" t="s">
        <v>1291</v>
      </c>
      <c r="C19" s="134">
        <f ca="1">SUMIF(INDIRECT("'"&amp;C4&amp;"'"&amp;"!A:A"),结果表!B19,INDIRECT("'"&amp;C4&amp;"'"&amp;"!B:B"))</f>
        <v>4108.1088</v>
      </c>
      <c r="D19" s="135">
        <f ca="1">SUMIF(INDIRECT("'"&amp;D4&amp;"'"&amp;"!A:A"),结果表!B19,INDIRECT("'"&amp;D4&amp;"'"&amp;"!B:B"))</f>
        <v>2779.1091999999999</v>
      </c>
      <c r="E19" s="1760" t="s">
        <v>1292</v>
      </c>
      <c r="F19" s="1761" t="s">
        <v>1291</v>
      </c>
      <c r="G19" s="136">
        <f ca="1">ROUND(C19*$C$18+D19*$D$18,0)</f>
        <v>3842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109296</v>
      </c>
      <c r="D20" s="138">
        <f ca="1">SUMIF(INDIRECT("'"&amp;D4&amp;"'"&amp;"!A:A"),结果表!B20,INDIRECT("'"&amp;D4&amp;"'"&amp;"!B:B"))</f>
        <v>73938</v>
      </c>
      <c r="E20" s="1763"/>
      <c r="F20" s="1026" t="s">
        <v>1295</v>
      </c>
      <c r="G20" s="139">
        <f ca="1">ROUND(C20*$C$18+D20*$D$18,0)</f>
        <v>102224</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0.47821064389985124</v>
      </c>
      <c r="E22" s="129"/>
      <c r="F22" s="129"/>
      <c r="G22" s="129"/>
      <c r="H22" s="129"/>
      <c r="I22" s="129"/>
    </row>
    <row r="23" spans="1:36" ht="13.8" thickBot="1">
      <c r="A23" s="1746"/>
      <c r="B23" s="1746"/>
      <c r="C23" s="1746"/>
      <c r="D23" s="1746"/>
      <c r="E23" s="129"/>
      <c r="F23" s="129"/>
      <c r="G23" s="129"/>
      <c r="H23" s="129"/>
      <c r="I23" s="129"/>
    </row>
    <row r="24" spans="1:36" ht="14.4">
      <c r="A24" s="3634" t="s">
        <v>1299</v>
      </c>
      <c r="B24" s="1761" t="s">
        <v>1291</v>
      </c>
      <c r="C24" s="136">
        <f>IF(B30=0,0,D30)</f>
        <v>0</v>
      </c>
      <c r="D24" s="1768"/>
      <c r="E24" s="129"/>
      <c r="F24" s="129"/>
      <c r="G24" s="129"/>
      <c r="H24" s="129"/>
      <c r="I24" s="129"/>
    </row>
    <row r="25" spans="1:36" ht="14.4">
      <c r="A25" s="363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102224</v>
      </c>
      <c r="D32" s="1774"/>
      <c r="E32" s="129"/>
      <c r="F32" s="129"/>
      <c r="G32" s="129"/>
      <c r="H32" s="129"/>
      <c r="I32" s="129"/>
    </row>
    <row r="33" spans="1:15" ht="14.4">
      <c r="A33" s="786" t="s">
        <v>1306</v>
      </c>
      <c r="B33" s="1775"/>
      <c r="C33" s="1776"/>
      <c r="D33" s="1777"/>
      <c r="E33" s="1778" t="s">
        <v>1307</v>
      </c>
      <c r="F33" s="1779" t="str">
        <f>IF(D32="楼面单价","取值（单价）","取值（总价）")</f>
        <v>取值（总价）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611" t="s">
        <v>1312</v>
      </c>
      <c r="B36" s="1786" t="s">
        <v>1313</v>
      </c>
      <c r="C36" s="145"/>
      <c r="D36" s="1787"/>
      <c r="E36" s="1788"/>
      <c r="F36" s="1789"/>
      <c r="G36" s="129"/>
      <c r="H36" s="129"/>
      <c r="I36" s="129"/>
    </row>
    <row r="37" spans="1:15" ht="15" thickBot="1">
      <c r="A37" s="3612"/>
      <c r="B37" s="1673" t="s">
        <v>1314</v>
      </c>
      <c r="C37" s="147"/>
      <c r="D37" s="1139"/>
      <c r="E37" s="1139"/>
      <c r="F37" s="1789"/>
      <c r="G37" s="129"/>
      <c r="H37" s="129"/>
      <c r="I37" s="129"/>
    </row>
    <row r="38" spans="1:15" ht="15" thickBot="1">
      <c r="A38" s="3613"/>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1" t="s">
        <v>1326</v>
      </c>
      <c r="B45" s="3632"/>
      <c r="C45" s="3633"/>
      <c r="D45" s="155" t="e">
        <f ca="1">ROUND(H101*F45,0)</f>
        <v>#REF!</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5"/>
      <c r="I46" s="159"/>
      <c r="J46" s="2520">
        <v>1</v>
      </c>
      <c r="K46" s="3552" t="s">
        <v>1331</v>
      </c>
      <c r="L46" s="3552"/>
      <c r="M46" s="3553"/>
      <c r="N46" s="3553"/>
      <c r="O46" s="3553"/>
    </row>
    <row r="47" spans="1:15" ht="12" customHeight="1">
      <c r="A47" s="160" t="s">
        <v>1332</v>
      </c>
      <c r="B47" s="161"/>
      <c r="C47" s="162"/>
      <c r="D47" s="1087" t="s">
        <v>1333</v>
      </c>
      <c r="E47" s="302" t="s">
        <v>1334</v>
      </c>
      <c r="F47" s="163" t="s">
        <v>1335</v>
      </c>
      <c r="G47" s="2543" t="s">
        <v>1336</v>
      </c>
      <c r="H47" s="2544"/>
      <c r="I47" s="159"/>
      <c r="J47" s="2520">
        <v>2</v>
      </c>
      <c r="K47" s="3552" t="s">
        <v>1337</v>
      </c>
      <c r="L47" s="3552"/>
      <c r="M47" s="3554">
        <f>'数据-取费表'!B2</f>
        <v>45538</v>
      </c>
      <c r="N47" s="3554"/>
      <c r="O47" s="3554"/>
    </row>
    <row r="48" spans="1:15" ht="26.4">
      <c r="A48" s="3614" t="s">
        <v>1338</v>
      </c>
      <c r="B48" s="3615"/>
      <c r="C48" s="3615"/>
      <c r="D48" s="2323" t="b">
        <f>IF(H48="情况1",0,IF(H48="情况2",D52,IF(H48="情况3",D53,IF(H48="情况4",D54))))</f>
        <v>0</v>
      </c>
      <c r="E48" s="2333" t="str">
        <f>IF(H48="情况4","(销售额-原购置价)×税（费）率","销售额×税（费）率")</f>
        <v>销售额×税（费）率</v>
      </c>
      <c r="F48" s="2545">
        <f>IF(H48="情况1","免征",'数据-取费表'!B41)</f>
        <v>5.6000000000000001E-2</v>
      </c>
      <c r="G48" s="2546" t="s">
        <v>1339</v>
      </c>
      <c r="H48" s="2547"/>
      <c r="I48" s="1805"/>
      <c r="J48" s="2520">
        <v>3</v>
      </c>
      <c r="K48" s="3552" t="s">
        <v>1340</v>
      </c>
      <c r="L48" s="3552"/>
      <c r="M48" s="3555" t="e">
        <f ca="1">H101</f>
        <v>#REF!</v>
      </c>
      <c r="N48" s="3555"/>
      <c r="O48" s="3555"/>
    </row>
    <row r="49" spans="1:35" ht="25.5" customHeight="1">
      <c r="A49" s="2332" t="s">
        <v>1341</v>
      </c>
      <c r="B49" s="3600" t="s">
        <v>1342</v>
      </c>
      <c r="C49" s="3600"/>
      <c r="D49" s="1589">
        <v>0</v>
      </c>
      <c r="E49" s="324" t="s">
        <v>1343</v>
      </c>
      <c r="F49" s="2423" t="s">
        <v>28</v>
      </c>
      <c r="G49" s="3583"/>
      <c r="H49" s="2309" t="s">
        <v>2134</v>
      </c>
      <c r="I49" s="2310"/>
      <c r="J49" s="2520">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48"/>
      <c r="B50" s="3600" t="s">
        <v>1344</v>
      </c>
      <c r="C50" s="3600"/>
      <c r="D50" s="2549"/>
      <c r="E50" s="332"/>
      <c r="F50" s="2423"/>
      <c r="G50" s="3584"/>
      <c r="H50" s="2311" t="s">
        <v>2135</v>
      </c>
      <c r="I50" s="2310"/>
      <c r="J50" s="3551" t="s">
        <v>1345</v>
      </c>
      <c r="K50" s="3551"/>
      <c r="L50" s="3551"/>
      <c r="M50" s="3551"/>
      <c r="N50" s="3551"/>
      <c r="O50" s="3551"/>
    </row>
    <row r="51" spans="1:35" ht="20.399999999999999" customHeight="1">
      <c r="A51" s="2550"/>
      <c r="B51" s="3600" t="s">
        <v>1346</v>
      </c>
      <c r="C51" s="3600"/>
      <c r="D51" s="1087"/>
      <c r="E51" s="327"/>
      <c r="F51" s="2423"/>
      <c r="G51" s="3585"/>
      <c r="H51" s="2311" t="s">
        <v>2136</v>
      </c>
      <c r="I51" s="2310"/>
      <c r="J51" s="2521" t="s">
        <v>1347</v>
      </c>
      <c r="K51" s="3552" t="s">
        <v>1348</v>
      </c>
      <c r="L51" s="3552"/>
      <c r="M51" s="2521" t="s">
        <v>1349</v>
      </c>
      <c r="N51" s="2521" t="s">
        <v>1350</v>
      </c>
      <c r="O51" s="2521" t="s">
        <v>1351</v>
      </c>
    </row>
    <row r="52" spans="1:35" ht="24" customHeight="1">
      <c r="A52" s="2334" t="s">
        <v>1352</v>
      </c>
      <c r="B52" s="3600" t="s">
        <v>1353</v>
      </c>
      <c r="C52" s="3600"/>
      <c r="D52" s="1087" t="e">
        <f ca="1">ROUND(D45*'数据-取费表'!B41/(1+'数据-取费表'!C42),0)</f>
        <v>#REF!</v>
      </c>
      <c r="E52" s="2333" t="s">
        <v>1354</v>
      </c>
      <c r="F52" s="2551">
        <f>'数据-取费表'!B41</f>
        <v>5.6000000000000001E-2</v>
      </c>
      <c r="G52" s="2552"/>
      <c r="H52" s="2541"/>
      <c r="I52" s="1806"/>
      <c r="J52" s="2520">
        <v>1</v>
      </c>
      <c r="K52" s="3577" t="s">
        <v>1355</v>
      </c>
      <c r="L52" s="3577"/>
      <c r="M52" s="2522" t="b">
        <f>D48</f>
        <v>0</v>
      </c>
      <c r="N52" s="2520" t="str">
        <f>E48</f>
        <v>销售额×税（费）率</v>
      </c>
      <c r="O52" s="2523">
        <f>F48</f>
        <v>5.6000000000000001E-2</v>
      </c>
    </row>
    <row r="53" spans="1:35" ht="12" customHeight="1">
      <c r="A53" s="2334" t="s">
        <v>1356</v>
      </c>
      <c r="B53" s="3601" t="s">
        <v>2289</v>
      </c>
      <c r="C53" s="3602"/>
      <c r="D53" s="1087" t="e">
        <f ca="1">ROUND(D45*'数据-取费表'!B41/(1+'数据-取费表'!C42),0)</f>
        <v>#REF!</v>
      </c>
      <c r="E53" s="2333" t="s">
        <v>1354</v>
      </c>
      <c r="F53" s="2551">
        <f>'数据-取费表'!B41</f>
        <v>5.6000000000000001E-2</v>
      </c>
      <c r="G53" s="2552"/>
      <c r="H53" s="2541"/>
      <c r="I53" s="1806"/>
      <c r="J53" s="2520">
        <v>2</v>
      </c>
      <c r="K53" s="3577" t="s">
        <v>1357</v>
      </c>
      <c r="L53" s="3577"/>
      <c r="M53" s="2522" t="e">
        <f t="shared" ref="M53:O54" ca="1" si="0">D55</f>
        <v>#REF!</v>
      </c>
      <c r="N53" s="2520" t="str">
        <f t="shared" si="0"/>
        <v>销售额×税（费）率</v>
      </c>
      <c r="O53" s="2523" t="str">
        <f t="shared" si="0"/>
        <v>免征</v>
      </c>
    </row>
    <row r="54" spans="1:35" ht="12" customHeight="1">
      <c r="A54" s="2334" t="s">
        <v>1358</v>
      </c>
      <c r="B54" s="3601" t="s">
        <v>2290</v>
      </c>
      <c r="C54" s="3602"/>
      <c r="D54" s="1087" t="e">
        <f ca="1">C68</f>
        <v>#REF!</v>
      </c>
      <c r="E54" s="327" t="s">
        <v>1359</v>
      </c>
      <c r="F54" s="2551">
        <f>'数据-取费表'!B41</f>
        <v>5.6000000000000001E-2</v>
      </c>
      <c r="G54" s="2552"/>
      <c r="H54" s="2553"/>
      <c r="I54" s="1806"/>
      <c r="J54" s="2520">
        <v>3</v>
      </c>
      <c r="K54" s="3577" t="s">
        <v>1360</v>
      </c>
      <c r="L54" s="3577"/>
      <c r="M54" s="2522" t="e">
        <f t="shared" ca="1" si="0"/>
        <v>#REF!</v>
      </c>
      <c r="N54" s="2520" t="str">
        <f t="shared" si="0"/>
        <v>增值额×税（费）率</v>
      </c>
      <c r="O54" s="2524" t="str">
        <f t="shared" si="0"/>
        <v>免征</v>
      </c>
    </row>
    <row r="55" spans="1:35" ht="24" customHeight="1">
      <c r="A55" s="3637" t="s">
        <v>1361</v>
      </c>
      <c r="B55" s="3615"/>
      <c r="C55" s="3615"/>
      <c r="D55" s="2323" t="e">
        <f ca="1">IF(H55="个人住宅",0,ROUND(D45*I55,0))</f>
        <v>#REF!</v>
      </c>
      <c r="E55" s="2333" t="s">
        <v>1362</v>
      </c>
      <c r="F55" s="2551" t="str">
        <f>IF(H55="正常",I55,"免征")</f>
        <v>免征</v>
      </c>
      <c r="G55" s="2552"/>
      <c r="H55" s="2547"/>
      <c r="I55" s="165">
        <f>'数据-取费表'!B49</f>
        <v>5.0000000000000001E-4</v>
      </c>
      <c r="J55" s="2520">
        <f>IF(H59="非个人房产","",4)</f>
        <v>4</v>
      </c>
      <c r="K55" s="3577" t="str">
        <f>IF(H59="非个人房产","——","个人所得税")</f>
        <v>个人所得税</v>
      </c>
      <c r="L55" s="3577"/>
      <c r="M55" s="2525" t="e">
        <f ca="1">D59</f>
        <v>#REF!</v>
      </c>
      <c r="N55" s="2039" t="str">
        <f>E59</f>
        <v>差额计税</v>
      </c>
      <c r="O55" s="2526">
        <f>F59</f>
        <v>0.01</v>
      </c>
    </row>
    <row r="56" spans="1:35" ht="25.2">
      <c r="A56" s="3637" t="s">
        <v>1363</v>
      </c>
      <c r="B56" s="3615"/>
      <c r="C56" s="3615"/>
      <c r="D56" s="2323" t="e">
        <f ca="1">IF(H56="个人住宅",D57,D58)</f>
        <v>#REF!</v>
      </c>
      <c r="E56" s="2333" t="s">
        <v>1364</v>
      </c>
      <c r="F56" s="2551" t="str">
        <f>IF(H56="正常",F58,"免征")</f>
        <v>免征</v>
      </c>
      <c r="G56" s="2554" t="s">
        <v>1365</v>
      </c>
      <c r="H56" s="2555"/>
      <c r="I56" s="1807"/>
      <c r="J56" s="2520" t="str">
        <f>IF(项目基本情况!K6="上海银行",IF(J55="",4,J55+1),"")</f>
        <v/>
      </c>
      <c r="K56" s="3558" t="str">
        <f>IF(项目基本情况!K6="上海银行","其他处置费用","")</f>
        <v/>
      </c>
      <c r="L56" s="3559"/>
      <c r="M56" s="2522" t="str">
        <f>IF(项目基本情况!K6="上海银行",M69,"")</f>
        <v/>
      </c>
      <c r="N56" s="3558" t="str">
        <f>IF(项目基本情况!K6="上海银行","包含处置中涉及的律师、诉讼、拍卖、评估等费用","")</f>
        <v/>
      </c>
      <c r="O56" s="3561"/>
    </row>
    <row r="57" spans="1:35" ht="13.2">
      <c r="A57" s="2334" t="s">
        <v>1341</v>
      </c>
      <c r="B57" s="3601" t="s">
        <v>1366</v>
      </c>
      <c r="C57" s="3602"/>
      <c r="D57" s="1589">
        <v>0</v>
      </c>
      <c r="E57" s="324" t="s">
        <v>1343</v>
      </c>
      <c r="F57" s="302"/>
      <c r="G57" s="2552"/>
      <c r="H57" s="2556"/>
      <c r="I57" s="1807"/>
      <c r="J57" s="3577">
        <f>IF(AND(J55="",J56=""),4,IF(项目基本情况!K6="上海银行",结果表!J56+1,结果表!J55+1))</f>
        <v>5</v>
      </c>
      <c r="K57" s="3577" t="s">
        <v>1367</v>
      </c>
      <c r="L57" s="2527" t="s">
        <v>1368</v>
      </c>
      <c r="M57" s="2528"/>
      <c r="N57" s="2529">
        <f ca="1">SUMIF(M52:M56,"&lt;9e307")</f>
        <v>0</v>
      </c>
      <c r="O57" s="2530"/>
      <c r="P57" s="2687" t="e">
        <f ca="1">N57/M49</f>
        <v>#VALUE!</v>
      </c>
    </row>
    <row r="58" spans="1:35" ht="25.2">
      <c r="A58" s="2334" t="s">
        <v>1352</v>
      </c>
      <c r="B58" s="3601" t="s">
        <v>1369</v>
      </c>
      <c r="C58" s="3600"/>
      <c r="D58" s="2323" t="e">
        <f ca="1">IF(H58="转让取得",C81,C97)</f>
        <v>#REF!</v>
      </c>
      <c r="E58" s="2333" t="s">
        <v>1364</v>
      </c>
      <c r="F58" s="302" t="s">
        <v>28</v>
      </c>
      <c r="G58" s="2552"/>
      <c r="H58" s="2555"/>
      <c r="I58" s="1807"/>
      <c r="J58" s="3577"/>
      <c r="K58" s="3577"/>
      <c r="L58" s="2527" t="s">
        <v>1370</v>
      </c>
      <c r="M58" s="2531"/>
      <c r="N58" s="2532" t="str">
        <f ca="1">NUMBERSTRING(INT(N57*10000),2)&amp;"元整"</f>
        <v>零元整</v>
      </c>
      <c r="O58" s="2533"/>
    </row>
    <row r="59" spans="1:35" ht="24.6" thickBot="1">
      <c r="A59" s="3581" t="s">
        <v>1371</v>
      </c>
      <c r="B59" s="3582"/>
      <c r="C59" s="3582"/>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2137</v>
      </c>
      <c r="J59" s="3579">
        <f>J57+1</f>
        <v>6</v>
      </c>
      <c r="K59" s="3577" t="s">
        <v>1372</v>
      </c>
      <c r="L59" s="2520" t="s">
        <v>1368</v>
      </c>
      <c r="M59" s="2534"/>
      <c r="N59" s="2535" t="e">
        <f ca="1">M49-N57</f>
        <v>#VALUE!</v>
      </c>
      <c r="O59" s="2536"/>
    </row>
    <row r="60" spans="1:35" ht="12" customHeight="1">
      <c r="A60" s="1808"/>
      <c r="B60" s="1746"/>
      <c r="C60" s="1746"/>
      <c r="D60" s="1746"/>
      <c r="E60" s="1577"/>
      <c r="F60" s="1807"/>
      <c r="G60" s="1807"/>
      <c r="H60" s="1809"/>
      <c r="I60" s="129"/>
      <c r="J60" s="3580"/>
      <c r="K60" s="3577"/>
      <c r="L60" s="2527" t="s">
        <v>1370</v>
      </c>
      <c r="M60" s="2531"/>
      <c r="N60" s="2532" t="e">
        <f ca="1">NUMBERSTRING(INT(N59*10000),2)&amp;"元整"</f>
        <v>#VALUE!</v>
      </c>
      <c r="O60" s="2533"/>
    </row>
    <row r="61" spans="1:35" ht="13.8" thickBot="1">
      <c r="A61" s="3636" t="s">
        <v>1373</v>
      </c>
      <c r="B61" s="3636"/>
      <c r="C61" s="3636"/>
      <c r="D61" s="3636"/>
      <c r="E61" s="3636"/>
      <c r="F61" s="1807"/>
      <c r="G61" s="1807"/>
      <c r="H61" s="1809"/>
      <c r="I61" s="129"/>
      <c r="J61" s="2520">
        <f>J59+1</f>
        <v>7</v>
      </c>
      <c r="K61" s="3577" t="s">
        <v>1374</v>
      </c>
      <c r="L61" s="3577"/>
      <c r="M61" s="2537"/>
      <c r="N61" s="2538" t="e">
        <f ca="1">ROUND(N59*10000/'数据-汇总表'!E3,0)</f>
        <v>#VALUE!</v>
      </c>
      <c r="O61" s="2539"/>
    </row>
    <row r="62" spans="1:35" ht="13.2">
      <c r="A62" s="3596" t="s">
        <v>1375</v>
      </c>
      <c r="B62" s="3597"/>
      <c r="C62" s="2020"/>
      <c r="D62" s="2020" t="s">
        <v>1376</v>
      </c>
      <c r="E62" s="166" t="s">
        <v>1377</v>
      </c>
      <c r="F62" s="1807"/>
      <c r="G62" s="1807"/>
      <c r="H62" s="1809"/>
      <c r="I62" s="129"/>
    </row>
    <row r="63" spans="1:35" ht="13.2">
      <c r="A63" s="173" t="s">
        <v>330</v>
      </c>
      <c r="B63" s="167" t="s">
        <v>1378</v>
      </c>
      <c r="C63" s="2561" t="e">
        <f ca="1">ROUND((C64+C65)/(1+'数据-取费表'!C42),0)</f>
        <v>#REF!</v>
      </c>
      <c r="D63" s="167"/>
      <c r="E63" s="168"/>
      <c r="F63" s="1807"/>
      <c r="G63" s="1807"/>
      <c r="H63" s="1809"/>
      <c r="I63" s="129"/>
      <c r="J63" s="3560"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56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560"/>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560"/>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56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5.6000000000000001E-2</v>
      </c>
      <c r="E68" s="178"/>
      <c r="F68" s="1807"/>
      <c r="G68" s="1807"/>
      <c r="H68" s="1809"/>
      <c r="I68" s="129"/>
      <c r="J68" s="3560"/>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560"/>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04" t="s">
        <v>1394</v>
      </c>
      <c r="B70" s="3605"/>
      <c r="C70" s="3605"/>
      <c r="D70" s="3605"/>
      <c r="E70" s="3605"/>
      <c r="F70" s="3605"/>
      <c r="G70" s="3605"/>
      <c r="H70" s="3605"/>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96" t="s">
        <v>1375</v>
      </c>
      <c r="B71" s="3597"/>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5" t="e">
        <f ca="1">ROUND(D45/(1+'数据-取费表'!C42),0)</f>
        <v>#REF!</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5"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601" t="s">
        <v>1402</v>
      </c>
      <c r="F76" s="3600"/>
      <c r="G76" s="3600"/>
      <c r="H76" s="360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6.000000000000001E-3</v>
      </c>
      <c r="E78" s="3593" t="s">
        <v>1406</v>
      </c>
      <c r="F78" s="3594"/>
      <c r="G78" s="3594"/>
      <c r="H78" s="359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5"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04" t="s">
        <v>1410</v>
      </c>
      <c r="B83" s="3605"/>
      <c r="C83" s="3605"/>
      <c r="D83" s="3605"/>
      <c r="E83" s="3605"/>
      <c r="F83" s="3605"/>
      <c r="G83" s="3605"/>
      <c r="H83" s="360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96" t="s">
        <v>1375</v>
      </c>
      <c r="B84" s="359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5"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5" t="e">
        <f ca="1">IF(H88="仅含出让金",C87+C90+C91+C92+C93+C94,C87+C91+C92+C93+C94)</f>
        <v>#REF!</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79"/>
      <c r="D88" s="2574"/>
      <c r="E88" s="193" t="s">
        <v>1413</v>
      </c>
      <c r="F88" s="2326"/>
      <c r="G88" s="194" t="s">
        <v>1414</v>
      </c>
      <c r="H88" s="1823"/>
      <c r="I88" s="1820"/>
      <c r="J88" s="2518"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3">
        <f>ROUND(C88*D89,0)</f>
        <v>0</v>
      </c>
      <c r="D89" s="2574">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79"/>
      <c r="D90" s="2574"/>
      <c r="E90" s="193" t="str">
        <f>IF(H88="-","土地取得成本中已包含该笔费用"," ")</f>
        <v xml:space="preserve"> </v>
      </c>
      <c r="F90" s="2326"/>
      <c r="G90" s="3562" t="s">
        <v>2129</v>
      </c>
      <c r="H90" s="3563"/>
      <c r="I90" s="1820"/>
      <c r="J90" s="2518"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593" t="s">
        <v>1419</v>
      </c>
      <c r="F91" s="3594"/>
      <c r="G91" s="359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593" t="s">
        <v>1422</v>
      </c>
      <c r="F92" s="3594"/>
      <c r="G92" s="3594"/>
      <c r="H92" s="3595"/>
      <c r="I92" s="1820"/>
      <c r="J92" s="2519"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6.000000000000001E-3</v>
      </c>
      <c r="E93" s="3593" t="s">
        <v>1406</v>
      </c>
      <c r="F93" s="3594"/>
      <c r="G93" s="3594"/>
      <c r="H93" s="359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638" t="s">
        <v>1426</v>
      </c>
      <c r="F94" s="3639"/>
      <c r="G94" s="3639"/>
      <c r="H94" s="364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5"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2" t="str">
        <f>C4</f>
        <v>比较法-住宅</v>
      </c>
      <c r="D101" s="2583" t="str">
        <f>D4</f>
        <v>收益法 (元)</v>
      </c>
      <c r="E101" s="3556" t="s">
        <v>1431</v>
      </c>
      <c r="F101" s="3557"/>
      <c r="G101" s="1826" t="s">
        <v>1432</v>
      </c>
      <c r="H101" s="2592" t="e">
        <f ca="1">H118</f>
        <v>#REF!</v>
      </c>
      <c r="I101" s="129"/>
    </row>
    <row r="102" spans="1:35" ht="18.75" customHeight="1">
      <c r="A102" s="3588" t="s">
        <v>1433</v>
      </c>
      <c r="B102" s="2581" t="s">
        <v>1432</v>
      </c>
      <c r="C102" s="2582">
        <f ca="1">IF(D32="楼面单价",ROUND(C19,0),C19)</f>
        <v>4108.1088</v>
      </c>
      <c r="D102" s="2583">
        <f ca="1">IF(D32="楼面单价",ROUND(D19,0),D19)</f>
        <v>2779.1091999999999</v>
      </c>
      <c r="E102" s="3556"/>
      <c r="F102" s="3557"/>
      <c r="G102" s="1826" t="s">
        <v>1434</v>
      </c>
      <c r="H102" s="2552" t="e">
        <f ca="1">I118</f>
        <v>#REF!</v>
      </c>
      <c r="I102" s="129"/>
    </row>
    <row r="103" spans="1:35" ht="42.75" customHeight="1">
      <c r="A103" s="3588"/>
      <c r="B103" s="2581" t="s">
        <v>1434</v>
      </c>
      <c r="C103" s="2584">
        <f ca="1">C20</f>
        <v>109296</v>
      </c>
      <c r="D103" s="2585">
        <f ca="1">D20</f>
        <v>73938</v>
      </c>
      <c r="E103" s="3549" t="s">
        <v>1435</v>
      </c>
      <c r="F103" s="3550"/>
      <c r="G103" s="1827" t="s">
        <v>1436</v>
      </c>
      <c r="H103" s="2592">
        <f>IF(D36="正常操作",H104+H105+H106,H105+H106)</f>
        <v>0</v>
      </c>
      <c r="I103" s="129"/>
    </row>
    <row r="104" spans="1:35" ht="18.75" customHeight="1">
      <c r="A104" s="3588"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598"/>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589" t="str">
        <f>IF(项目基本情况!E8="已注销","——","3.房地产抵押价值")</f>
        <v>3.房地产抵押价值</v>
      </c>
      <c r="F107" s="3557"/>
      <c r="G107" s="1826" t="s">
        <v>1432</v>
      </c>
      <c r="H107" s="2592" t="e">
        <f ca="1">IF(E107="——","——",H101-H103)</f>
        <v>#REF!</v>
      </c>
      <c r="I107" s="129"/>
    </row>
    <row r="108" spans="1:35" ht="18.75" customHeight="1">
      <c r="A108" s="129"/>
      <c r="B108" s="129"/>
      <c r="C108" s="129"/>
      <c r="D108" s="129"/>
      <c r="E108" s="3589"/>
      <c r="F108" s="3557"/>
      <c r="G108" s="1826" t="s">
        <v>1434</v>
      </c>
      <c r="H108" s="2552">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6" t="s">
        <v>1432</v>
      </c>
      <c r="H109" s="2595" t="str">
        <f>IF(E109="——","——",H101-H105-H106)</f>
        <v>——</v>
      </c>
      <c r="I109" s="129"/>
    </row>
    <row r="110" spans="1:35" ht="18.75" customHeight="1">
      <c r="A110" s="129"/>
      <c r="B110" s="129"/>
      <c r="C110" s="129"/>
      <c r="D110" s="129"/>
      <c r="E110" s="3589"/>
      <c r="F110" s="3557"/>
      <c r="G110" s="1826" t="s">
        <v>1434</v>
      </c>
      <c r="H110" s="2552"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6" t="s">
        <v>1432</v>
      </c>
      <c r="H111" s="2592" t="str">
        <f>IF(E111="——","——",N59)</f>
        <v>——</v>
      </c>
      <c r="I111" s="129"/>
    </row>
    <row r="112" spans="1:35" ht="18.75" customHeight="1" thickBot="1">
      <c r="A112" s="129"/>
      <c r="B112" s="129"/>
      <c r="C112" s="129"/>
      <c r="D112" s="129"/>
      <c r="E112" s="3591"/>
      <c r="F112" s="3592"/>
      <c r="G112" s="1829" t="s">
        <v>1434</v>
      </c>
      <c r="H112" s="2596" t="str">
        <f>IF(E111="——","——",N61)</f>
        <v>——</v>
      </c>
      <c r="I112" s="129"/>
    </row>
    <row r="113" spans="1:27" ht="18.75" customHeight="1">
      <c r="A113" s="129"/>
      <c r="B113" s="129"/>
      <c r="C113" s="129"/>
      <c r="D113" s="129"/>
      <c r="E113" s="3599" t="s">
        <v>1440</v>
      </c>
      <c r="F113" s="3599"/>
      <c r="G113" s="3599"/>
      <c r="H113" s="3599"/>
      <c r="I113" s="129"/>
    </row>
    <row r="114" spans="1:27" ht="3.75" customHeight="1">
      <c r="A114" s="1746"/>
      <c r="B114" s="1746"/>
      <c r="C114" s="1746"/>
      <c r="D114" s="1746"/>
      <c r="E114" s="1808"/>
      <c r="F114" s="1808"/>
      <c r="G114" s="1808"/>
      <c r="H114" s="1808"/>
      <c r="I114" s="1746"/>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8" t="s">
        <v>1449</v>
      </c>
      <c r="E117" s="2328" t="s">
        <v>1450</v>
      </c>
      <c r="F117" s="2328" t="s">
        <v>1449</v>
      </c>
      <c r="G117" s="2328" t="s">
        <v>1451</v>
      </c>
      <c r="H117" s="2328" t="s">
        <v>1449</v>
      </c>
      <c r="I117" s="2328" t="s">
        <v>1451</v>
      </c>
    </row>
    <row r="118" spans="1:27" ht="24.75" customHeight="1">
      <c r="A118" s="2597" t="str">
        <f>项目基本情况!S2</f>
        <v>北京市房地产</v>
      </c>
      <c r="B118" s="2328">
        <f>M18</f>
        <v>375.87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4" t="s">
        <v>1452</v>
      </c>
      <c r="B119" s="3564"/>
      <c r="C119" s="3564"/>
      <c r="D119" s="3570" t="e">
        <f ca="1">NUMBERSTRING(INT(D118*10000),2)&amp;"元整"</f>
        <v>#REF!</v>
      </c>
      <c r="E119" s="3571"/>
      <c r="F119" s="3570" t="e">
        <f ca="1">NUMBERSTRING(INT(F118*10000),2)&amp;"元整"</f>
        <v>#REF!</v>
      </c>
      <c r="G119" s="3571"/>
      <c r="H119" s="3570" t="e">
        <f ca="1">NUMBERSTRING(INT(H118*10000),2)&amp;"元整"</f>
        <v>#REF!</v>
      </c>
      <c r="I119" s="3571"/>
    </row>
    <row r="120" spans="1:27" ht="18.75" customHeight="1">
      <c r="A120" s="3565" t="str">
        <f>IF(项目基本情况!B9="房地产市场价值","",MID(E103,3,LEN(E103)-2))</f>
        <v/>
      </c>
      <c r="B120" s="3566"/>
      <c r="C120" s="3567"/>
      <c r="D120" s="3565">
        <f>H103</f>
        <v>0</v>
      </c>
      <c r="E120" s="3566"/>
      <c r="F120" s="3566"/>
      <c r="G120" s="3566"/>
      <c r="H120" s="3566"/>
      <c r="I120" s="356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
      </c>
      <c r="B122" s="3576"/>
      <c r="C122" s="3576"/>
      <c r="D122" s="3565" t="e">
        <f ca="1">H107</f>
        <v>#REF!</v>
      </c>
      <c r="E122" s="3566"/>
      <c r="F122" s="3566"/>
      <c r="G122" s="3566"/>
      <c r="H122" s="3566"/>
      <c r="I122" s="3567"/>
      <c r="AA122" s="725"/>
    </row>
    <row r="123" spans="1:27" ht="18.75" customHeight="1">
      <c r="A123" s="3564" t="s">
        <v>1452</v>
      </c>
      <c r="B123" s="3564"/>
      <c r="C123" s="3564"/>
      <c r="D123" s="3570" t="e">
        <f ca="1">NUMBERSTRING(INT(D122*10000),2)&amp;"元整"</f>
        <v>#REF!</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7</v>
      </c>
    </row>
    <row r="2" spans="1:9" s="200" customFormat="1" ht="18" customHeight="1">
      <c r="A2" s="201" t="s">
        <v>1462</v>
      </c>
      <c r="B2" s="202">
        <f ca="1">IF(D2="——",C52,C52-E2)</f>
        <v>222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5906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6</v>
      </c>
      <c r="D9" s="845">
        <f ca="1">IF(B1="",'数据-汇总表'!E5,IF(INDIRECT("'数据-取费表'!c"&amp;$G$1)="住宅",INDIRECT("'数据-取费表'!k"&amp;$G$1),0))</f>
        <v>375.87</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v>
      </c>
      <c r="D19" s="849">
        <f ca="1">D9+D10</f>
        <v>375.87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188</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19</v>
      </c>
      <c r="D36" s="220"/>
      <c r="E36" s="220"/>
      <c r="F36" s="259">
        <f>'数据-取费表'!B34</f>
        <v>0.1</v>
      </c>
      <c r="G36" s="260" t="s">
        <v>1530</v>
      </c>
    </row>
    <row r="37" spans="1:7" s="258" customFormat="1" ht="13.5" customHeight="1">
      <c r="A37" s="780" t="s">
        <v>353</v>
      </c>
      <c r="B37" s="215" t="s">
        <v>1531</v>
      </c>
      <c r="C37" s="249">
        <f ca="1">ROUND(E37*D37*F34/10000,0)</f>
        <v>8</v>
      </c>
      <c r="D37" s="217">
        <f ca="1">D19</f>
        <v>375.87</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35</v>
      </c>
      <c r="D45" s="235">
        <f ca="1">C47</f>
        <v>3.0000000000000001E-3</v>
      </c>
      <c r="E45" s="236" t="s">
        <v>1539</v>
      </c>
      <c r="F45" s="246">
        <f ca="1">F27</f>
        <v>0.15</v>
      </c>
      <c r="G45" s="247" t="s">
        <v>1548</v>
      </c>
    </row>
    <row r="46" spans="1:7" s="214" customFormat="1" ht="13.5" customHeight="1">
      <c r="A46" s="780" t="s">
        <v>346</v>
      </c>
      <c r="B46" s="248" t="s">
        <v>1549</v>
      </c>
      <c r="C46" s="249">
        <f ca="1">ROUND((C33+C39)*F27,0)</f>
        <v>35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301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211</v>
      </c>
      <c r="D51" s="232"/>
      <c r="E51" s="232"/>
      <c r="F51" s="264"/>
      <c r="G51" s="234" t="s">
        <v>1560</v>
      </c>
    </row>
    <row r="52" spans="1:7" s="208" customFormat="1" ht="16.8" thickBot="1">
      <c r="A52" s="265" t="s">
        <v>1561</v>
      </c>
      <c r="B52" s="266"/>
      <c r="C52" s="267">
        <f ca="1">C31+C51</f>
        <v>222</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北京市房地产市场价值预评估</v>
      </c>
      <c r="C37" s="3460"/>
      <c r="D37" s="3460"/>
      <c r="E37" s="3460"/>
      <c r="F37" s="3460"/>
      <c r="G37" s="3460"/>
      <c r="H37" s="3460"/>
      <c r="I37" s="346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70" zoomScaleNormal="60" zoomScaleSheetLayoutView="70" workbookViewId="0">
      <selection activeCell="I28" sqref="I2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3394</v>
      </c>
      <c r="E1" s="3423" t="s">
        <v>3499</v>
      </c>
      <c r="F1" s="1878" t="s">
        <v>3500</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4108.1088</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109296</v>
      </c>
      <c r="C3" s="354" t="s">
        <v>1665</v>
      </c>
      <c r="D3" s="353">
        <f>IF(D1="",'数据-汇总表'!E3,SUMIF('数据-汇总表'!$C19:$C33,D1,'数据-汇总表'!$E19:$E33))</f>
        <v>375.87</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4.4">
      <c r="A4" s="355" t="s">
        <v>1666</v>
      </c>
      <c r="B4" s="356"/>
      <c r="C4" s="3665" t="s">
        <v>1667</v>
      </c>
      <c r="D4" s="3666"/>
      <c r="E4" s="3667" t="s">
        <v>1668</v>
      </c>
      <c r="F4" s="3668"/>
      <c r="G4" s="3665" t="s">
        <v>1669</v>
      </c>
      <c r="H4" s="3666"/>
      <c r="I4" s="3665" t="s">
        <v>1670</v>
      </c>
      <c r="J4" s="3666"/>
      <c r="K4" s="1888" t="s">
        <v>1671</v>
      </c>
      <c r="L4" s="2712"/>
      <c r="M4" s="2713"/>
      <c r="N4" s="2713"/>
      <c r="O4" s="2713"/>
      <c r="P4" s="3669" t="s">
        <v>1672</v>
      </c>
      <c r="Q4" s="3670"/>
      <c r="R4" s="3651" t="s">
        <v>1668</v>
      </c>
      <c r="S4" s="3652"/>
      <c r="T4" s="3651" t="s">
        <v>1669</v>
      </c>
      <c r="U4" s="3652"/>
      <c r="V4" s="3677" t="s">
        <v>1670</v>
      </c>
      <c r="W4" s="3677"/>
      <c r="X4" s="1354"/>
      <c r="Y4" s="3651" t="s">
        <v>1672</v>
      </c>
      <c r="Z4" s="3652"/>
      <c r="AA4" s="3646" t="s">
        <v>1668</v>
      </c>
      <c r="AB4" s="3646" t="s">
        <v>1669</v>
      </c>
      <c r="AC4" s="3646" t="s">
        <v>1670</v>
      </c>
    </row>
    <row r="5" spans="1:29">
      <c r="A5" s="358"/>
      <c r="B5" s="359"/>
      <c r="C5" s="3657" t="s">
        <v>1673</v>
      </c>
      <c r="D5" s="3658"/>
      <c r="E5" s="3655" t="s">
        <v>3477</v>
      </c>
      <c r="F5" s="3656"/>
      <c r="G5" s="3657" t="str">
        <f>E5</f>
        <v>梵悦万国府</v>
      </c>
      <c r="H5" s="3658"/>
      <c r="I5" s="3661" t="s">
        <v>3518</v>
      </c>
      <c r="J5" s="3658"/>
      <c r="K5" s="1889"/>
      <c r="L5" s="2712"/>
      <c r="M5" s="2713"/>
      <c r="N5" s="2713"/>
      <c r="O5" s="2713"/>
      <c r="P5" s="3671"/>
      <c r="Q5" s="3672"/>
      <c r="R5" s="3653"/>
      <c r="S5" s="3654"/>
      <c r="T5" s="3653"/>
      <c r="U5" s="3654"/>
      <c r="V5" s="3677"/>
      <c r="W5" s="3677"/>
      <c r="X5" s="1354"/>
      <c r="Y5" s="3653"/>
      <c r="Z5" s="3654"/>
      <c r="AA5" s="3647"/>
      <c r="AB5" s="3647"/>
      <c r="AC5" s="3647"/>
    </row>
    <row r="6" spans="1:29" ht="15" thickBot="1">
      <c r="A6" s="360"/>
      <c r="B6" s="361"/>
      <c r="C6" s="3659">
        <v>3110</v>
      </c>
      <c r="D6" s="3660"/>
      <c r="E6" s="3662" t="s">
        <v>1677</v>
      </c>
      <c r="F6" s="3663"/>
      <c r="G6" s="3659" t="s">
        <v>1677</v>
      </c>
      <c r="H6" s="3660"/>
      <c r="I6" s="3659" t="s">
        <v>1677</v>
      </c>
      <c r="J6" s="3660"/>
      <c r="K6" s="1889" t="s">
        <v>1678</v>
      </c>
      <c r="L6" s="2712"/>
      <c r="M6" s="2713"/>
      <c r="N6" s="2713"/>
      <c r="O6" s="2713"/>
      <c r="P6" s="3673"/>
      <c r="Q6" s="3674"/>
      <c r="R6" s="3653"/>
      <c r="S6" s="3654"/>
      <c r="T6" s="3675"/>
      <c r="U6" s="3676"/>
      <c r="V6" s="3677"/>
      <c r="W6" s="3677"/>
      <c r="X6" s="1354"/>
      <c r="Y6" s="3675"/>
      <c r="Z6" s="3676"/>
      <c r="AA6" s="3648"/>
      <c r="AB6" s="3648"/>
      <c r="AC6" s="3648"/>
    </row>
    <row r="7" spans="1:29" s="108" customFormat="1" ht="15" thickBot="1">
      <c r="A7" s="362" t="s">
        <v>1679</v>
      </c>
      <c r="B7" s="363"/>
      <c r="C7" s="364">
        <f>'数据-取费表'!B2</f>
        <v>45538</v>
      </c>
      <c r="D7" s="365">
        <v>100</v>
      </c>
      <c r="E7" s="366">
        <v>45069</v>
      </c>
      <c r="F7" s="367">
        <f>SUMIF(58:58,YEAR(E7)&amp;"-"&amp;MONTH(E7),59:59)</f>
        <v>101.00000000000001</v>
      </c>
      <c r="G7" s="366">
        <v>45045</v>
      </c>
      <c r="H7" s="365">
        <f>SUMIF(58:58,YEAR(G7)&amp;"-"&amp;MONTH(G7),59:59)</f>
        <v>101.00000000000001</v>
      </c>
      <c r="I7" s="366">
        <v>45436</v>
      </c>
      <c r="J7" s="365">
        <f>SUMIF(58:58,YEAR(I7)&amp;"-"&amp;MONTH(I7),59:59)</f>
        <v>100.2</v>
      </c>
      <c r="K7" s="1890"/>
      <c r="L7" s="2714"/>
      <c r="M7" s="2715"/>
      <c r="N7" s="2715"/>
      <c r="O7" s="2715"/>
      <c r="P7" s="3649" t="s">
        <v>1680</v>
      </c>
      <c r="Q7" s="3678"/>
      <c r="R7" s="701" t="s">
        <v>20</v>
      </c>
      <c r="S7" s="702">
        <f t="shared" ref="S7:S15" si="0">F7</f>
        <v>101.00000000000001</v>
      </c>
      <c r="T7" s="701" t="s">
        <v>20</v>
      </c>
      <c r="U7" s="702">
        <f t="shared" ref="U7:U15" si="1">H7</f>
        <v>101.00000000000001</v>
      </c>
      <c r="V7" s="701" t="s">
        <v>20</v>
      </c>
      <c r="W7" s="702">
        <f t="shared" ref="W7:W15" si="2">J7</f>
        <v>100.2</v>
      </c>
      <c r="X7" s="703"/>
      <c r="Y7" s="3649" t="s">
        <v>1680</v>
      </c>
      <c r="Z7" s="3650"/>
      <c r="AA7" s="704">
        <f>D7/F7</f>
        <v>0.99009900990098998</v>
      </c>
      <c r="AB7" s="704">
        <f>D7/H7</f>
        <v>0.99009900990098998</v>
      </c>
      <c r="AC7" s="704">
        <f>D7/J7</f>
        <v>0.99800399201596801</v>
      </c>
    </row>
    <row r="8" spans="1:29" s="108" customFormat="1" ht="15" thickBot="1">
      <c r="A8" s="362" t="s">
        <v>1681</v>
      </c>
      <c r="B8" s="363"/>
      <c r="C8" s="368" t="s">
        <v>3478</v>
      </c>
      <c r="D8" s="365">
        <v>100</v>
      </c>
      <c r="E8" s="1891" t="s">
        <v>3478</v>
      </c>
      <c r="F8" s="367">
        <f>SUMIF(61:61,E8,62:62)-SUMIF(61:61,C8,62:62)+100</f>
        <v>100</v>
      </c>
      <c r="G8" s="368" t="s">
        <v>3478</v>
      </c>
      <c r="H8" s="365">
        <f>SUMIF(61:61,G8,62:62)-SUMIF(61:61,C8,62:62)+100</f>
        <v>100</v>
      </c>
      <c r="I8" s="1891" t="s">
        <v>3478</v>
      </c>
      <c r="J8" s="365">
        <f>SUMIF(61:61,I8,62:62)-SUMIF(61:61,C8,62:62)+100</f>
        <v>100</v>
      </c>
      <c r="K8" s="1890"/>
      <c r="L8" s="2714"/>
      <c r="M8" s="2715"/>
      <c r="N8" s="2715"/>
      <c r="O8" s="2715"/>
      <c r="P8" s="3649" t="s">
        <v>1683</v>
      </c>
      <c r="Q8" s="3650"/>
      <c r="R8" s="701" t="s">
        <v>20</v>
      </c>
      <c r="S8" s="702">
        <f t="shared" si="0"/>
        <v>100</v>
      </c>
      <c r="T8" s="701" t="s">
        <v>20</v>
      </c>
      <c r="U8" s="702">
        <f t="shared" si="1"/>
        <v>100</v>
      </c>
      <c r="V8" s="701" t="s">
        <v>20</v>
      </c>
      <c r="W8" s="702">
        <f t="shared" si="2"/>
        <v>100</v>
      </c>
      <c r="X8" s="703"/>
      <c r="Y8" s="3649" t="s">
        <v>1683</v>
      </c>
      <c r="Z8" s="3650"/>
      <c r="AA8" s="704">
        <f t="shared" ref="AA8:AA19" si="3">D8/F8</f>
        <v>1</v>
      </c>
      <c r="AB8" s="704">
        <f t="shared" ref="AB8:AB19" si="4">D8/H8</f>
        <v>1</v>
      </c>
      <c r="AC8" s="704">
        <f t="shared" ref="AC8:AC19" si="5">D8/J8</f>
        <v>1</v>
      </c>
    </row>
    <row r="9" spans="1:29" s="108" customFormat="1" ht="14.4">
      <c r="A9" s="369" t="s">
        <v>1684</v>
      </c>
      <c r="B9" s="63" t="s">
        <v>1685</v>
      </c>
      <c r="C9" s="3448" t="s">
        <v>3479</v>
      </c>
      <c r="D9" s="126">
        <v>100</v>
      </c>
      <c r="E9" s="371" t="s">
        <v>3394</v>
      </c>
      <c r="F9" s="372">
        <f>SUMIF(63:63,E9,64:64)-SUMIF(63:63,C9,64:64)+100</f>
        <v>100</v>
      </c>
      <c r="G9" s="373" t="s">
        <v>3394</v>
      </c>
      <c r="H9" s="126">
        <f>SUMIF(63:63,G9,64:64)-SUMIF(63:63,C9,64:64)+100</f>
        <v>100</v>
      </c>
      <c r="I9" s="373" t="s">
        <v>3394</v>
      </c>
      <c r="J9" s="126">
        <f>SUMIF(63:63,I9,64:64)-SUMIF(63:63,C9,64:64)+100</f>
        <v>100</v>
      </c>
      <c r="K9" s="1890"/>
      <c r="L9" s="2714"/>
      <c r="M9" s="2715"/>
      <c r="N9" s="2715"/>
      <c r="O9" s="2715"/>
      <c r="P9" s="3664" t="s">
        <v>1686</v>
      </c>
      <c r="Q9" s="1342"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64"/>
      <c r="Q10" s="1342"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8"/>
      <c r="M11" s="2713"/>
      <c r="N11" s="2713"/>
      <c r="O11" s="2713"/>
      <c r="P11" s="3664"/>
      <c r="Q11" s="1342" t="str">
        <f t="shared" si="6"/>
        <v>容积率</v>
      </c>
      <c r="R11" s="701" t="s">
        <v>18</v>
      </c>
      <c r="S11" s="702">
        <f t="shared" si="0"/>
        <v>100</v>
      </c>
      <c r="T11" s="701" t="s">
        <v>18</v>
      </c>
      <c r="U11" s="702">
        <f t="shared" si="1"/>
        <v>100</v>
      </c>
      <c r="V11" s="701" t="s">
        <v>18</v>
      </c>
      <c r="W11" s="702">
        <f t="shared" si="2"/>
        <v>100</v>
      </c>
      <c r="X11" s="703"/>
      <c r="Y11" s="3619"/>
      <c r="Z11" s="52" t="str">
        <f t="shared" si="7"/>
        <v>容积率</v>
      </c>
      <c r="AA11" s="704">
        <f t="shared" si="3"/>
        <v>1</v>
      </c>
      <c r="AB11" s="704">
        <f t="shared" si="4"/>
        <v>1</v>
      </c>
      <c r="AC11" s="704">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64"/>
      <c r="Q12" s="1342">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64"/>
      <c r="Q13" s="1342">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64"/>
      <c r="Q14" s="1342">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110.4">
      <c r="A15" s="391" t="s">
        <v>1690</v>
      </c>
      <c r="B15" s="61" t="s">
        <v>1257</v>
      </c>
      <c r="C15" s="1895" t="str">
        <f>估价对象房地状况!C3</f>
        <v>估价对象周边有梵悦108、使馆壹号院、海晟名苑、万国城MOMA等住宅小区，综合评价居住社区成熟度较好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1" t="s">
        <v>1691</v>
      </c>
      <c r="Q15" s="1351" t="str">
        <f t="shared" si="6"/>
        <v>居住社区成熟度</v>
      </c>
      <c r="R15" s="705" t="s">
        <v>18</v>
      </c>
      <c r="S15" s="706">
        <f t="shared" si="0"/>
        <v>100</v>
      </c>
      <c r="T15" s="705" t="s">
        <v>18</v>
      </c>
      <c r="U15" s="706">
        <f t="shared" si="1"/>
        <v>100</v>
      </c>
      <c r="V15" s="705" t="s">
        <v>18</v>
      </c>
      <c r="W15" s="706">
        <f t="shared" si="2"/>
        <v>100</v>
      </c>
      <c r="X15" s="1354"/>
      <c r="Y15" s="368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692"/>
      <c r="Q16" s="1351"/>
      <c r="R16" s="705"/>
      <c r="S16" s="706"/>
      <c r="T16" s="705"/>
      <c r="U16" s="706"/>
      <c r="V16" s="705"/>
      <c r="W16" s="706"/>
      <c r="X16" s="1354"/>
      <c r="Y16" s="3685"/>
      <c r="Z16" s="1355"/>
      <c r="AA16" s="1352">
        <v>1</v>
      </c>
      <c r="AB16" s="1352">
        <v>1</v>
      </c>
      <c r="AC16" s="1352">
        <v>1</v>
      </c>
    </row>
    <row r="17" spans="1:29" ht="165.6">
      <c r="A17" s="379"/>
      <c r="B17" s="402" t="s">
        <v>1259</v>
      </c>
      <c r="C17" s="1899" t="str">
        <f>估价对象房地状况!C6</f>
        <v>估价对象周边有24路、117路、123路、132路、135路、413路、515路等多条公交线路，地铁2号线及13号线换乘站（东直门站），东直门长途汽车站等，综合评价交通便捷度较好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2"/>
      <c r="Q17" s="1351" t="str">
        <f>B17</f>
        <v>交通便捷度</v>
      </c>
      <c r="R17" s="705" t="s">
        <v>18</v>
      </c>
      <c r="S17" s="706">
        <f>F17</f>
        <v>100</v>
      </c>
      <c r="T17" s="705" t="s">
        <v>18</v>
      </c>
      <c r="U17" s="706">
        <f>H17</f>
        <v>100</v>
      </c>
      <c r="V17" s="705" t="s">
        <v>18</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692"/>
      <c r="Q18" s="1351"/>
      <c r="R18" s="705"/>
      <c r="S18" s="706"/>
      <c r="T18" s="705"/>
      <c r="U18" s="706"/>
      <c r="V18" s="705"/>
      <c r="W18" s="706"/>
      <c r="X18" s="1354"/>
      <c r="Y18" s="3685"/>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2"/>
      <c r="Q19" s="1351" t="str">
        <f>B19</f>
        <v>公共配套设施</v>
      </c>
      <c r="R19" s="705" t="s">
        <v>18</v>
      </c>
      <c r="S19" s="706">
        <f>F19</f>
        <v>100</v>
      </c>
      <c r="T19" s="705" t="s">
        <v>18</v>
      </c>
      <c r="U19" s="706">
        <f>H19</f>
        <v>100</v>
      </c>
      <c r="V19" s="705" t="s">
        <v>18</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692"/>
      <c r="Q20" s="1351"/>
      <c r="R20" s="705"/>
      <c r="S20" s="706"/>
      <c r="T20" s="705"/>
      <c r="U20" s="706"/>
      <c r="V20" s="705"/>
      <c r="W20" s="706"/>
      <c r="X20" s="1354"/>
      <c r="Y20" s="3685"/>
      <c r="Z20" s="1355"/>
      <c r="AA20" s="1352">
        <v>1</v>
      </c>
      <c r="AB20" s="1352">
        <v>1</v>
      </c>
      <c r="AC20" s="1352">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2"/>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9"/>
      <c r="M22" s="2713"/>
      <c r="N22" s="2713"/>
      <c r="O22" s="2713"/>
      <c r="P22" s="3692"/>
      <c r="Q22" s="1351"/>
      <c r="R22" s="705"/>
      <c r="S22" s="706"/>
      <c r="T22" s="705"/>
      <c r="U22" s="706"/>
      <c r="V22" s="705"/>
      <c r="W22" s="706"/>
      <c r="X22" s="1354"/>
      <c r="Y22" s="3685"/>
      <c r="Z22" s="1355"/>
      <c r="AA22" s="1352">
        <v>1</v>
      </c>
      <c r="AB22" s="1352">
        <v>1</v>
      </c>
      <c r="AC22" s="1352">
        <v>1</v>
      </c>
    </row>
    <row r="23" spans="1:29" ht="96.6">
      <c r="A23" s="379"/>
      <c r="B23" s="402" t="s">
        <v>1261</v>
      </c>
      <c r="C23" s="1899" t="str">
        <f>估价对象房地状况!C9</f>
        <v>区域自然环境：亮马河、东城区亮马河公园；人文环境：工人体育场、东直门外清真寺；综合评价环境状况较好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2"/>
      <c r="Q23" s="1351" t="str">
        <f>B23</f>
        <v>自然及人文环境</v>
      </c>
      <c r="R23" s="705" t="s">
        <v>18</v>
      </c>
      <c r="S23" s="706">
        <f>F23</f>
        <v>100</v>
      </c>
      <c r="T23" s="705" t="s">
        <v>18</v>
      </c>
      <c r="U23" s="706">
        <f>H23</f>
        <v>100</v>
      </c>
      <c r="V23" s="705" t="s">
        <v>18</v>
      </c>
      <c r="W23" s="706">
        <f>J23</f>
        <v>100</v>
      </c>
      <c r="X23" s="1354"/>
      <c r="Y23" s="368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692"/>
      <c r="Q24" s="1351"/>
      <c r="R24" s="705"/>
      <c r="S24" s="706"/>
      <c r="T24" s="705"/>
      <c r="U24" s="706"/>
      <c r="V24" s="705"/>
      <c r="W24" s="706"/>
      <c r="X24" s="1354"/>
      <c r="Y24" s="368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9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9"/>
      <c r="B26" s="375" t="s">
        <v>1693</v>
      </c>
      <c r="C26" s="411" t="s">
        <v>3502</v>
      </c>
      <c r="D26" s="386">
        <v>100</v>
      </c>
      <c r="E26" s="1905" t="s">
        <v>3504</v>
      </c>
      <c r="F26" s="386">
        <f>SUMIF(88:88,E26,89:89)-SUMIF(88:88,C26,89:89)+100</f>
        <v>97</v>
      </c>
      <c r="G26" s="1906" t="s">
        <v>3504</v>
      </c>
      <c r="H26" s="386">
        <f>SUMIF(88:88,G26,89:89)-SUMIF(88:88,C26,89:89)+100</f>
        <v>97</v>
      </c>
      <c r="I26" s="1906" t="s">
        <v>3519</v>
      </c>
      <c r="J26" s="386">
        <f>SUMIF(88:88,I26,89:89)-SUMIF(88:88,C26,89:89)+100</f>
        <v>94</v>
      </c>
      <c r="K26" s="377">
        <v>3</v>
      </c>
      <c r="L26" s="2719"/>
      <c r="M26" s="2713"/>
      <c r="N26" s="2713"/>
      <c r="O26" s="2713"/>
      <c r="P26" s="3692"/>
      <c r="Q26" s="1351" t="str">
        <f t="shared" si="11"/>
        <v>朝向</v>
      </c>
      <c r="R26" s="705" t="s">
        <v>18</v>
      </c>
      <c r="S26" s="706">
        <f t="shared" si="12"/>
        <v>97</v>
      </c>
      <c r="T26" s="705" t="s">
        <v>18</v>
      </c>
      <c r="U26" s="706">
        <f t="shared" si="13"/>
        <v>97</v>
      </c>
      <c r="V26" s="705" t="s">
        <v>18</v>
      </c>
      <c r="W26" s="706">
        <f t="shared" si="14"/>
        <v>94</v>
      </c>
      <c r="X26" s="1354"/>
      <c r="Y26" s="3685"/>
      <c r="Z26" s="1355" t="str">
        <f>Q26</f>
        <v>朝向</v>
      </c>
      <c r="AA26" s="1352">
        <f t="shared" si="15"/>
        <v>1.0309278350515463</v>
      </c>
      <c r="AB26" s="1352">
        <f t="shared" si="16"/>
        <v>1.0309278350515463</v>
      </c>
      <c r="AC26" s="1352">
        <f t="shared" si="17"/>
        <v>1.0638297872340425</v>
      </c>
    </row>
    <row r="27" spans="1:29" s="108" customFormat="1" ht="15">
      <c r="A27" s="382"/>
      <c r="B27" s="3456" t="s">
        <v>3525</v>
      </c>
      <c r="C27" s="383" t="s">
        <v>3526</v>
      </c>
      <c r="D27" s="413">
        <v>100</v>
      </c>
      <c r="E27" s="416" t="s">
        <v>3527</v>
      </c>
      <c r="F27" s="413">
        <f>SUMIF(90:90,E27,91:91)-SUMIF(90:90,C27,91:91)+100</f>
        <v>100</v>
      </c>
      <c r="G27" s="414" t="s">
        <v>3528</v>
      </c>
      <c r="H27" s="413">
        <f>SUMIF(90:90,G27,91:91)-SUMIF(90:90,C27,91:91)+100</f>
        <v>100</v>
      </c>
      <c r="I27" s="414" t="s">
        <v>3529</v>
      </c>
      <c r="J27" s="413">
        <f>SUMIF(90:90,I27,91:91)-SUMIF(90:90,C27,91:91)+100</f>
        <v>100</v>
      </c>
      <c r="K27" s="1893"/>
      <c r="L27" s="2714"/>
      <c r="M27" s="2715"/>
      <c r="N27" s="2715"/>
      <c r="O27" s="2715"/>
      <c r="P27" s="3692"/>
      <c r="Q27" s="1342" t="str">
        <f t="shared" si="11"/>
        <v>楼层</v>
      </c>
      <c r="R27" s="701" t="s">
        <v>18</v>
      </c>
      <c r="S27" s="702">
        <f t="shared" si="12"/>
        <v>100</v>
      </c>
      <c r="T27" s="701" t="s">
        <v>18</v>
      </c>
      <c r="U27" s="702">
        <f t="shared" si="13"/>
        <v>100</v>
      </c>
      <c r="V27" s="701" t="s">
        <v>18</v>
      </c>
      <c r="W27" s="702">
        <f t="shared" si="14"/>
        <v>100</v>
      </c>
      <c r="X27" s="703"/>
      <c r="Y27" s="3685"/>
      <c r="Z27" s="52" t="str">
        <f>Q27</f>
        <v>楼层</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692"/>
      <c r="Q28" s="1351">
        <f t="shared" si="11"/>
        <v>111</v>
      </c>
      <c r="R28" s="705" t="s">
        <v>18</v>
      </c>
      <c r="S28" s="706">
        <f t="shared" si="12"/>
        <v>100</v>
      </c>
      <c r="T28" s="705" t="s">
        <v>18</v>
      </c>
      <c r="U28" s="706">
        <f t="shared" si="13"/>
        <v>100</v>
      </c>
      <c r="V28" s="705" t="s">
        <v>18</v>
      </c>
      <c r="W28" s="706">
        <f t="shared" si="14"/>
        <v>100</v>
      </c>
      <c r="X28" s="1354"/>
      <c r="Y28" s="368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92"/>
      <c r="Q29" s="1351">
        <f t="shared" si="11"/>
        <v>111</v>
      </c>
      <c r="R29" s="705" t="s">
        <v>18</v>
      </c>
      <c r="S29" s="706">
        <f t="shared" si="12"/>
        <v>100</v>
      </c>
      <c r="T29" s="705" t="s">
        <v>18</v>
      </c>
      <c r="U29" s="706">
        <f t="shared" si="13"/>
        <v>100</v>
      </c>
      <c r="V29" s="705" t="s">
        <v>18</v>
      </c>
      <c r="W29" s="706">
        <f t="shared" si="14"/>
        <v>100</v>
      </c>
      <c r="X29" s="1354"/>
      <c r="Y29" s="368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92"/>
      <c r="Q30" s="1351">
        <f t="shared" si="11"/>
        <v>111</v>
      </c>
      <c r="R30" s="705" t="s">
        <v>18</v>
      </c>
      <c r="S30" s="706">
        <f t="shared" si="12"/>
        <v>100</v>
      </c>
      <c r="T30" s="705" t="s">
        <v>18</v>
      </c>
      <c r="U30" s="706">
        <f t="shared" si="13"/>
        <v>100</v>
      </c>
      <c r="V30" s="705" t="s">
        <v>18</v>
      </c>
      <c r="W30" s="706">
        <f t="shared" si="14"/>
        <v>100</v>
      </c>
      <c r="X30" s="1354"/>
      <c r="Y30" s="3685"/>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92"/>
      <c r="Q31" s="1351">
        <f t="shared" si="11"/>
        <v>111</v>
      </c>
      <c r="R31" s="705" t="s">
        <v>18</v>
      </c>
      <c r="S31" s="706">
        <f t="shared" si="12"/>
        <v>100</v>
      </c>
      <c r="T31" s="705" t="s">
        <v>18</v>
      </c>
      <c r="U31" s="706">
        <f t="shared" si="13"/>
        <v>100</v>
      </c>
      <c r="V31" s="705" t="s">
        <v>18</v>
      </c>
      <c r="W31" s="706">
        <f t="shared" si="14"/>
        <v>100</v>
      </c>
      <c r="X31" s="1354"/>
      <c r="Y31" s="3685"/>
      <c r="Z31" s="1355">
        <f t="shared" si="18"/>
        <v>111</v>
      </c>
      <c r="AA31" s="1352">
        <f t="shared" si="15"/>
        <v>1</v>
      </c>
      <c r="AB31" s="1352">
        <f t="shared" si="16"/>
        <v>1</v>
      </c>
      <c r="AC31" s="1352">
        <f t="shared" si="17"/>
        <v>1</v>
      </c>
    </row>
    <row r="32" spans="1:29" ht="15">
      <c r="A32" s="391" t="s">
        <v>1694</v>
      </c>
      <c r="B32" s="63" t="s">
        <v>1695</v>
      </c>
      <c r="C32" s="1909" t="s">
        <v>3506</v>
      </c>
      <c r="D32" s="418">
        <v>100</v>
      </c>
      <c r="E32" s="1910" t="s">
        <v>3506</v>
      </c>
      <c r="F32" s="412">
        <f>SUMIF(100:100,E32,101:101)-SUMIF(100:100,C32,101:101)+100</f>
        <v>100</v>
      </c>
      <c r="G32" s="1909" t="s">
        <v>3506</v>
      </c>
      <c r="H32" s="418">
        <f>SUMIF(100:100,G32,101:101)-SUMIF(100:100,C32,101:101)+100</f>
        <v>100</v>
      </c>
      <c r="I32" s="1910" t="s">
        <v>3506</v>
      </c>
      <c r="J32" s="386">
        <f>SUMIF(100:100,I32,101:101)-SUMIF(100:100,C32,101:101)+100</f>
        <v>100</v>
      </c>
      <c r="K32" s="377"/>
      <c r="L32" s="2719"/>
      <c r="M32" s="2713"/>
      <c r="N32" s="2713"/>
      <c r="O32" s="2713"/>
      <c r="P32" s="3686" t="s">
        <v>1696</v>
      </c>
      <c r="Q32" s="1351" t="str">
        <f t="shared" si="11"/>
        <v>建筑类型</v>
      </c>
      <c r="R32" s="705" t="s">
        <v>18</v>
      </c>
      <c r="S32" s="706">
        <f t="shared" si="12"/>
        <v>100</v>
      </c>
      <c r="T32" s="705" t="s">
        <v>18</v>
      </c>
      <c r="U32" s="706">
        <f t="shared" si="13"/>
        <v>100</v>
      </c>
      <c r="V32" s="705" t="s">
        <v>18</v>
      </c>
      <c r="W32" s="706">
        <f t="shared" si="14"/>
        <v>100</v>
      </c>
      <c r="X32" s="1354"/>
      <c r="Y32" s="3689" t="s">
        <v>1696</v>
      </c>
      <c r="Z32" s="1355" t="str">
        <f t="shared" si="18"/>
        <v>建筑类型</v>
      </c>
      <c r="AA32" s="1352">
        <f t="shared" si="15"/>
        <v>1</v>
      </c>
      <c r="AB32" s="1352">
        <f t="shared" si="16"/>
        <v>1</v>
      </c>
      <c r="AC32" s="1352">
        <f t="shared" si="17"/>
        <v>1</v>
      </c>
    </row>
    <row r="33" spans="1:29" s="422" customFormat="1" ht="15">
      <c r="A33" s="419"/>
      <c r="B33" s="375" t="s">
        <v>1697</v>
      </c>
      <c r="C33" s="420">
        <f>'数据-基础表'!I13</f>
        <v>375.87</v>
      </c>
      <c r="D33" s="127">
        <v>100</v>
      </c>
      <c r="E33" s="381">
        <v>343.56</v>
      </c>
      <c r="F33" s="376">
        <f>LOOKUP(E33,103:103,104:104)-LOOKUP(C33,103:103,104:104)+100</f>
        <v>100</v>
      </c>
      <c r="G33" s="380">
        <v>343.56</v>
      </c>
      <c r="H33" s="127">
        <f>LOOKUP(G33,103:103,104:104)-LOOKUP(C33,103:103,104:104)+100</f>
        <v>100</v>
      </c>
      <c r="I33" s="381">
        <v>123</v>
      </c>
      <c r="J33" s="127">
        <f>LOOKUP(I33,103:103,104:104)-LOOKUP(C33,103:103,104:104)+100</f>
        <v>106</v>
      </c>
      <c r="K33" s="1893"/>
      <c r="L33" s="2718"/>
      <c r="M33" s="2720"/>
      <c r="N33" s="2720"/>
      <c r="O33" s="2720"/>
      <c r="P33" s="3687"/>
      <c r="Q33" s="707" t="str">
        <f t="shared" si="11"/>
        <v>项目建筑规模</v>
      </c>
      <c r="R33" s="708" t="s">
        <v>18</v>
      </c>
      <c r="S33" s="709">
        <f t="shared" si="12"/>
        <v>100</v>
      </c>
      <c r="T33" s="708" t="s">
        <v>18</v>
      </c>
      <c r="U33" s="709">
        <f t="shared" si="13"/>
        <v>100</v>
      </c>
      <c r="V33" s="708" t="s">
        <v>18</v>
      </c>
      <c r="W33" s="709">
        <f t="shared" si="14"/>
        <v>106</v>
      </c>
      <c r="X33" s="710"/>
      <c r="Y33" s="3689"/>
      <c r="Z33" s="711" t="str">
        <f t="shared" si="18"/>
        <v>项目建筑规模</v>
      </c>
      <c r="AA33" s="1352">
        <f t="shared" si="15"/>
        <v>1</v>
      </c>
      <c r="AB33" s="1352">
        <f t="shared" si="16"/>
        <v>1</v>
      </c>
      <c r="AC33" s="1352">
        <f t="shared" si="17"/>
        <v>0.94339622641509435</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687"/>
      <c r="Q34" s="1351" t="str">
        <f t="shared" si="11"/>
        <v>建筑结构</v>
      </c>
      <c r="R34" s="705" t="s">
        <v>18</v>
      </c>
      <c r="S34" s="706">
        <f t="shared" si="12"/>
        <v>100</v>
      </c>
      <c r="T34" s="705" t="s">
        <v>18</v>
      </c>
      <c r="U34" s="706">
        <f t="shared" si="13"/>
        <v>100</v>
      </c>
      <c r="V34" s="705" t="s">
        <v>18</v>
      </c>
      <c r="W34" s="706">
        <f t="shared" si="14"/>
        <v>100</v>
      </c>
      <c r="X34" s="1354"/>
      <c r="Y34" s="368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87"/>
      <c r="Q35" s="1351" t="str">
        <f t="shared" si="11"/>
        <v>建筑品质</v>
      </c>
      <c r="R35" s="705" t="s">
        <v>18</v>
      </c>
      <c r="S35" s="706">
        <f t="shared" si="12"/>
        <v>100</v>
      </c>
      <c r="T35" s="705" t="s">
        <v>18</v>
      </c>
      <c r="U35" s="706">
        <f t="shared" si="13"/>
        <v>100</v>
      </c>
      <c r="V35" s="705" t="s">
        <v>18</v>
      </c>
      <c r="W35" s="706">
        <f t="shared" si="14"/>
        <v>100</v>
      </c>
      <c r="X35" s="1354"/>
      <c r="Y35" s="368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687"/>
      <c r="Q36" s="1351" t="str">
        <f t="shared" si="11"/>
        <v>公共部分装修</v>
      </c>
      <c r="R36" s="705" t="s">
        <v>18</v>
      </c>
      <c r="S36" s="706">
        <f t="shared" si="12"/>
        <v>100</v>
      </c>
      <c r="T36" s="705" t="s">
        <v>18</v>
      </c>
      <c r="U36" s="706">
        <f t="shared" si="13"/>
        <v>100</v>
      </c>
      <c r="V36" s="705" t="s">
        <v>18</v>
      </c>
      <c r="W36" s="706">
        <f t="shared" si="14"/>
        <v>100</v>
      </c>
      <c r="X36" s="1354"/>
      <c r="Y36" s="3689"/>
      <c r="Z36" s="1355" t="str">
        <f t="shared" si="18"/>
        <v>公共部分装修</v>
      </c>
      <c r="AA36" s="1352">
        <f t="shared" si="15"/>
        <v>1</v>
      </c>
      <c r="AB36" s="1352">
        <f t="shared" si="16"/>
        <v>1</v>
      </c>
      <c r="AC36" s="1352">
        <f t="shared" si="17"/>
        <v>1</v>
      </c>
    </row>
    <row r="37" spans="1:29" s="108" customFormat="1" ht="15">
      <c r="A37" s="424"/>
      <c r="B37" s="375" t="s">
        <v>1701</v>
      </c>
      <c r="C37" s="425">
        <v>0.65</v>
      </c>
      <c r="D37" s="127">
        <v>100</v>
      </c>
      <c r="E37" s="425">
        <f>C37</f>
        <v>0.65</v>
      </c>
      <c r="F37" s="376">
        <f>LOOKUP(E37,112:112,113:113)-LOOKUP(C37,112:112,113:113)+100</f>
        <v>100</v>
      </c>
      <c r="G37" s="427">
        <f>C37</f>
        <v>0.65</v>
      </c>
      <c r="H37" s="127">
        <f>LOOKUP(G37,112:112,113:113)-LOOKUP(C37,112:112,113:113)+100</f>
        <v>100</v>
      </c>
      <c r="I37" s="426">
        <v>0.75</v>
      </c>
      <c r="J37" s="127">
        <f>LOOKUP(I37,112:112,113:113)-LOOKUP(C37,112:112,113:113)+100</f>
        <v>103</v>
      </c>
      <c r="K37" s="377">
        <v>3</v>
      </c>
      <c r="L37" s="2714"/>
      <c r="M37" s="2715"/>
      <c r="N37" s="2715"/>
      <c r="O37" s="2715"/>
      <c r="P37" s="3687"/>
      <c r="Q37" s="1342" t="str">
        <f t="shared" si="11"/>
        <v>成新度</v>
      </c>
      <c r="R37" s="701" t="s">
        <v>18</v>
      </c>
      <c r="S37" s="702">
        <f t="shared" si="12"/>
        <v>100</v>
      </c>
      <c r="T37" s="701" t="s">
        <v>18</v>
      </c>
      <c r="U37" s="702">
        <f t="shared" si="13"/>
        <v>100</v>
      </c>
      <c r="V37" s="701" t="s">
        <v>18</v>
      </c>
      <c r="W37" s="702">
        <f t="shared" si="14"/>
        <v>103</v>
      </c>
      <c r="X37" s="703"/>
      <c r="Y37" s="3689"/>
      <c r="Z37" s="52" t="str">
        <f t="shared" si="18"/>
        <v>成新度</v>
      </c>
      <c r="AA37" s="704">
        <f t="shared" si="15"/>
        <v>1</v>
      </c>
      <c r="AB37" s="704">
        <f t="shared" si="16"/>
        <v>1</v>
      </c>
      <c r="AC37" s="704">
        <f t="shared" si="17"/>
        <v>0.970873786407767</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687" t="s">
        <v>1696</v>
      </c>
      <c r="Q38" s="1351" t="str">
        <f t="shared" si="11"/>
        <v>物业管理</v>
      </c>
      <c r="R38" s="705" t="s">
        <v>18</v>
      </c>
      <c r="S38" s="706">
        <f t="shared" si="12"/>
        <v>100</v>
      </c>
      <c r="T38" s="705" t="s">
        <v>18</v>
      </c>
      <c r="U38" s="706">
        <f t="shared" si="13"/>
        <v>100</v>
      </c>
      <c r="V38" s="705" t="s">
        <v>18</v>
      </c>
      <c r="W38" s="706">
        <f t="shared" si="14"/>
        <v>100</v>
      </c>
      <c r="X38" s="1354"/>
      <c r="Y38" s="368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687"/>
      <c r="Q39" s="1351" t="str">
        <f t="shared" si="11"/>
        <v>市政基础设施</v>
      </c>
      <c r="R39" s="705" t="s">
        <v>18</v>
      </c>
      <c r="S39" s="706">
        <f t="shared" si="12"/>
        <v>100</v>
      </c>
      <c r="T39" s="705" t="s">
        <v>18</v>
      </c>
      <c r="U39" s="706">
        <f t="shared" si="13"/>
        <v>100</v>
      </c>
      <c r="V39" s="705" t="s">
        <v>18</v>
      </c>
      <c r="W39" s="706">
        <f t="shared" si="14"/>
        <v>100</v>
      </c>
      <c r="X39" s="1354"/>
      <c r="Y39" s="368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687"/>
      <c r="Q40" s="1351" t="str">
        <f t="shared" si="11"/>
        <v>房型</v>
      </c>
      <c r="R40" s="705" t="s">
        <v>18</v>
      </c>
      <c r="S40" s="706">
        <f t="shared" si="12"/>
        <v>100</v>
      </c>
      <c r="T40" s="705" t="s">
        <v>18</v>
      </c>
      <c r="U40" s="706">
        <f t="shared" si="13"/>
        <v>100</v>
      </c>
      <c r="V40" s="705" t="s">
        <v>18</v>
      </c>
      <c r="W40" s="706">
        <f t="shared" si="14"/>
        <v>100</v>
      </c>
      <c r="X40" s="1354"/>
      <c r="Y40" s="3689"/>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2">
        <f t="shared" si="15"/>
        <v>1</v>
      </c>
      <c r="AB41" s="1352">
        <f t="shared" si="16"/>
        <v>1</v>
      </c>
      <c r="AC41" s="1352">
        <f t="shared" si="17"/>
        <v>1</v>
      </c>
    </row>
    <row r="42" spans="1:29" ht="15">
      <c r="A42" s="423"/>
      <c r="B42" s="375" t="s">
        <v>1706</v>
      </c>
      <c r="C42" s="1905" t="s">
        <v>3509</v>
      </c>
      <c r="D42" s="386">
        <v>100</v>
      </c>
      <c r="E42" s="1906" t="s">
        <v>3509</v>
      </c>
      <c r="F42" s="412">
        <f>SUMIF(122:122,E42,123:123)-SUMIF(122:122,C42,123:123)+100</f>
        <v>100</v>
      </c>
      <c r="G42" s="1905" t="s">
        <v>3509</v>
      </c>
      <c r="H42" s="386">
        <f>SUMIF(122:122,G42,123:123)-SUMIF(122:122,C42,123:123)+100</f>
        <v>100</v>
      </c>
      <c r="I42" s="1906" t="s">
        <v>3509</v>
      </c>
      <c r="J42" s="386">
        <f>SUMIF(122:122,I42,123:123)-SUMIF(122:122,C42,123:123)+100</f>
        <v>100</v>
      </c>
      <c r="K42" s="377"/>
      <c r="L42" s="2719"/>
      <c r="M42" s="2713"/>
      <c r="N42" s="2713"/>
      <c r="O42" s="2713"/>
      <c r="P42" s="3687"/>
      <c r="Q42" s="1351" t="str">
        <f t="shared" si="11"/>
        <v>内部装修</v>
      </c>
      <c r="R42" s="705" t="s">
        <v>18</v>
      </c>
      <c r="S42" s="706">
        <f t="shared" si="12"/>
        <v>100</v>
      </c>
      <c r="T42" s="705" t="s">
        <v>18</v>
      </c>
      <c r="U42" s="706">
        <f t="shared" si="13"/>
        <v>100</v>
      </c>
      <c r="V42" s="705" t="s">
        <v>18</v>
      </c>
      <c r="W42" s="706">
        <f t="shared" si="14"/>
        <v>100</v>
      </c>
      <c r="X42" s="1354"/>
      <c r="Y42" s="3689"/>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687"/>
      <c r="Q43" s="1351" t="str">
        <f t="shared" si="11"/>
        <v>内部装修维护情况</v>
      </c>
      <c r="R43" s="705" t="s">
        <v>18</v>
      </c>
      <c r="S43" s="706">
        <f t="shared" si="12"/>
        <v>100</v>
      </c>
      <c r="T43" s="705" t="s">
        <v>18</v>
      </c>
      <c r="U43" s="706">
        <f t="shared" si="13"/>
        <v>100</v>
      </c>
      <c r="V43" s="705" t="s">
        <v>18</v>
      </c>
      <c r="W43" s="706">
        <f t="shared" si="14"/>
        <v>100</v>
      </c>
      <c r="X43" s="1354"/>
      <c r="Y43" s="3689"/>
      <c r="Z43" s="1355" t="str">
        <f t="shared" si="18"/>
        <v>内部装修维护情况</v>
      </c>
      <c r="AA43" s="1352">
        <f t="shared" si="15"/>
        <v>1</v>
      </c>
      <c r="AB43" s="1352">
        <f t="shared" si="16"/>
        <v>1</v>
      </c>
      <c r="AC43" s="1352">
        <f t="shared" si="17"/>
        <v>1</v>
      </c>
    </row>
    <row r="44" spans="1:29" s="108" customFormat="1" ht="15">
      <c r="A44" s="424"/>
      <c r="B44" s="3456" t="s">
        <v>3515</v>
      </c>
      <c r="C44" s="3457" t="s">
        <v>3516</v>
      </c>
      <c r="D44" s="127">
        <v>100</v>
      </c>
      <c r="E44" s="3457" t="s">
        <v>3516</v>
      </c>
      <c r="F44" s="376">
        <f>SUMIF(126:126,E44,127:127)-SUMIF(126:126,C44,127:127)+100</f>
        <v>100</v>
      </c>
      <c r="G44" s="3457" t="s">
        <v>3521</v>
      </c>
      <c r="H44" s="127">
        <f>SUMIF(126:126,G44,127:127)-SUMIF(126:126,C44,127:127)+100</f>
        <v>100</v>
      </c>
      <c r="I44" s="3457" t="s">
        <v>3517</v>
      </c>
      <c r="J44" s="127">
        <f>SUMIF(126:126,I44,127:127)-SUMIF(126:126,C44,127:127)+100</f>
        <v>95</v>
      </c>
      <c r="K44" s="1893"/>
      <c r="L44" s="2714"/>
      <c r="M44" s="2715"/>
      <c r="N44" s="2715"/>
      <c r="O44" s="2715"/>
      <c r="P44" s="3687"/>
      <c r="Q44" s="1342" t="str">
        <f t="shared" si="11"/>
        <v>景观</v>
      </c>
      <c r="R44" s="701" t="s">
        <v>18</v>
      </c>
      <c r="S44" s="702">
        <f t="shared" si="12"/>
        <v>100</v>
      </c>
      <c r="T44" s="701" t="s">
        <v>18</v>
      </c>
      <c r="U44" s="702">
        <f t="shared" si="13"/>
        <v>100</v>
      </c>
      <c r="V44" s="701" t="s">
        <v>18</v>
      </c>
      <c r="W44" s="702">
        <f t="shared" si="14"/>
        <v>95</v>
      </c>
      <c r="X44" s="703"/>
      <c r="Y44" s="3689"/>
      <c r="Z44" s="52" t="str">
        <f t="shared" si="18"/>
        <v>景观</v>
      </c>
      <c r="AA44" s="704">
        <f t="shared" si="15"/>
        <v>1</v>
      </c>
      <c r="AB44" s="704">
        <f t="shared" si="16"/>
        <v>1</v>
      </c>
      <c r="AC44" s="704">
        <f t="shared" si="17"/>
        <v>1.0526315789473684</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87"/>
      <c r="Q45" s="1351">
        <f t="shared" si="11"/>
        <v>111</v>
      </c>
      <c r="R45" s="705" t="s">
        <v>18</v>
      </c>
      <c r="S45" s="706">
        <f t="shared" si="12"/>
        <v>100</v>
      </c>
      <c r="T45" s="705" t="s">
        <v>18</v>
      </c>
      <c r="U45" s="706">
        <f t="shared" si="13"/>
        <v>100</v>
      </c>
      <c r="V45" s="705" t="s">
        <v>18</v>
      </c>
      <c r="W45" s="706">
        <f t="shared" si="14"/>
        <v>100</v>
      </c>
      <c r="X45" s="1354"/>
      <c r="Y45" s="3689"/>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88"/>
      <c r="Q46" s="1351">
        <f t="shared" si="11"/>
        <v>111</v>
      </c>
      <c r="R46" s="705" t="s">
        <v>17</v>
      </c>
      <c r="S46" s="706">
        <f t="shared" si="12"/>
        <v>100</v>
      </c>
      <c r="T46" s="705" t="s">
        <v>17</v>
      </c>
      <c r="U46" s="706">
        <f t="shared" si="13"/>
        <v>100</v>
      </c>
      <c r="V46" s="705" t="s">
        <v>17</v>
      </c>
      <c r="W46" s="706">
        <f t="shared" si="14"/>
        <v>100</v>
      </c>
      <c r="X46" s="1354"/>
      <c r="Y46" s="3690"/>
      <c r="Z46" s="1355">
        <f t="shared" si="18"/>
        <v>111</v>
      </c>
      <c r="AA46" s="1352">
        <f t="shared" si="15"/>
        <v>1</v>
      </c>
      <c r="AB46" s="1352">
        <f t="shared" si="16"/>
        <v>1</v>
      </c>
      <c r="AC46" s="1352">
        <f t="shared" si="17"/>
        <v>1</v>
      </c>
    </row>
    <row r="47" spans="1:29" ht="14.4">
      <c r="A47" s="430" t="s">
        <v>1708</v>
      </c>
      <c r="B47" s="431"/>
      <c r="C47" s="1154" t="s">
        <v>16</v>
      </c>
      <c r="D47" s="1155"/>
      <c r="E47" s="1156">
        <v>100000</v>
      </c>
      <c r="F47" s="1157"/>
      <c r="G47" s="1158">
        <v>102000</v>
      </c>
      <c r="H47" s="1159"/>
      <c r="I47" s="1156">
        <v>118893</v>
      </c>
      <c r="J47" s="1159"/>
      <c r="K47" s="1913"/>
      <c r="L47" s="2721"/>
      <c r="M47" s="2722"/>
      <c r="N47" s="2713"/>
      <c r="O47" s="2722"/>
      <c r="P47" s="3682" t="str">
        <f>A47</f>
        <v>成交单价（元/平方米）</v>
      </c>
      <c r="Q47" s="3682"/>
      <c r="R47" s="3683">
        <f>E47</f>
        <v>100000</v>
      </c>
      <c r="S47" s="3683"/>
      <c r="T47" s="3683">
        <f>G47</f>
        <v>102000</v>
      </c>
      <c r="U47" s="3683"/>
      <c r="V47" s="3683">
        <f>I47</f>
        <v>118893</v>
      </c>
      <c r="W47" s="3683"/>
      <c r="X47" s="690"/>
      <c r="Y47" s="712"/>
      <c r="Z47" s="690"/>
      <c r="AA47" s="690"/>
      <c r="AB47" s="690"/>
      <c r="AC47" s="690"/>
    </row>
    <row r="48" spans="1:29" ht="15" thickBot="1">
      <c r="A48" s="437" t="s">
        <v>1709</v>
      </c>
      <c r="B48" s="438"/>
      <c r="C48" s="1160">
        <f>R49</f>
        <v>109296</v>
      </c>
      <c r="D48" s="2316" t="s">
        <v>2138</v>
      </c>
      <c r="E48" s="1161">
        <f>R48</f>
        <v>102072</v>
      </c>
      <c r="F48" s="2317"/>
      <c r="G48" s="1160">
        <f>T48</f>
        <v>104114</v>
      </c>
      <c r="H48" s="2317"/>
      <c r="I48" s="1161">
        <f>V48</f>
        <v>121701</v>
      </c>
      <c r="J48" s="2317"/>
      <c r="K48" s="2318">
        <f>F48+H48+J48</f>
        <v>0</v>
      </c>
      <c r="L48" s="2721"/>
      <c r="M48" s="2722"/>
      <c r="N48" s="2722"/>
      <c r="O48" s="2722"/>
      <c r="P48" s="3682" t="str">
        <f>A48</f>
        <v>比较价值（元/平方米）</v>
      </c>
      <c r="Q48" s="3682"/>
      <c r="R48" s="3683">
        <f>IF(F1="售价",ROUND(PRODUCT(R47,AA7:AA46),0),ROUND(PRODUCT(R47,AA7:AA46),1))</f>
        <v>102072</v>
      </c>
      <c r="S48" s="3683"/>
      <c r="T48" s="3683">
        <f>IF(F1="售价",ROUND(PRODUCT(T47,AB7:AB46),0),ROUND(PRODUCT(T47,AB7:AB46),1))</f>
        <v>104114</v>
      </c>
      <c r="U48" s="3683"/>
      <c r="V48" s="3683">
        <f>IF(F1="售价",ROUND(PRODUCT(V47,AC7:AC46),0),ROUND(PRODUCT(V47,AC7:AC46),1))</f>
        <v>121701</v>
      </c>
      <c r="W48" s="3683"/>
      <c r="X48" s="690"/>
      <c r="Y48" s="690"/>
      <c r="Z48" s="690"/>
      <c r="AA48" s="690"/>
      <c r="AB48" s="690"/>
      <c r="AC48" s="690"/>
    </row>
    <row r="49" spans="1:29" ht="15" thickBot="1">
      <c r="A49" s="441" t="s">
        <v>1710</v>
      </c>
      <c r="B49" s="442"/>
      <c r="C49" s="1162">
        <f>R49</f>
        <v>109296</v>
      </c>
      <c r="D49" s="1163"/>
      <c r="E49" s="1163"/>
      <c r="F49" s="1163"/>
      <c r="G49" s="1163"/>
      <c r="H49" s="1163"/>
      <c r="I49" s="1163"/>
      <c r="J49" s="1163"/>
      <c r="K49" s="1914"/>
      <c r="L49" s="2721"/>
      <c r="M49" s="2722"/>
      <c r="N49" s="2722"/>
      <c r="O49" s="2722"/>
      <c r="P49" s="3679" t="str">
        <f>A49</f>
        <v>估价对象XX用房的比较价值（楼面单价，元/平方米）</v>
      </c>
      <c r="Q49" s="3680"/>
      <c r="R49" s="3681">
        <f>IF(F1="售价",ROUND(IF(D48="简单平均",AVERAGE(R48:V48),R48*F48+T48*H48+V48*J48),0),ROUND(IF(D48="简单平均",AVERAGE(R48:V48),R48*F48+T48*H48+V48*J48),1))</f>
        <v>109296</v>
      </c>
      <c r="S49" s="3681"/>
      <c r="T49" s="3681"/>
      <c r="U49" s="3681"/>
      <c r="V49" s="3681"/>
      <c r="W49" s="368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2.0720000000000072E-2</v>
      </c>
      <c r="F52" s="449" t="str">
        <f>IF(OR(E52&gt;=0.3,E52&lt;=-0.3),"超过30%","")</f>
        <v/>
      </c>
      <c r="G52" s="448">
        <f>IF(G47&lt;G48,G48/G47-1,G47/G48-1)</f>
        <v>2.07254901960785E-2</v>
      </c>
      <c r="H52" s="449" t="str">
        <f>IF(OR(G52&gt;=0.3,G52&lt;=-0.3),"超过30%","")</f>
        <v/>
      </c>
      <c r="I52" s="448">
        <f>IF(I47&lt;I48,I48/I47-1,I47/I48-1)</f>
        <v>2.3617874895914825E-2</v>
      </c>
      <c r="J52" s="449" t="str">
        <f>IF(OR(I52&gt;=0.3,I52&lt;=-0.3),"超过30%","")</f>
        <v/>
      </c>
      <c r="K52" s="2727"/>
      <c r="L52" s="2723"/>
      <c r="M52" s="2722"/>
      <c r="N52" s="2722"/>
      <c r="O52" s="2722"/>
    </row>
    <row r="53" spans="1:29" ht="13.5" customHeight="1">
      <c r="A53" s="2722"/>
      <c r="B53" s="2722"/>
      <c r="C53" s="446" t="s">
        <v>1712</v>
      </c>
      <c r="D53" s="450"/>
      <c r="E53" s="448">
        <f>IF(E48&lt;G48,G48/E48-1,E48/G48-1)</f>
        <v>2.0005486323379618E-2</v>
      </c>
      <c r="F53" s="449" t="str">
        <f>IF(OR(E53&gt;=0.2,E53&lt;=-0.2),"超过20%","")</f>
        <v/>
      </c>
      <c r="G53" s="448">
        <f>IF(G48&lt;I48,I48/G48-1,G48/I48-1)</f>
        <v>0.16892060625852423</v>
      </c>
      <c r="H53" s="449" t="str">
        <f>IF(OR(G53&gt;=0.2,G53&lt;=-0.2),"超过20%","")</f>
        <v/>
      </c>
      <c r="I53" s="448">
        <f>IF(I48&lt;E48,E48/I48-1,I48/E48-1)</f>
        <v>0.19230543146014578</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2.0000000000000018E-2</v>
      </c>
      <c r="F54" s="449" t="str">
        <f>IF(OR(E54&gt;=0.3,E54&lt;=-0.3),"超过30%","")</f>
        <v/>
      </c>
      <c r="G54" s="448">
        <f>IF(G47&lt;I47,I47/G47-1,G47/I47-1)</f>
        <v>0.16561764705882354</v>
      </c>
      <c r="H54" s="449" t="str">
        <f>IF(OR(G54&gt;=0.3,G54&lt;=-0.3),"超过30%","")</f>
        <v/>
      </c>
      <c r="I54" s="448">
        <f>IF(I47&lt;E47,E47/I47-1,I47/E47-1)</f>
        <v>0.18893000000000004</v>
      </c>
      <c r="J54" s="449" t="str">
        <f>IF(OR(I54&gt;=0.3,I54&lt;=-0.3),"超过30%","")</f>
        <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5" t="str">
        <f>YEAR(C7)&amp;"-"&amp;MONTH(C7)</f>
        <v>2024-9</v>
      </c>
      <c r="D58" s="1184">
        <f>EDATE(C58,-1)</f>
        <v>45505</v>
      </c>
      <c r="E58" s="1184">
        <f>EDATE(D58,-1)</f>
        <v>45474</v>
      </c>
      <c r="F58" s="1184">
        <f t="shared" ref="F58:O58" si="19">EDATE(E58,-1)</f>
        <v>45444</v>
      </c>
      <c r="G58" s="1184">
        <f t="shared" si="19"/>
        <v>45413</v>
      </c>
      <c r="H58" s="1184">
        <f t="shared" si="19"/>
        <v>45383</v>
      </c>
      <c r="I58" s="1184">
        <f t="shared" si="19"/>
        <v>45352</v>
      </c>
      <c r="J58" s="1184">
        <f t="shared" si="19"/>
        <v>45323</v>
      </c>
      <c r="K58" s="1184">
        <f t="shared" si="19"/>
        <v>45292</v>
      </c>
      <c r="L58" s="1184">
        <f t="shared" si="19"/>
        <v>45261</v>
      </c>
      <c r="M58" s="1184">
        <f t="shared" si="19"/>
        <v>45231</v>
      </c>
      <c r="N58" s="1184">
        <f t="shared" si="19"/>
        <v>45200</v>
      </c>
      <c r="O58" s="1184">
        <f t="shared" si="19"/>
        <v>45170</v>
      </c>
      <c r="P58" s="3459">
        <f t="shared" ref="P58" si="20">EDATE(O58,-1)</f>
        <v>45139</v>
      </c>
      <c r="Q58" s="3459">
        <f t="shared" ref="Q58" si="21">EDATE(P58,-1)</f>
        <v>45108</v>
      </c>
      <c r="R58" s="3459">
        <f t="shared" ref="R58" si="22">EDATE(Q58,-1)</f>
        <v>45078</v>
      </c>
      <c r="S58" s="3459">
        <f t="shared" ref="S58" si="23">EDATE(R58,-1)</f>
        <v>45047</v>
      </c>
      <c r="T58" s="3459">
        <f t="shared" ref="T58" si="24">EDATE(S58,-1)</f>
        <v>45017</v>
      </c>
      <c r="U58" s="3459">
        <f t="shared" ref="U58" si="25">EDATE(T58,-1)</f>
        <v>44986</v>
      </c>
      <c r="V58" s="3459">
        <f t="shared" ref="V58" si="26">EDATE(U58,-1)</f>
        <v>44958</v>
      </c>
    </row>
    <row r="59" spans="1:29" s="108" customFormat="1">
      <c r="A59" s="458"/>
      <c r="B59" s="1918"/>
      <c r="C59" s="1182">
        <v>100</v>
      </c>
      <c r="D59" s="460">
        <f>C59</f>
        <v>100</v>
      </c>
      <c r="E59" s="461">
        <f>C59</f>
        <v>100</v>
      </c>
      <c r="F59" s="461">
        <f>C59+C60</f>
        <v>100.2</v>
      </c>
      <c r="G59" s="461">
        <f>F59</f>
        <v>100.2</v>
      </c>
      <c r="H59" s="461">
        <f>F59</f>
        <v>100.2</v>
      </c>
      <c r="I59" s="461">
        <f>F59+C60</f>
        <v>100.4</v>
      </c>
      <c r="J59" s="461">
        <f>I59</f>
        <v>100.4</v>
      </c>
      <c r="K59" s="461">
        <f>I59</f>
        <v>100.4</v>
      </c>
      <c r="L59" s="461">
        <f>I59+C60</f>
        <v>100.60000000000001</v>
      </c>
      <c r="M59" s="462">
        <f>L59</f>
        <v>100.60000000000001</v>
      </c>
      <c r="N59" s="461">
        <f>L59</f>
        <v>100.60000000000001</v>
      </c>
      <c r="O59" s="462">
        <f>L59+C60</f>
        <v>100.80000000000001</v>
      </c>
      <c r="P59" s="1919">
        <f>O59</f>
        <v>100.80000000000001</v>
      </c>
      <c r="Q59" s="108">
        <f>O59</f>
        <v>100.80000000000001</v>
      </c>
      <c r="R59" s="108">
        <f>O59+C60</f>
        <v>101.00000000000001</v>
      </c>
      <c r="S59" s="108">
        <f>R59</f>
        <v>101.00000000000001</v>
      </c>
      <c r="T59" s="108">
        <f>R59</f>
        <v>101.00000000000001</v>
      </c>
      <c r="U59" s="108">
        <f>R59+C60</f>
        <v>101.20000000000002</v>
      </c>
      <c r="V59" s="108">
        <f>U59</f>
        <v>101.20000000000002</v>
      </c>
    </row>
    <row r="60" spans="1:29" s="108" customFormat="1" ht="15" thickBot="1">
      <c r="A60" s="464" t="s">
        <v>1716</v>
      </c>
      <c r="B60" s="465"/>
      <c r="C60" s="466">
        <v>0.2</v>
      </c>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7">D68&amp;"（含）"&amp;"-"&amp;E68</f>
        <v>3（含）-</v>
      </c>
      <c r="E67" s="496" t="str">
        <f t="shared" si="27"/>
        <v>（含）-</v>
      </c>
      <c r="F67" s="496" t="str">
        <f t="shared" si="27"/>
        <v>（含）-</v>
      </c>
      <c r="G67" s="496" t="str">
        <f t="shared" si="27"/>
        <v>（含）-</v>
      </c>
      <c r="H67" s="496" t="str">
        <f t="shared" si="27"/>
        <v>（含）-</v>
      </c>
      <c r="I67" s="496" t="str">
        <f t="shared" si="27"/>
        <v>（含）-</v>
      </c>
      <c r="J67" s="496" t="str">
        <f t="shared" si="27"/>
        <v>（含）-</v>
      </c>
      <c r="K67" s="496" t="str">
        <f>K68&amp;"（含）"&amp;"-"&amp;L68</f>
        <v>（含）-</v>
      </c>
      <c r="L67" s="496" t="str">
        <f t="shared" si="27"/>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8">C69-$K11</f>
        <v>100</v>
      </c>
      <c r="E69" s="493">
        <f t="shared" si="28"/>
        <v>100</v>
      </c>
      <c r="F69" s="493">
        <f t="shared" si="28"/>
        <v>100</v>
      </c>
      <c r="G69" s="493">
        <f t="shared" si="28"/>
        <v>100</v>
      </c>
      <c r="H69" s="493">
        <f t="shared" si="28"/>
        <v>100</v>
      </c>
      <c r="I69" s="493">
        <f t="shared" si="28"/>
        <v>100</v>
      </c>
      <c r="J69" s="493">
        <f t="shared" si="28"/>
        <v>100</v>
      </c>
      <c r="K69" s="493">
        <f t="shared" si="28"/>
        <v>100</v>
      </c>
      <c r="L69" s="493">
        <f t="shared" si="28"/>
        <v>100</v>
      </c>
      <c r="M69" s="494">
        <f t="shared" si="28"/>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9">D83-$K21</f>
        <v>100</v>
      </c>
      <c r="F83" s="608">
        <f t="shared" si="29"/>
        <v>100</v>
      </c>
      <c r="G83" s="608">
        <f t="shared" si="29"/>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30">$C$87-($C$86-D86)*$K$25</f>
        <v>100</v>
      </c>
      <c r="E87" s="493">
        <f t="shared" si="30"/>
        <v>100</v>
      </c>
      <c r="F87" s="493">
        <f t="shared" si="30"/>
        <v>100</v>
      </c>
      <c r="G87" s="493">
        <f t="shared" si="30"/>
        <v>100</v>
      </c>
      <c r="H87" s="493">
        <f t="shared" si="30"/>
        <v>100</v>
      </c>
      <c r="I87" s="493">
        <f t="shared" si="30"/>
        <v>100</v>
      </c>
      <c r="J87" s="493">
        <f t="shared" si="30"/>
        <v>100</v>
      </c>
      <c r="K87" s="493">
        <f t="shared" si="30"/>
        <v>100</v>
      </c>
      <c r="L87" s="493">
        <f t="shared" si="30"/>
        <v>100</v>
      </c>
      <c r="M87" s="493">
        <f t="shared" si="30"/>
        <v>100</v>
      </c>
      <c r="N87" s="934"/>
      <c r="O87" s="934"/>
      <c r="P87" s="1921"/>
      <c r="Q87" s="453"/>
    </row>
    <row r="88" spans="1:17" s="108" customFormat="1" ht="15" thickTop="1">
      <c r="A88" s="528"/>
      <c r="B88" s="487" t="s">
        <v>1735</v>
      </c>
      <c r="C88" s="3453" t="s">
        <v>3501</v>
      </c>
      <c r="D88" s="3453" t="s">
        <v>3503</v>
      </c>
      <c r="E88" s="3453" t="s">
        <v>3505</v>
      </c>
      <c r="F88" s="3458" t="s">
        <v>3520</v>
      </c>
      <c r="G88" s="3453" t="s">
        <v>3522</v>
      </c>
      <c r="H88" s="3453" t="s">
        <v>3523</v>
      </c>
      <c r="I88" s="3453" t="s">
        <v>3524</v>
      </c>
      <c r="J88" s="503"/>
      <c r="K88" s="503"/>
      <c r="L88" s="503"/>
      <c r="M88" s="530"/>
      <c r="N88" s="932"/>
      <c r="O88" s="932"/>
      <c r="P88" s="1921"/>
      <c r="Q88" s="453"/>
    </row>
    <row r="89" spans="1:17" s="108" customFormat="1" ht="14.4" thickBot="1">
      <c r="A89" s="528"/>
      <c r="B89" s="492"/>
      <c r="C89" s="531">
        <v>100</v>
      </c>
      <c r="D89" s="493">
        <f t="shared" ref="D89:M89" si="31">C89-$K26</f>
        <v>97</v>
      </c>
      <c r="E89" s="493">
        <f t="shared" si="31"/>
        <v>94</v>
      </c>
      <c r="F89" s="493">
        <f t="shared" si="31"/>
        <v>91</v>
      </c>
      <c r="G89" s="493">
        <f t="shared" si="31"/>
        <v>88</v>
      </c>
      <c r="H89" s="493">
        <f t="shared" si="31"/>
        <v>85</v>
      </c>
      <c r="I89" s="493">
        <f t="shared" si="31"/>
        <v>82</v>
      </c>
      <c r="J89" s="493">
        <f t="shared" si="31"/>
        <v>79</v>
      </c>
      <c r="K89" s="493">
        <f t="shared" si="31"/>
        <v>76</v>
      </c>
      <c r="L89" s="493">
        <f t="shared" si="31"/>
        <v>73</v>
      </c>
      <c r="M89" s="493">
        <f t="shared" si="31"/>
        <v>70</v>
      </c>
      <c r="N89" s="934"/>
      <c r="O89" s="934"/>
      <c r="P89" s="1921"/>
      <c r="Q89" s="453"/>
    </row>
    <row r="90" spans="1:17" s="422" customFormat="1" ht="14.4" thickTop="1">
      <c r="A90" s="502"/>
      <c r="B90" s="487" t="str">
        <f>B27</f>
        <v>楼层</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4" t="s">
        <v>3507</v>
      </c>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32">C101-$K32</f>
        <v>100</v>
      </c>
      <c r="E101" s="493">
        <f t="shared" si="32"/>
        <v>100</v>
      </c>
      <c r="F101" s="493">
        <f t="shared" si="32"/>
        <v>100</v>
      </c>
      <c r="G101" s="493">
        <f t="shared" si="32"/>
        <v>100</v>
      </c>
      <c r="H101" s="493">
        <f t="shared" si="32"/>
        <v>100</v>
      </c>
      <c r="I101" s="493">
        <f t="shared" si="32"/>
        <v>100</v>
      </c>
      <c r="J101" s="493">
        <f t="shared" si="32"/>
        <v>100</v>
      </c>
      <c r="K101" s="493">
        <f t="shared" si="32"/>
        <v>100</v>
      </c>
      <c r="L101" s="493">
        <f t="shared" si="32"/>
        <v>100</v>
      </c>
      <c r="M101" s="493">
        <f t="shared" si="32"/>
        <v>100</v>
      </c>
      <c r="N101" s="934"/>
      <c r="O101" s="934"/>
      <c r="P101" s="1921"/>
      <c r="Q101" s="453"/>
    </row>
    <row r="102" spans="1:17" ht="15" thickTop="1">
      <c r="A102" s="483"/>
      <c r="B102" s="487" t="s">
        <v>1737</v>
      </c>
      <c r="C102" s="527" t="str">
        <f>C103&amp;"(含)"&amp;"-"&amp;D103</f>
        <v>0(含)-200</v>
      </c>
      <c r="D102" s="527" t="str">
        <f t="shared" ref="D102:L102" si="33">D103&amp;"(含)"&amp;"-"&amp;E103</f>
        <v>200(含)-300</v>
      </c>
      <c r="E102" s="527" t="str">
        <f t="shared" si="33"/>
        <v>300(含)-400</v>
      </c>
      <c r="F102" s="527" t="str">
        <f t="shared" si="33"/>
        <v>400(含)-</v>
      </c>
      <c r="G102" s="527" t="str">
        <f t="shared" si="33"/>
        <v>(含)-</v>
      </c>
      <c r="H102" s="527" t="str">
        <f t="shared" si="33"/>
        <v>(含)-</v>
      </c>
      <c r="I102" s="527" t="str">
        <f t="shared" si="33"/>
        <v>(含)-</v>
      </c>
      <c r="J102" s="527" t="str">
        <f t="shared" si="33"/>
        <v>(含)-</v>
      </c>
      <c r="K102" s="527" t="str">
        <f>K103&amp;"(含)"&amp;"-"&amp;L103</f>
        <v>(含)-</v>
      </c>
      <c r="L102" s="527" t="str">
        <f t="shared" si="33"/>
        <v>(含)-</v>
      </c>
      <c r="M102" s="527" t="str">
        <f>M103&amp;"(含)"&amp;"-"&amp;P103</f>
        <v>(含)-</v>
      </c>
      <c r="N102" s="932"/>
      <c r="O102" s="932"/>
      <c r="P102" s="1921"/>
      <c r="Q102" s="453"/>
    </row>
    <row r="103" spans="1:17" s="422" customFormat="1">
      <c r="A103" s="542"/>
      <c r="B103" s="543"/>
      <c r="C103" s="544">
        <v>0</v>
      </c>
      <c r="D103" s="544">
        <v>200</v>
      </c>
      <c r="E103" s="544">
        <v>300</v>
      </c>
      <c r="F103" s="544">
        <v>400</v>
      </c>
      <c r="G103" s="544"/>
      <c r="H103" s="544"/>
      <c r="I103" s="544"/>
      <c r="J103" s="545"/>
      <c r="K103" s="545"/>
      <c r="L103" s="546"/>
      <c r="M103" s="547"/>
      <c r="N103" s="935"/>
      <c r="O103" s="935"/>
      <c r="P103" s="1922"/>
      <c r="Q103" s="508"/>
    </row>
    <row r="104" spans="1:17" s="422" customFormat="1" ht="14.4" thickBot="1">
      <c r="A104" s="502"/>
      <c r="B104" s="492"/>
      <c r="C104" s="509">
        <v>100</v>
      </c>
      <c r="D104" s="485">
        <v>97</v>
      </c>
      <c r="E104" s="485">
        <v>94</v>
      </c>
      <c r="F104" s="485">
        <v>91</v>
      </c>
      <c r="G104" s="485"/>
      <c r="H104" s="485"/>
      <c r="I104" s="485"/>
      <c r="J104" s="485"/>
      <c r="K104" s="485"/>
      <c r="L104" s="485"/>
      <c r="M104" s="485"/>
      <c r="N104" s="934"/>
      <c r="O104" s="934"/>
      <c r="P104" s="1922"/>
      <c r="Q104" s="508"/>
    </row>
    <row r="105" spans="1:17" ht="15" thickTop="1">
      <c r="A105" s="548"/>
      <c r="B105" s="487" t="s">
        <v>1738</v>
      </c>
      <c r="C105" s="3453" t="s">
        <v>3508</v>
      </c>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34">C106-$K34</f>
        <v>100</v>
      </c>
      <c r="E106" s="493">
        <f t="shared" si="34"/>
        <v>100</v>
      </c>
      <c r="F106" s="493">
        <f t="shared" si="34"/>
        <v>100</v>
      </c>
      <c r="G106" s="493">
        <f t="shared" si="34"/>
        <v>100</v>
      </c>
      <c r="H106" s="493">
        <f t="shared" si="34"/>
        <v>100</v>
      </c>
      <c r="I106" s="493">
        <f t="shared" si="34"/>
        <v>100</v>
      </c>
      <c r="J106" s="493">
        <f t="shared" si="34"/>
        <v>100</v>
      </c>
      <c r="K106" s="493">
        <f t="shared" si="34"/>
        <v>100</v>
      </c>
      <c r="L106" s="493">
        <f t="shared" si="34"/>
        <v>100</v>
      </c>
      <c r="M106" s="493">
        <f t="shared" si="34"/>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35">C108-$K35</f>
        <v>100</v>
      </c>
      <c r="E108" s="493">
        <f t="shared" si="35"/>
        <v>100</v>
      </c>
      <c r="F108" s="493">
        <f t="shared" si="35"/>
        <v>100</v>
      </c>
      <c r="G108" s="493">
        <f t="shared" si="35"/>
        <v>100</v>
      </c>
      <c r="H108" s="493">
        <f t="shared" si="35"/>
        <v>100</v>
      </c>
      <c r="I108" s="493">
        <f t="shared" si="35"/>
        <v>100</v>
      </c>
      <c r="J108" s="493">
        <f t="shared" si="35"/>
        <v>100</v>
      </c>
      <c r="K108" s="493">
        <f t="shared" si="35"/>
        <v>100</v>
      </c>
      <c r="L108" s="493">
        <f t="shared" si="35"/>
        <v>100</v>
      </c>
      <c r="M108" s="493">
        <f t="shared" si="35"/>
        <v>100</v>
      </c>
      <c r="N108" s="934"/>
      <c r="O108" s="934"/>
      <c r="P108" s="1921"/>
      <c r="Q108" s="453"/>
    </row>
    <row r="109" spans="1:17" ht="15" thickTop="1">
      <c r="A109" s="548"/>
      <c r="B109" s="487" t="s">
        <v>1740</v>
      </c>
      <c r="C109" s="3453" t="s">
        <v>3510</v>
      </c>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36">C110-$K36</f>
        <v>100</v>
      </c>
      <c r="E110" s="493">
        <f t="shared" si="36"/>
        <v>100</v>
      </c>
      <c r="F110" s="493">
        <f t="shared" si="36"/>
        <v>100</v>
      </c>
      <c r="G110" s="493">
        <f t="shared" si="36"/>
        <v>100</v>
      </c>
      <c r="H110" s="493">
        <f t="shared" si="36"/>
        <v>100</v>
      </c>
      <c r="I110" s="493">
        <f t="shared" si="36"/>
        <v>100</v>
      </c>
      <c r="J110" s="493">
        <f t="shared" si="36"/>
        <v>100</v>
      </c>
      <c r="K110" s="493">
        <f t="shared" si="36"/>
        <v>100</v>
      </c>
      <c r="L110" s="493">
        <f t="shared" si="36"/>
        <v>100</v>
      </c>
      <c r="M110" s="493">
        <f t="shared" si="36"/>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2"/>
      <c r="Q113" s="508"/>
    </row>
    <row r="114" spans="1:17" ht="15" thickTop="1">
      <c r="A114" s="548"/>
      <c r="B114" s="487" t="s">
        <v>1741</v>
      </c>
      <c r="C114" s="3453" t="s">
        <v>3511</v>
      </c>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7">C115-$K38</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3">
        <f t="shared" si="37"/>
        <v>100</v>
      </c>
      <c r="N115" s="934"/>
      <c r="O115" s="934"/>
      <c r="P115" s="1921"/>
      <c r="Q115" s="453"/>
    </row>
    <row r="116" spans="1:17" ht="15" thickTop="1">
      <c r="A116" s="548"/>
      <c r="B116" s="487" t="s">
        <v>1742</v>
      </c>
      <c r="C116" s="3453" t="s">
        <v>3512</v>
      </c>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55" t="s">
        <v>3513</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8">C119-$K40</f>
        <v>100</v>
      </c>
      <c r="E119" s="493">
        <f t="shared" si="38"/>
        <v>100</v>
      </c>
      <c r="F119" s="493">
        <f t="shared" si="38"/>
        <v>100</v>
      </c>
      <c r="G119" s="493">
        <f t="shared" si="38"/>
        <v>100</v>
      </c>
      <c r="H119" s="493">
        <f t="shared" si="38"/>
        <v>100</v>
      </c>
      <c r="I119" s="493">
        <f t="shared" si="38"/>
        <v>100</v>
      </c>
      <c r="J119" s="493">
        <f t="shared" si="38"/>
        <v>100</v>
      </c>
      <c r="K119" s="493">
        <f t="shared" si="38"/>
        <v>100</v>
      </c>
      <c r="L119" s="493">
        <f t="shared" si="38"/>
        <v>100</v>
      </c>
      <c r="M119" s="493">
        <f t="shared" si="38"/>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53" t="s">
        <v>3514</v>
      </c>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9">C123-$K42</f>
        <v>100</v>
      </c>
      <c r="E123" s="493">
        <f t="shared" si="39"/>
        <v>100</v>
      </c>
      <c r="F123" s="493">
        <f t="shared" si="39"/>
        <v>100</v>
      </c>
      <c r="G123" s="493">
        <f t="shared" si="39"/>
        <v>100</v>
      </c>
      <c r="H123" s="493">
        <f t="shared" si="39"/>
        <v>100</v>
      </c>
      <c r="I123" s="493">
        <f t="shared" si="39"/>
        <v>100</v>
      </c>
      <c r="J123" s="493">
        <f t="shared" si="39"/>
        <v>100</v>
      </c>
      <c r="K123" s="493">
        <f t="shared" si="39"/>
        <v>100</v>
      </c>
      <c r="L123" s="493">
        <f t="shared" si="39"/>
        <v>100</v>
      </c>
      <c r="M123" s="493">
        <f t="shared" si="39"/>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景观</v>
      </c>
      <c r="C126" s="3453" t="s">
        <v>3516</v>
      </c>
      <c r="D126" s="3453" t="s">
        <v>3517</v>
      </c>
      <c r="E126" s="503"/>
      <c r="F126" s="503"/>
      <c r="G126" s="503"/>
      <c r="H126" s="504"/>
      <c r="I126" s="504"/>
      <c r="J126" s="504"/>
      <c r="K126" s="504"/>
      <c r="L126" s="505"/>
      <c r="M126" s="506"/>
      <c r="N126" s="935"/>
      <c r="O126" s="935"/>
      <c r="P126" s="1922"/>
      <c r="Q126" s="508"/>
    </row>
    <row r="127" spans="1:17" s="422" customFormat="1" ht="14.4" thickBot="1">
      <c r="A127" s="502"/>
      <c r="B127" s="492"/>
      <c r="C127" s="509">
        <v>100</v>
      </c>
      <c r="D127" s="485">
        <v>95</v>
      </c>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3"/>
      <c r="F1" s="2803"/>
      <c r="G1" s="2668"/>
      <c r="H1" s="2803"/>
      <c r="I1" s="2803"/>
      <c r="J1" s="2803"/>
      <c r="K1" s="2804">
        <f>MATCH(C1,'数据-取费表'!A6:A16,0)+5</f>
        <v>7</v>
      </c>
    </row>
    <row r="2" spans="1:33" ht="18" customHeight="1">
      <c r="A2" s="201" t="s">
        <v>1462</v>
      </c>
      <c r="B2" s="204">
        <f ca="1">C32</f>
        <v>-7</v>
      </c>
      <c r="C2" s="276" t="s">
        <v>1595</v>
      </c>
      <c r="D2" s="276"/>
      <c r="E2" s="2803"/>
      <c r="F2" s="2803"/>
      <c r="G2" s="2803"/>
      <c r="H2" s="2803"/>
      <c r="I2" s="2803"/>
      <c r="J2" s="2803"/>
      <c r="K2" s="2803"/>
    </row>
    <row r="3" spans="1:33" ht="18" customHeight="1" thickBot="1">
      <c r="A3" s="203" t="s">
        <v>1464</v>
      </c>
      <c r="B3" s="204">
        <f ca="1">ROUND(B2*10000/IF(C1="",'数据-汇总表'!E3,INDIRECT("'数据-取费表'!K"&amp;$K$1)),0)</f>
        <v>-186</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375.87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375.87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1"/>
      <c r="H18" s="1186"/>
      <c r="I18" s="1862" t="s">
        <v>1625</v>
      </c>
      <c r="J18" s="807"/>
      <c r="K18" s="808"/>
    </row>
    <row r="19" spans="1:33" s="803" customFormat="1" ht="13.5" customHeight="1">
      <c r="A19" s="800" t="s">
        <v>360</v>
      </c>
      <c r="B19" s="801" t="s">
        <v>1626</v>
      </c>
      <c r="C19" s="21">
        <f ca="1">ROUND(D19*E19/10000,0)</f>
        <v>6</v>
      </c>
      <c r="D19" s="846">
        <f ca="1">IF(C1="",'数据-汇总表'!E5,IF(INDIRECT("'数据-取费表'!c"&amp;$K$1)="住宅",INDIRECT("'数据-取费表'!k"&amp;$K$1),0))</f>
        <v>375.87</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95" t="s">
        <v>694</v>
      </c>
      <c r="C6" s="1074">
        <f ca="1">ROUND(F6*F8*F7*(1-F9)/10000,0)</f>
        <v>0</v>
      </c>
      <c r="D6" s="155" t="s">
        <v>2109</v>
      </c>
      <c r="E6" s="302" t="s">
        <v>696</v>
      </c>
      <c r="F6" s="303">
        <f ca="1">INDIRECT("'数据-取费表'!u"&amp;$G$1)</f>
        <v>0</v>
      </c>
      <c r="G6" s="1383"/>
      <c r="H6" s="1069" t="s">
        <v>398</v>
      </c>
      <c r="I6" s="3695" t="s">
        <v>694</v>
      </c>
      <c r="J6" s="301">
        <f ca="1">ROUND(M6*M8*M7*(1-M9)/10000,0)</f>
        <v>0</v>
      </c>
      <c r="K6" s="155" t="s">
        <v>2108</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0</v>
      </c>
      <c r="G7" s="1383"/>
      <c r="H7" s="304"/>
      <c r="I7" s="3696"/>
      <c r="J7" s="306"/>
      <c r="K7" s="307"/>
      <c r="L7" s="302" t="s">
        <v>697</v>
      </c>
      <c r="M7" s="303">
        <f ca="1">F7</f>
        <v>0</v>
      </c>
    </row>
    <row r="8" spans="1:37" ht="18" customHeight="1">
      <c r="A8" s="304"/>
      <c r="B8" s="3696"/>
      <c r="C8" s="306"/>
      <c r="D8" s="307"/>
      <c r="E8" s="302" t="s">
        <v>698</v>
      </c>
      <c r="F8" s="303">
        <f ca="1">INDIRECT("'数据-取费表'!ai"&amp;$G$1)</f>
        <v>0</v>
      </c>
      <c r="G8" s="1383"/>
      <c r="H8" s="304"/>
      <c r="I8" s="3696"/>
      <c r="J8" s="306"/>
      <c r="K8" s="307"/>
      <c r="L8" s="302" t="s">
        <v>698</v>
      </c>
      <c r="M8" s="303">
        <f ca="1">INDIRECT("'数据-取费表'!ai"&amp;$G$1)</f>
        <v>0</v>
      </c>
    </row>
    <row r="9" spans="1:37" ht="18" customHeight="1">
      <c r="A9" s="304"/>
      <c r="B9" s="3697"/>
      <c r="C9" s="306"/>
      <c r="D9" s="307"/>
      <c r="E9" s="302" t="s">
        <v>699</v>
      </c>
      <c r="F9" s="312">
        <f ca="1">INDIRECT("'数据-取费表'!w"&amp;$G$1)</f>
        <v>0</v>
      </c>
      <c r="G9" s="1383"/>
      <c r="H9" s="304"/>
      <c r="I9" s="369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2306</v>
      </c>
      <c r="I31" s="1397"/>
      <c r="J31" s="1398"/>
      <c r="K31" s="2473"/>
      <c r="L31" s="2695"/>
      <c r="M31" s="2696"/>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693" t="s">
        <v>837</v>
      </c>
      <c r="L53" s="3694"/>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3335</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5:S357"/>
  <sheetViews>
    <sheetView topLeftCell="A237" workbookViewId="0">
      <selection activeCell="M58" sqref="M58"/>
    </sheetView>
  </sheetViews>
  <sheetFormatPr defaultRowHeight="14.4"/>
  <sheetData>
    <row r="15" spans="19:19">
      <c r="S15">
        <f>25580/196.6</f>
        <v>130.11190233977621</v>
      </c>
    </row>
    <row r="29" spans="1:1">
      <c r="A29" s="3446" t="s">
        <v>3390</v>
      </c>
    </row>
    <row r="357" spans="15:15">
      <c r="O357">
        <f>58000/196.54</f>
        <v>295.10532207184292</v>
      </c>
    </row>
  </sheetData>
  <phoneticPr fontId="134" type="noConversion"/>
  <hyperlinks>
    <hyperlink ref="A29" r:id="rId1"/>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workbookViewId="0">
      <selection activeCell="A71" sqref="A71"/>
    </sheetView>
  </sheetViews>
  <sheetFormatPr defaultRowHeight="15.6"/>
  <cols>
    <col min="1" max="492" width="22.21875" style="3447" customWidth="1"/>
    <col min="493" max="16384" width="8.88671875" style="3447"/>
  </cols>
  <sheetData>
    <row r="1" spans="1:7">
      <c r="A1" s="3447" t="s">
        <v>3400</v>
      </c>
      <c r="B1" s="3447" t="s">
        <v>3401</v>
      </c>
      <c r="C1" s="3447" t="s">
        <v>3402</v>
      </c>
      <c r="D1" s="3447" t="s">
        <v>3403</v>
      </c>
      <c r="E1" s="3447" t="s">
        <v>3404</v>
      </c>
      <c r="F1" s="3447" t="s">
        <v>3405</v>
      </c>
      <c r="G1" s="3447" t="s">
        <v>3406</v>
      </c>
    </row>
    <row r="2" spans="1:7">
      <c r="A2" s="3447" t="s">
        <v>3407</v>
      </c>
      <c r="B2" s="3447">
        <v>168</v>
      </c>
      <c r="C2" s="3447">
        <v>42241</v>
      </c>
      <c r="D2" s="3447">
        <v>61819</v>
      </c>
      <c r="E2" s="3447">
        <v>261127.75</v>
      </c>
      <c r="F2" s="3447" t="s">
        <v>633</v>
      </c>
      <c r="G2" s="3447" t="s">
        <v>633</v>
      </c>
    </row>
    <row r="3" spans="1:7">
      <c r="A3" s="3447" t="s">
        <v>3408</v>
      </c>
      <c r="B3" s="3447">
        <v>168</v>
      </c>
      <c r="C3" s="3447">
        <v>42241</v>
      </c>
      <c r="D3" s="3447">
        <v>61819</v>
      </c>
      <c r="E3" s="3447">
        <v>261127.75</v>
      </c>
      <c r="F3" s="3447" t="s">
        <v>633</v>
      </c>
      <c r="G3" s="3447" t="s">
        <v>633</v>
      </c>
    </row>
    <row r="4" spans="1:7">
      <c r="A4" s="3447" t="s">
        <v>3409</v>
      </c>
      <c r="B4" s="3447" t="s">
        <v>633</v>
      </c>
      <c r="C4" s="3447" t="s">
        <v>633</v>
      </c>
      <c r="D4" s="3447" t="s">
        <v>633</v>
      </c>
      <c r="E4" s="3447" t="s">
        <v>633</v>
      </c>
      <c r="F4" s="3447">
        <v>6</v>
      </c>
      <c r="G4" s="3447">
        <v>1792</v>
      </c>
    </row>
    <row r="5" spans="1:7">
      <c r="A5" s="3447" t="s">
        <v>3410</v>
      </c>
      <c r="B5" s="3447" t="s">
        <v>633</v>
      </c>
      <c r="C5" s="3447" t="s">
        <v>633</v>
      </c>
      <c r="D5" s="3447" t="s">
        <v>633</v>
      </c>
      <c r="E5" s="3447" t="s">
        <v>633</v>
      </c>
      <c r="F5" s="3447">
        <v>6</v>
      </c>
      <c r="G5" s="3447">
        <v>1792</v>
      </c>
    </row>
    <row r="6" spans="1:7">
      <c r="A6" s="3447" t="s">
        <v>3411</v>
      </c>
      <c r="B6" s="3447" t="s">
        <v>633</v>
      </c>
      <c r="C6" s="3447" t="s">
        <v>633</v>
      </c>
      <c r="D6" s="3447" t="s">
        <v>633</v>
      </c>
      <c r="E6" s="3447" t="s">
        <v>633</v>
      </c>
      <c r="F6" s="3447">
        <v>6</v>
      </c>
      <c r="G6" s="3447">
        <v>1792</v>
      </c>
    </row>
    <row r="7" spans="1:7">
      <c r="A7" s="3447" t="s">
        <v>3412</v>
      </c>
      <c r="B7" s="3447" t="s">
        <v>633</v>
      </c>
      <c r="C7" s="3447" t="s">
        <v>633</v>
      </c>
      <c r="D7" s="3447" t="s">
        <v>633</v>
      </c>
      <c r="E7" s="3447" t="s">
        <v>633</v>
      </c>
      <c r="F7" s="3447">
        <v>6</v>
      </c>
      <c r="G7" s="3447">
        <v>1792</v>
      </c>
    </row>
    <row r="8" spans="1:7">
      <c r="A8" s="3447" t="s">
        <v>3413</v>
      </c>
      <c r="B8" s="3447" t="s">
        <v>633</v>
      </c>
      <c r="C8" s="3447" t="s">
        <v>633</v>
      </c>
      <c r="D8" s="3447" t="s">
        <v>633</v>
      </c>
      <c r="E8" s="3447" t="s">
        <v>633</v>
      </c>
      <c r="F8" s="3447">
        <v>6</v>
      </c>
      <c r="G8" s="3447">
        <v>1792</v>
      </c>
    </row>
    <row r="9" spans="1:7">
      <c r="A9" s="3447" t="s">
        <v>3414</v>
      </c>
      <c r="B9" s="3447" t="s">
        <v>633</v>
      </c>
      <c r="C9" s="3447" t="s">
        <v>633</v>
      </c>
      <c r="D9" s="3447" t="s">
        <v>633</v>
      </c>
      <c r="E9" s="3447" t="s">
        <v>633</v>
      </c>
      <c r="F9" s="3447">
        <v>6</v>
      </c>
      <c r="G9" s="3447">
        <v>1792</v>
      </c>
    </row>
    <row r="10" spans="1:7">
      <c r="A10" s="3447" t="s">
        <v>3415</v>
      </c>
      <c r="B10" s="3447" t="s">
        <v>633</v>
      </c>
      <c r="C10" s="3447" t="s">
        <v>633</v>
      </c>
      <c r="D10" s="3447" t="s">
        <v>633</v>
      </c>
      <c r="E10" s="3447" t="s">
        <v>633</v>
      </c>
      <c r="F10" s="3447">
        <v>6</v>
      </c>
      <c r="G10" s="3447">
        <v>1792</v>
      </c>
    </row>
    <row r="11" spans="1:7">
      <c r="A11" s="3447" t="s">
        <v>3416</v>
      </c>
      <c r="B11" s="3447" t="s">
        <v>633</v>
      </c>
      <c r="C11" s="3447" t="s">
        <v>633</v>
      </c>
      <c r="D11" s="3447" t="s">
        <v>633</v>
      </c>
      <c r="E11" s="3447" t="s">
        <v>633</v>
      </c>
      <c r="F11" s="3447">
        <v>6</v>
      </c>
      <c r="G11" s="3447">
        <v>1792</v>
      </c>
    </row>
    <row r="12" spans="1:7">
      <c r="A12" s="3447" t="s">
        <v>3417</v>
      </c>
      <c r="B12" s="3447" t="s">
        <v>633</v>
      </c>
      <c r="C12" s="3447" t="s">
        <v>633</v>
      </c>
      <c r="D12" s="3447" t="s">
        <v>633</v>
      </c>
      <c r="E12" s="3447" t="s">
        <v>633</v>
      </c>
      <c r="F12" s="3447">
        <v>6</v>
      </c>
      <c r="G12" s="3447">
        <v>1792</v>
      </c>
    </row>
    <row r="13" spans="1:7">
      <c r="A13" s="3447" t="s">
        <v>3418</v>
      </c>
      <c r="B13" s="3447" t="s">
        <v>633</v>
      </c>
      <c r="C13" s="3447" t="s">
        <v>633</v>
      </c>
      <c r="D13" s="3447" t="s">
        <v>633</v>
      </c>
      <c r="E13" s="3447" t="s">
        <v>633</v>
      </c>
      <c r="F13" s="3447">
        <v>6</v>
      </c>
      <c r="G13" s="3447">
        <v>1792</v>
      </c>
    </row>
    <row r="14" spans="1:7">
      <c r="A14" s="3447" t="s">
        <v>3419</v>
      </c>
      <c r="B14" s="3447" t="s">
        <v>633</v>
      </c>
      <c r="C14" s="3447" t="s">
        <v>633</v>
      </c>
      <c r="D14" s="3447" t="s">
        <v>633</v>
      </c>
      <c r="E14" s="3447" t="s">
        <v>633</v>
      </c>
      <c r="F14" s="3447">
        <v>6</v>
      </c>
      <c r="G14" s="3447">
        <v>1792</v>
      </c>
    </row>
    <row r="15" spans="1:7">
      <c r="A15" s="3447" t="s">
        <v>3420</v>
      </c>
      <c r="B15" s="3447" t="s">
        <v>633</v>
      </c>
      <c r="C15" s="3447" t="s">
        <v>633</v>
      </c>
      <c r="D15" s="3447" t="s">
        <v>633</v>
      </c>
      <c r="E15" s="3447" t="s">
        <v>633</v>
      </c>
      <c r="F15" s="3447">
        <v>6</v>
      </c>
      <c r="G15" s="3447">
        <v>1792</v>
      </c>
    </row>
    <row r="16" spans="1:7">
      <c r="A16" s="3447" t="s">
        <v>3421</v>
      </c>
      <c r="B16" s="3447" t="s">
        <v>633</v>
      </c>
      <c r="C16" s="3447" t="s">
        <v>633</v>
      </c>
      <c r="D16" s="3447" t="s">
        <v>633</v>
      </c>
      <c r="E16" s="3447" t="s">
        <v>633</v>
      </c>
      <c r="F16" s="3447">
        <v>6</v>
      </c>
      <c r="G16" s="3447">
        <v>1792</v>
      </c>
    </row>
    <row r="17" spans="1:7">
      <c r="A17" s="3447" t="s">
        <v>3422</v>
      </c>
      <c r="B17" s="3447">
        <v>1</v>
      </c>
      <c r="C17" s="3447">
        <v>197</v>
      </c>
      <c r="D17" s="3447">
        <v>80000</v>
      </c>
      <c r="E17" s="3447">
        <v>1572.32</v>
      </c>
      <c r="F17" s="3447">
        <v>6</v>
      </c>
      <c r="G17" s="3447">
        <v>1792</v>
      </c>
    </row>
    <row r="18" spans="1:7">
      <c r="A18" s="3447" t="s">
        <v>3423</v>
      </c>
      <c r="B18" s="3447" t="s">
        <v>633</v>
      </c>
      <c r="C18" s="3447" t="s">
        <v>633</v>
      </c>
      <c r="D18" s="3447" t="s">
        <v>633</v>
      </c>
      <c r="E18" s="3447" t="s">
        <v>633</v>
      </c>
      <c r="F18" s="3447">
        <v>7</v>
      </c>
      <c r="G18" s="3447">
        <v>1988</v>
      </c>
    </row>
    <row r="19" spans="1:7">
      <c r="A19" s="3447" t="s">
        <v>3424</v>
      </c>
      <c r="B19" s="3447" t="s">
        <v>633</v>
      </c>
      <c r="C19" s="3447" t="s">
        <v>633</v>
      </c>
      <c r="D19" s="3447" t="s">
        <v>633</v>
      </c>
      <c r="E19" s="3447" t="s">
        <v>633</v>
      </c>
      <c r="F19" s="3447">
        <v>7</v>
      </c>
      <c r="G19" s="3447">
        <v>1988</v>
      </c>
    </row>
    <row r="20" spans="1:7">
      <c r="A20" s="3447" t="s">
        <v>3425</v>
      </c>
      <c r="B20" s="3447">
        <v>1</v>
      </c>
      <c r="C20" s="3447">
        <v>344</v>
      </c>
      <c r="D20" s="3447">
        <v>100000</v>
      </c>
      <c r="E20" s="3447">
        <v>3435.6</v>
      </c>
      <c r="F20" s="3447">
        <v>7</v>
      </c>
      <c r="G20" s="3447">
        <v>1988</v>
      </c>
    </row>
    <row r="21" spans="1:7">
      <c r="A21" s="3447" t="s">
        <v>3426</v>
      </c>
      <c r="B21" s="3447">
        <v>2</v>
      </c>
      <c r="C21" s="3447">
        <v>581</v>
      </c>
      <c r="D21" s="3447">
        <v>95045</v>
      </c>
      <c r="E21" s="3447">
        <v>5526.38</v>
      </c>
      <c r="F21" s="3447">
        <v>9</v>
      </c>
      <c r="G21" s="3447">
        <v>2676</v>
      </c>
    </row>
    <row r="22" spans="1:7">
      <c r="A22" s="3447" t="s">
        <v>3427</v>
      </c>
      <c r="B22" s="3447" t="s">
        <v>633</v>
      </c>
      <c r="C22" s="3447" t="s">
        <v>633</v>
      </c>
      <c r="D22" s="3447" t="s">
        <v>633</v>
      </c>
      <c r="E22" s="3447" t="s">
        <v>633</v>
      </c>
      <c r="F22" s="3447">
        <v>9</v>
      </c>
      <c r="G22" s="3447">
        <v>2676</v>
      </c>
    </row>
    <row r="23" spans="1:7">
      <c r="A23" s="3447" t="s">
        <v>3428</v>
      </c>
      <c r="B23" s="3447" t="s">
        <v>633</v>
      </c>
      <c r="C23" s="3447" t="s">
        <v>633</v>
      </c>
      <c r="D23" s="3447" t="s">
        <v>633</v>
      </c>
      <c r="E23" s="3447" t="s">
        <v>633</v>
      </c>
      <c r="F23" s="3447">
        <v>11</v>
      </c>
      <c r="G23" s="3447">
        <v>3110</v>
      </c>
    </row>
    <row r="24" spans="1:7">
      <c r="A24" s="3447" t="s">
        <v>3429</v>
      </c>
      <c r="B24" s="3447" t="s">
        <v>633</v>
      </c>
      <c r="C24" s="3447" t="s">
        <v>633</v>
      </c>
      <c r="D24" s="3447" t="s">
        <v>633</v>
      </c>
      <c r="E24" s="3447" t="s">
        <v>633</v>
      </c>
      <c r="F24" s="3447">
        <v>11</v>
      </c>
      <c r="G24" s="3447">
        <v>3110</v>
      </c>
    </row>
    <row r="25" spans="1:7">
      <c r="A25" s="3447" t="s">
        <v>3430</v>
      </c>
      <c r="B25" s="3447" t="s">
        <v>633</v>
      </c>
      <c r="C25" s="3447" t="s">
        <v>633</v>
      </c>
      <c r="D25" s="3447" t="s">
        <v>633</v>
      </c>
      <c r="E25" s="3447" t="s">
        <v>633</v>
      </c>
      <c r="F25" s="3447">
        <v>11</v>
      </c>
      <c r="G25" s="3447">
        <v>3110</v>
      </c>
    </row>
    <row r="26" spans="1:7">
      <c r="A26" s="3447" t="s">
        <v>3431</v>
      </c>
      <c r="B26" s="3447">
        <v>2</v>
      </c>
      <c r="C26" s="3447">
        <v>434</v>
      </c>
      <c r="D26" s="3447">
        <v>80000</v>
      </c>
      <c r="E26" s="3447">
        <v>3475.44</v>
      </c>
      <c r="F26" s="3447">
        <v>11</v>
      </c>
      <c r="G26" s="3447">
        <v>3110</v>
      </c>
    </row>
    <row r="27" spans="1:7">
      <c r="A27" s="3447" t="s">
        <v>3432</v>
      </c>
      <c r="B27" s="3447" t="s">
        <v>633</v>
      </c>
      <c r="C27" s="3447" t="s">
        <v>633</v>
      </c>
      <c r="D27" s="3447" t="s">
        <v>633</v>
      </c>
      <c r="E27" s="3447" t="s">
        <v>633</v>
      </c>
      <c r="F27" s="3447">
        <v>11</v>
      </c>
      <c r="G27" s="3447">
        <v>3110</v>
      </c>
    </row>
    <row r="28" spans="1:7">
      <c r="A28" s="3447" t="s">
        <v>3433</v>
      </c>
      <c r="B28" s="3447" t="s">
        <v>633</v>
      </c>
      <c r="C28" s="3447" t="s">
        <v>633</v>
      </c>
      <c r="D28" s="3447" t="s">
        <v>633</v>
      </c>
      <c r="E28" s="3447" t="s">
        <v>633</v>
      </c>
      <c r="F28" s="3447">
        <v>11</v>
      </c>
      <c r="G28" s="3447">
        <v>3110</v>
      </c>
    </row>
    <row r="29" spans="1:7">
      <c r="A29" s="3447" t="s">
        <v>3434</v>
      </c>
      <c r="B29" s="3447">
        <v>4</v>
      </c>
      <c r="C29" s="3447">
        <v>1017</v>
      </c>
      <c r="D29" s="3447">
        <v>95057</v>
      </c>
      <c r="E29" s="3447">
        <v>9663.1</v>
      </c>
      <c r="F29" s="3447">
        <v>11</v>
      </c>
      <c r="G29" s="3447">
        <v>3110</v>
      </c>
    </row>
    <row r="30" spans="1:7">
      <c r="A30" s="3447" t="s">
        <v>3435</v>
      </c>
      <c r="B30" s="3447">
        <v>3</v>
      </c>
      <c r="C30" s="3447">
        <v>728</v>
      </c>
      <c r="D30" s="3447">
        <v>82000</v>
      </c>
      <c r="E30" s="3447">
        <v>5971.73</v>
      </c>
      <c r="F30" s="3447">
        <v>15</v>
      </c>
      <c r="G30" s="3447">
        <v>4127</v>
      </c>
    </row>
    <row r="31" spans="1:7">
      <c r="A31" s="3447" t="s">
        <v>3436</v>
      </c>
      <c r="B31" s="3447">
        <v>1</v>
      </c>
      <c r="C31" s="3447">
        <v>197</v>
      </c>
      <c r="D31" s="3447">
        <v>70000</v>
      </c>
      <c r="E31" s="3447">
        <v>1376.2</v>
      </c>
      <c r="F31" s="3447" t="s">
        <v>633</v>
      </c>
      <c r="G31" s="3447" t="s">
        <v>633</v>
      </c>
    </row>
    <row r="32" spans="1:7">
      <c r="A32" s="3447" t="s">
        <v>3437</v>
      </c>
      <c r="B32" s="3447">
        <v>3</v>
      </c>
      <c r="C32" s="3447">
        <v>858</v>
      </c>
      <c r="D32" s="3447">
        <v>68433</v>
      </c>
      <c r="E32" s="3447">
        <v>5870.99</v>
      </c>
      <c r="F32" s="3447" t="s">
        <v>633</v>
      </c>
      <c r="G32" s="3447" t="s">
        <v>633</v>
      </c>
    </row>
    <row r="33" spans="1:7">
      <c r="A33" s="3447" t="s">
        <v>3438</v>
      </c>
      <c r="B33" s="3447">
        <v>15</v>
      </c>
      <c r="C33" s="3447">
        <v>3661</v>
      </c>
      <c r="D33" s="3447">
        <v>62703</v>
      </c>
      <c r="E33" s="3447">
        <v>22957.77</v>
      </c>
      <c r="F33" s="3447" t="s">
        <v>633</v>
      </c>
      <c r="G33" s="3447" t="s">
        <v>633</v>
      </c>
    </row>
    <row r="34" spans="1:7">
      <c r="A34" s="3447" t="s">
        <v>3439</v>
      </c>
      <c r="B34" s="3447">
        <v>1</v>
      </c>
      <c r="C34" s="3447">
        <v>393</v>
      </c>
      <c r="D34" s="3447">
        <v>79000</v>
      </c>
      <c r="E34" s="3447">
        <v>3103.52</v>
      </c>
      <c r="F34" s="3447" t="s">
        <v>633</v>
      </c>
      <c r="G34" s="3447" t="s">
        <v>633</v>
      </c>
    </row>
    <row r="35" spans="1:7">
      <c r="A35" s="3447" t="s">
        <v>3440</v>
      </c>
      <c r="B35" s="3447" t="s">
        <v>633</v>
      </c>
      <c r="C35" s="3447" t="s">
        <v>633</v>
      </c>
      <c r="D35" s="3447" t="s">
        <v>633</v>
      </c>
      <c r="E35" s="3447" t="s">
        <v>633</v>
      </c>
      <c r="F35" s="3447">
        <v>40</v>
      </c>
      <c r="G35" s="3447">
        <v>10489</v>
      </c>
    </row>
    <row r="36" spans="1:7">
      <c r="A36" s="3447" t="s">
        <v>3441</v>
      </c>
      <c r="B36" s="3447">
        <v>9</v>
      </c>
      <c r="C36" s="3447">
        <v>2183</v>
      </c>
      <c r="D36" s="3447">
        <v>57561</v>
      </c>
      <c r="E36" s="3447">
        <v>12564.25</v>
      </c>
      <c r="F36" s="3447">
        <v>40</v>
      </c>
      <c r="G36" s="3447">
        <v>10489</v>
      </c>
    </row>
    <row r="37" spans="1:7">
      <c r="A37" s="3447" t="s">
        <v>3442</v>
      </c>
      <c r="B37" s="3447" t="s">
        <v>633</v>
      </c>
      <c r="C37" s="3447" t="s">
        <v>633</v>
      </c>
      <c r="D37" s="3447" t="s">
        <v>633</v>
      </c>
      <c r="E37" s="3447" t="s">
        <v>633</v>
      </c>
      <c r="F37" s="3447">
        <v>49</v>
      </c>
      <c r="G37" s="3447">
        <v>12672</v>
      </c>
    </row>
    <row r="38" spans="1:7">
      <c r="A38" s="3447" t="s">
        <v>3443</v>
      </c>
      <c r="B38" s="3447">
        <v>3</v>
      </c>
      <c r="C38" s="3447">
        <v>816</v>
      </c>
      <c r="D38" s="3447">
        <v>62041</v>
      </c>
      <c r="E38" s="3447">
        <v>5061.32</v>
      </c>
      <c r="F38" s="3447">
        <v>49</v>
      </c>
      <c r="G38" s="3447">
        <v>12672</v>
      </c>
    </row>
    <row r="39" spans="1:7">
      <c r="A39" s="3447" t="s">
        <v>3444</v>
      </c>
      <c r="B39" s="3447" t="s">
        <v>633</v>
      </c>
      <c r="C39" s="3447" t="s">
        <v>633</v>
      </c>
      <c r="D39" s="3447" t="s">
        <v>633</v>
      </c>
      <c r="E39" s="3447" t="s">
        <v>633</v>
      </c>
      <c r="F39" s="3447">
        <v>52</v>
      </c>
      <c r="G39" s="3447">
        <v>13488</v>
      </c>
    </row>
    <row r="40" spans="1:7">
      <c r="A40" s="3447" t="s">
        <v>3445</v>
      </c>
      <c r="B40" s="3447" t="s">
        <v>633</v>
      </c>
      <c r="C40" s="3447" t="s">
        <v>633</v>
      </c>
      <c r="D40" s="3447" t="s">
        <v>633</v>
      </c>
      <c r="E40" s="3447" t="s">
        <v>633</v>
      </c>
      <c r="F40" s="3447">
        <v>52</v>
      </c>
      <c r="G40" s="3447">
        <v>13488</v>
      </c>
    </row>
    <row r="41" spans="1:7">
      <c r="A41" s="3447" t="s">
        <v>3446</v>
      </c>
      <c r="B41" s="3447" t="s">
        <v>633</v>
      </c>
      <c r="C41" s="3447" t="s">
        <v>633</v>
      </c>
      <c r="D41" s="3447" t="s">
        <v>633</v>
      </c>
      <c r="E41" s="3447" t="s">
        <v>633</v>
      </c>
      <c r="F41" s="3447">
        <v>52</v>
      </c>
      <c r="G41" s="3447">
        <v>13488</v>
      </c>
    </row>
    <row r="42" spans="1:7">
      <c r="A42" s="3447" t="s">
        <v>3447</v>
      </c>
      <c r="B42" s="3447" t="s">
        <v>633</v>
      </c>
      <c r="C42" s="3447" t="s">
        <v>633</v>
      </c>
      <c r="D42" s="3447" t="s">
        <v>633</v>
      </c>
      <c r="E42" s="3447" t="s">
        <v>633</v>
      </c>
      <c r="F42" s="3447">
        <v>52</v>
      </c>
      <c r="G42" s="3447">
        <v>13488</v>
      </c>
    </row>
    <row r="43" spans="1:7">
      <c r="A43" s="3447" t="s">
        <v>3448</v>
      </c>
      <c r="B43" s="3447">
        <v>14</v>
      </c>
      <c r="C43" s="3447">
        <v>3303</v>
      </c>
      <c r="D43" s="3447">
        <v>54502</v>
      </c>
      <c r="E43" s="3447">
        <v>18003.97</v>
      </c>
      <c r="F43" s="3447">
        <v>52</v>
      </c>
      <c r="G43" s="3447">
        <v>13488</v>
      </c>
    </row>
    <row r="44" spans="1:7">
      <c r="A44" s="3447" t="s">
        <v>3449</v>
      </c>
      <c r="B44" s="3447">
        <v>2</v>
      </c>
      <c r="C44" s="3447">
        <v>434</v>
      </c>
      <c r="D44" s="3447">
        <v>62379</v>
      </c>
      <c r="E44" s="3447">
        <v>2710.3</v>
      </c>
      <c r="F44" s="3447">
        <v>66</v>
      </c>
      <c r="G44" s="3447">
        <v>16791</v>
      </c>
    </row>
    <row r="45" spans="1:7">
      <c r="A45" s="3447" t="s">
        <v>3450</v>
      </c>
      <c r="B45" s="3447" t="s">
        <v>633</v>
      </c>
      <c r="C45" s="3447" t="s">
        <v>633</v>
      </c>
      <c r="D45" s="3447" t="s">
        <v>633</v>
      </c>
      <c r="E45" s="3447" t="s">
        <v>633</v>
      </c>
      <c r="F45" s="3447">
        <v>68</v>
      </c>
      <c r="G45" s="3447">
        <v>17225</v>
      </c>
    </row>
    <row r="46" spans="1:7">
      <c r="A46" s="3447" t="s">
        <v>3451</v>
      </c>
      <c r="B46" s="3447">
        <v>2</v>
      </c>
      <c r="C46" s="3447">
        <v>484</v>
      </c>
      <c r="D46" s="3447">
        <v>52970</v>
      </c>
      <c r="E46" s="3447">
        <v>2564.58</v>
      </c>
      <c r="F46" s="3447">
        <v>68</v>
      </c>
      <c r="G46" s="3447">
        <v>17225</v>
      </c>
    </row>
    <row r="47" spans="1:7">
      <c r="A47" s="3447" t="s">
        <v>3452</v>
      </c>
      <c r="B47" s="3447" t="s">
        <v>633</v>
      </c>
      <c r="C47" s="3447" t="s">
        <v>633</v>
      </c>
      <c r="D47" s="3447" t="s">
        <v>633</v>
      </c>
      <c r="E47" s="3447" t="s">
        <v>633</v>
      </c>
      <c r="F47" s="3447">
        <v>70</v>
      </c>
      <c r="G47" s="3447">
        <v>17710</v>
      </c>
    </row>
    <row r="48" spans="1:7">
      <c r="A48" s="3447" t="s">
        <v>3453</v>
      </c>
      <c r="B48" s="3447" t="s">
        <v>633</v>
      </c>
      <c r="C48" s="3447" t="s">
        <v>633</v>
      </c>
      <c r="D48" s="3447" t="s">
        <v>633</v>
      </c>
      <c r="E48" s="3447" t="s">
        <v>633</v>
      </c>
      <c r="F48" s="3447">
        <v>70</v>
      </c>
      <c r="G48" s="3447">
        <v>17710</v>
      </c>
    </row>
    <row r="49" spans="1:7">
      <c r="A49" s="3447" t="s">
        <v>3454</v>
      </c>
      <c r="B49" s="3447">
        <v>19</v>
      </c>
      <c r="C49" s="3447">
        <v>5601</v>
      </c>
      <c r="D49" s="3447">
        <v>64774</v>
      </c>
      <c r="E49" s="3447">
        <v>36282.18</v>
      </c>
      <c r="F49" s="3447">
        <v>70</v>
      </c>
      <c r="G49" s="3447">
        <v>17710</v>
      </c>
    </row>
    <row r="50" spans="1:7">
      <c r="A50" s="3447" t="s">
        <v>3455</v>
      </c>
      <c r="B50" s="3447" t="s">
        <v>633</v>
      </c>
      <c r="C50" s="3447" t="s">
        <v>633</v>
      </c>
      <c r="D50" s="3447" t="s">
        <v>633</v>
      </c>
      <c r="E50" s="3447" t="s">
        <v>633</v>
      </c>
      <c r="F50" s="3447">
        <v>89</v>
      </c>
      <c r="G50" s="3447">
        <v>23311</v>
      </c>
    </row>
    <row r="51" spans="1:7">
      <c r="A51" s="3447" t="s">
        <v>3456</v>
      </c>
      <c r="B51" s="3447">
        <v>5</v>
      </c>
      <c r="C51" s="3447">
        <v>1210</v>
      </c>
      <c r="D51" s="3447">
        <v>63366</v>
      </c>
      <c r="E51" s="3447">
        <v>7665.79</v>
      </c>
      <c r="F51" s="3447">
        <v>89</v>
      </c>
      <c r="G51" s="3447">
        <v>23311</v>
      </c>
    </row>
    <row r="52" spans="1:7">
      <c r="A52" s="3447" t="s">
        <v>3457</v>
      </c>
      <c r="B52" s="3447">
        <v>1</v>
      </c>
      <c r="C52" s="3447">
        <v>238</v>
      </c>
      <c r="D52" s="3447">
        <v>50000</v>
      </c>
      <c r="E52" s="3447">
        <v>1189.45</v>
      </c>
      <c r="F52" s="3447">
        <v>94</v>
      </c>
      <c r="G52" s="3447">
        <v>24521</v>
      </c>
    </row>
    <row r="53" spans="1:7">
      <c r="A53" s="3447" t="s">
        <v>3458</v>
      </c>
      <c r="B53" s="3447" t="s">
        <v>633</v>
      </c>
      <c r="C53" s="3447" t="s">
        <v>633</v>
      </c>
      <c r="D53" s="3447" t="s">
        <v>633</v>
      </c>
      <c r="E53" s="3447" t="s">
        <v>633</v>
      </c>
      <c r="F53" s="3447">
        <v>95</v>
      </c>
      <c r="G53" s="3447">
        <v>24759</v>
      </c>
    </row>
    <row r="54" spans="1:7">
      <c r="A54" s="3447" t="s">
        <v>3459</v>
      </c>
      <c r="B54" s="3447" t="s">
        <v>633</v>
      </c>
      <c r="C54" s="3447" t="s">
        <v>633</v>
      </c>
      <c r="D54" s="3447" t="s">
        <v>633</v>
      </c>
      <c r="E54" s="3447" t="s">
        <v>633</v>
      </c>
      <c r="F54" s="3447">
        <v>95</v>
      </c>
      <c r="G54" s="3447">
        <v>24759</v>
      </c>
    </row>
    <row r="55" spans="1:7">
      <c r="A55" s="3447" t="s">
        <v>3460</v>
      </c>
      <c r="B55" s="3447">
        <v>3</v>
      </c>
      <c r="C55" s="3447">
        <v>722</v>
      </c>
      <c r="D55" s="3447">
        <v>59776</v>
      </c>
      <c r="E55" s="3447">
        <v>4315.78</v>
      </c>
      <c r="F55" s="3447">
        <v>95</v>
      </c>
      <c r="G55" s="3447">
        <v>24759</v>
      </c>
    </row>
    <row r="56" spans="1:7">
      <c r="A56" s="3447" t="s">
        <v>3461</v>
      </c>
      <c r="B56" s="3447">
        <v>1</v>
      </c>
      <c r="C56" s="3447">
        <v>197</v>
      </c>
      <c r="D56" s="3447">
        <v>80000</v>
      </c>
      <c r="E56" s="3447">
        <v>1572.8</v>
      </c>
      <c r="F56" s="3447">
        <v>98</v>
      </c>
      <c r="G56" s="3447">
        <v>25481</v>
      </c>
    </row>
    <row r="57" spans="1:7">
      <c r="A57" s="3447" t="s">
        <v>3462</v>
      </c>
      <c r="B57" s="3447">
        <v>5</v>
      </c>
      <c r="C57" s="3447">
        <v>1488</v>
      </c>
      <c r="D57" s="3447">
        <v>73110</v>
      </c>
      <c r="E57" s="3447">
        <v>10880.88</v>
      </c>
      <c r="F57" s="3447">
        <v>99</v>
      </c>
      <c r="G57" s="3447">
        <v>25677</v>
      </c>
    </row>
    <row r="58" spans="1:7">
      <c r="A58" s="3447" t="s">
        <v>3463</v>
      </c>
      <c r="B58" s="3447">
        <v>3</v>
      </c>
      <c r="C58" s="3447">
        <v>825</v>
      </c>
      <c r="D58" s="3447">
        <v>62960</v>
      </c>
      <c r="E58" s="3447">
        <v>5193.32</v>
      </c>
      <c r="F58" s="3447">
        <v>104</v>
      </c>
      <c r="G58" s="3447">
        <v>27165</v>
      </c>
    </row>
    <row r="59" spans="1:7">
      <c r="A59" s="3447" t="s">
        <v>3464</v>
      </c>
      <c r="B59" s="3447" t="s">
        <v>633</v>
      </c>
      <c r="C59" s="3447" t="s">
        <v>633</v>
      </c>
      <c r="D59" s="3447" t="s">
        <v>633</v>
      </c>
      <c r="E59" s="3447" t="s">
        <v>633</v>
      </c>
      <c r="F59" s="3447">
        <v>107</v>
      </c>
      <c r="G59" s="3447">
        <v>27990</v>
      </c>
    </row>
    <row r="60" spans="1:7">
      <c r="A60" s="3447" t="s">
        <v>3465</v>
      </c>
      <c r="B60" s="3447">
        <v>2</v>
      </c>
      <c r="C60" s="3447">
        <v>393</v>
      </c>
      <c r="D60" s="3447">
        <v>55000</v>
      </c>
      <c r="E60" s="3447">
        <v>2162.6</v>
      </c>
      <c r="F60" s="3447">
        <v>107</v>
      </c>
      <c r="G60" s="3447">
        <v>27990</v>
      </c>
    </row>
    <row r="61" spans="1:7">
      <c r="A61" s="3447" t="s">
        <v>3466</v>
      </c>
      <c r="B61" s="3447">
        <v>4</v>
      </c>
      <c r="C61" s="3447">
        <v>1012</v>
      </c>
      <c r="D61" s="3447">
        <v>60298</v>
      </c>
      <c r="E61" s="3447">
        <v>6104.24</v>
      </c>
      <c r="F61" s="3447">
        <v>109</v>
      </c>
      <c r="G61" s="3447">
        <v>28383</v>
      </c>
    </row>
    <row r="62" spans="1:7">
      <c r="A62" s="3447" t="s">
        <v>3467</v>
      </c>
      <c r="B62" s="3447" t="s">
        <v>633</v>
      </c>
      <c r="C62" s="3447" t="s">
        <v>633</v>
      </c>
      <c r="D62" s="3447" t="s">
        <v>633</v>
      </c>
      <c r="E62" s="3447" t="s">
        <v>633</v>
      </c>
      <c r="F62" s="3447">
        <v>113</v>
      </c>
      <c r="G62" s="3447">
        <v>29396</v>
      </c>
    </row>
    <row r="63" spans="1:7">
      <c r="A63" s="3447" t="s">
        <v>3468</v>
      </c>
      <c r="B63" s="3447">
        <v>3</v>
      </c>
      <c r="C63" s="3447">
        <v>825</v>
      </c>
      <c r="D63" s="3447">
        <v>64080</v>
      </c>
      <c r="E63" s="3447">
        <v>5285.7</v>
      </c>
      <c r="F63" s="3447">
        <v>113</v>
      </c>
      <c r="G63" s="3447">
        <v>29396</v>
      </c>
    </row>
    <row r="64" spans="1:7">
      <c r="A64" s="3447" t="s">
        <v>3469</v>
      </c>
      <c r="B64" s="3447">
        <v>2</v>
      </c>
      <c r="C64" s="3447">
        <v>578</v>
      </c>
      <c r="D64" s="3447">
        <v>68796</v>
      </c>
      <c r="E64" s="3447">
        <v>3975.78</v>
      </c>
      <c r="F64" s="3447">
        <v>116</v>
      </c>
      <c r="G64" s="3447">
        <v>30221</v>
      </c>
    </row>
    <row r="65" spans="1:7">
      <c r="A65" s="3447" t="s">
        <v>3470</v>
      </c>
      <c r="B65" s="3447" t="s">
        <v>633</v>
      </c>
      <c r="C65" s="3447" t="s">
        <v>633</v>
      </c>
      <c r="D65" s="3447" t="s">
        <v>633</v>
      </c>
      <c r="E65" s="3447" t="s">
        <v>633</v>
      </c>
      <c r="F65" s="3447">
        <v>117</v>
      </c>
      <c r="G65" s="3447">
        <v>30511</v>
      </c>
    </row>
    <row r="66" spans="1:7">
      <c r="A66" s="3447" t="s">
        <v>3471</v>
      </c>
      <c r="B66" s="3447">
        <v>9</v>
      </c>
      <c r="C66" s="3447">
        <v>2225</v>
      </c>
      <c r="D66" s="3447">
        <v>53080</v>
      </c>
      <c r="E66" s="3447">
        <v>11809.27</v>
      </c>
      <c r="F66" s="3447">
        <v>117</v>
      </c>
      <c r="G66" s="3447">
        <v>30511</v>
      </c>
    </row>
    <row r="67" spans="1:7">
      <c r="A67" s="3447" t="s">
        <v>3472</v>
      </c>
      <c r="B67" s="3447">
        <v>3</v>
      </c>
      <c r="C67" s="3447">
        <v>684</v>
      </c>
      <c r="D67" s="3447">
        <v>50000</v>
      </c>
      <c r="E67" s="3447">
        <v>3417.75</v>
      </c>
      <c r="F67" s="3447">
        <v>126</v>
      </c>
      <c r="G67" s="3447">
        <v>32736</v>
      </c>
    </row>
    <row r="68" spans="1:7">
      <c r="A68" s="3447" t="s">
        <v>3473</v>
      </c>
      <c r="B68" s="3447">
        <v>6</v>
      </c>
      <c r="C68" s="3447">
        <v>1448</v>
      </c>
      <c r="D68" s="3447">
        <v>49157</v>
      </c>
      <c r="E68" s="3447">
        <v>7118.92</v>
      </c>
      <c r="F68" s="3447">
        <v>129</v>
      </c>
      <c r="G68" s="3447">
        <v>33419</v>
      </c>
    </row>
    <row r="69" spans="1:7">
      <c r="A69" s="3447" t="s">
        <v>3474</v>
      </c>
      <c r="B69" s="3447">
        <v>39</v>
      </c>
      <c r="C69" s="3447">
        <v>9165</v>
      </c>
      <c r="D69" s="3447">
        <v>54879</v>
      </c>
      <c r="E69" s="3447">
        <v>50295.82</v>
      </c>
      <c r="F69" s="3447">
        <v>135</v>
      </c>
      <c r="G69" s="3447">
        <v>34868</v>
      </c>
    </row>
    <row r="70" spans="1:7">
      <c r="A70" s="3447" t="s">
        <v>3475</v>
      </c>
      <c r="B70" s="3447" t="s">
        <v>633</v>
      </c>
      <c r="C70" s="3447" t="s">
        <v>633</v>
      </c>
      <c r="D70" s="3447" t="s">
        <v>633</v>
      </c>
      <c r="E70" s="3447" t="s">
        <v>633</v>
      </c>
      <c r="F70" s="3447">
        <v>174</v>
      </c>
      <c r="G70" s="3447">
        <v>44033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3394</v>
      </c>
      <c r="D1" s="1361" t="s">
        <v>43</v>
      </c>
      <c r="E1" s="1362" t="s">
        <v>678</v>
      </c>
      <c r="F1" s="1062">
        <f ca="1">J53</f>
        <v>45.76</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2779.1091999999999</v>
      </c>
      <c r="C2" s="1386" t="s">
        <v>879</v>
      </c>
      <c r="D2" s="1470">
        <f ca="1">C40+J29+L46</f>
        <v>27791092</v>
      </c>
      <c r="E2" s="1387" t="s">
        <v>880</v>
      </c>
      <c r="F2" s="1388"/>
      <c r="G2" s="2703"/>
      <c r="H2" s="2692"/>
      <c r="I2" s="2692"/>
      <c r="J2" s="2692"/>
      <c r="K2" s="2693"/>
      <c r="L2" s="2692"/>
      <c r="M2" s="2692"/>
    </row>
    <row r="3" spans="1:37" ht="18" customHeight="1" thickBot="1">
      <c r="A3" s="1389" t="s">
        <v>881</v>
      </c>
      <c r="B3" s="1390">
        <f ca="1">IF(ISERROR(D2/F43),0,ROUND(D2/F43,0))</f>
        <v>73938</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1056762</v>
      </c>
      <c r="D5" s="1363" t="s">
        <v>889</v>
      </c>
      <c r="E5" s="1071"/>
      <c r="F5" s="1072"/>
      <c r="G5" s="1383"/>
      <c r="H5" s="299">
        <v>1</v>
      </c>
      <c r="I5" s="300" t="s">
        <v>888</v>
      </c>
      <c r="J5" s="1070">
        <f ca="1">J6+J10+J12</f>
        <v>0</v>
      </c>
      <c r="K5" s="1363" t="s">
        <v>889</v>
      </c>
      <c r="L5" s="1071"/>
      <c r="M5" s="1072"/>
    </row>
    <row r="6" spans="1:37" ht="18" customHeight="1">
      <c r="A6" s="1069" t="s">
        <v>398</v>
      </c>
      <c r="B6" s="3695" t="s">
        <v>694</v>
      </c>
      <c r="C6" s="1074">
        <f ca="1">ROUND(F6*F8*F7*(1-F9),0)</f>
        <v>1055443</v>
      </c>
      <c r="D6" s="155" t="s">
        <v>2106</v>
      </c>
      <c r="E6" s="302" t="s">
        <v>696</v>
      </c>
      <c r="F6" s="303">
        <f ca="1">INDIRECT("'数据-取费表'!u"&amp;$G$1)</f>
        <v>260</v>
      </c>
      <c r="G6" s="1383"/>
      <c r="H6" s="1069" t="s">
        <v>398</v>
      </c>
      <c r="I6" s="3695" t="s">
        <v>694</v>
      </c>
      <c r="J6" s="301">
        <f ca="1">ROUND(M6*M8*M7*(1-M9),0)</f>
        <v>0</v>
      </c>
      <c r="K6" s="1375" t="s">
        <v>2107</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375.87</v>
      </c>
      <c r="G7" s="1383"/>
      <c r="H7" s="304"/>
      <c r="I7" s="3696"/>
      <c r="J7" s="306"/>
      <c r="K7" s="307"/>
      <c r="L7" s="302" t="s">
        <v>697</v>
      </c>
      <c r="M7" s="303">
        <f ca="1">F7</f>
        <v>375.87</v>
      </c>
    </row>
    <row r="8" spans="1:37" ht="18" customHeight="1">
      <c r="A8" s="304"/>
      <c r="B8" s="3696"/>
      <c r="C8" s="306"/>
      <c r="D8" s="307"/>
      <c r="E8" s="302" t="s">
        <v>698</v>
      </c>
      <c r="F8" s="303">
        <f ca="1">INDIRECT("'数据-取费表'!ai"&amp;$G$1)</f>
        <v>12</v>
      </c>
      <c r="G8" s="1383"/>
      <c r="H8" s="304"/>
      <c r="I8" s="3696"/>
      <c r="J8" s="306"/>
      <c r="K8" s="307"/>
      <c r="L8" s="302" t="s">
        <v>698</v>
      </c>
      <c r="M8" s="303">
        <f ca="1">INDIRECT("'数据-取费表'!ai"&amp;$G$1)</f>
        <v>12</v>
      </c>
    </row>
    <row r="9" spans="1:37" ht="18" customHeight="1">
      <c r="A9" s="304"/>
      <c r="B9" s="3697"/>
      <c r="C9" s="306"/>
      <c r="D9" s="307"/>
      <c r="E9" s="302" t="s">
        <v>699</v>
      </c>
      <c r="F9" s="312">
        <f ca="1">INDIRECT("'数据-取费表'!w"&amp;$G$1)</f>
        <v>0.1</v>
      </c>
      <c r="G9" s="1383"/>
      <c r="H9" s="304"/>
      <c r="I9" s="3697"/>
      <c r="J9" s="306"/>
      <c r="K9" s="307"/>
      <c r="L9" s="313" t="s">
        <v>699</v>
      </c>
      <c r="M9" s="314">
        <f ca="1">INDIRECT("'数据-取费表'!ab"&amp;$G$1)</f>
        <v>0</v>
      </c>
    </row>
    <row r="10" spans="1:37" ht="18" customHeight="1">
      <c r="A10" s="1069" t="s">
        <v>402</v>
      </c>
      <c r="B10" s="1364" t="s">
        <v>700</v>
      </c>
      <c r="C10" s="316">
        <f ca="1">ROUND(IF(F10="押一",C6/12*F11,IF(F10="押二",C6/12*2*F11,IF(F10="押三",C6/12*3*F11,C11*F11))),0)</f>
        <v>1319</v>
      </c>
      <c r="D10" s="1365" t="s">
        <v>2116</v>
      </c>
      <c r="E10" s="313" t="s">
        <v>701</v>
      </c>
      <c r="F10" s="1116" t="s">
        <v>3493</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1948602</v>
      </c>
      <c r="D13" s="1081" t="s">
        <v>705</v>
      </c>
      <c r="E13" s="1081" t="s">
        <v>706</v>
      </c>
      <c r="F13" s="1082">
        <f ca="1">INDIRECT("'数据-取费表'!y"&amp;$G$1)</f>
        <v>0.65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1879350</v>
      </c>
      <c r="D14" s="1344" t="s">
        <v>708</v>
      </c>
      <c r="E14" s="1341"/>
      <c r="F14" s="319"/>
      <c r="G14" s="1383"/>
      <c r="H14" s="982" t="s">
        <v>398</v>
      </c>
      <c r="I14" s="302" t="s">
        <v>709</v>
      </c>
      <c r="J14" s="21">
        <f ca="1">C29</f>
        <v>2997849</v>
      </c>
      <c r="K14" s="12"/>
      <c r="L14" s="807"/>
      <c r="M14" s="808"/>
    </row>
    <row r="15" spans="1:37" s="1396" customFormat="1" ht="18" customHeight="1" thickBot="1">
      <c r="A15" s="982" t="s">
        <v>399</v>
      </c>
      <c r="B15" s="302" t="s">
        <v>710</v>
      </c>
      <c r="C15" s="21">
        <f ca="1">ROUND(C14*F15,0)</f>
        <v>93968</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187935</v>
      </c>
      <c r="D16" s="302" t="s">
        <v>711</v>
      </c>
      <c r="E16" s="302" t="s">
        <v>712</v>
      </c>
      <c r="F16" s="322">
        <f ca="1">IF(INDIRECT("'数据-取费表'!c"&amp;$G$1)="住宅",'数据-取费表'!B34,0)</f>
        <v>0.1</v>
      </c>
      <c r="G16" s="1383"/>
      <c r="H16" s="1079" t="s">
        <v>393</v>
      </c>
      <c r="I16" s="1080" t="s">
        <v>714</v>
      </c>
      <c r="J16" s="310">
        <f ca="1">ROUND(J17+J22+J23+J24,0)</f>
        <v>5996</v>
      </c>
      <c r="K16" s="1087" t="s">
        <v>715</v>
      </c>
      <c r="L16" s="1088"/>
      <c r="M16" s="1072"/>
    </row>
    <row r="17" spans="1:37" s="1396" customFormat="1" ht="18" customHeight="1">
      <c r="A17" s="982" t="s">
        <v>681</v>
      </c>
      <c r="B17" s="302" t="s">
        <v>716</v>
      </c>
      <c r="C17" s="21">
        <f ca="1">ROUND(F17*(F43+INDIRECT("'数据-取费表'!S"&amp;$G$1)),0)</f>
        <v>75174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28190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2264617</v>
      </c>
      <c r="D19" s="131" t="s">
        <v>726</v>
      </c>
      <c r="E19" s="1359"/>
      <c r="F19" s="23"/>
      <c r="G19" s="1383"/>
      <c r="H19" s="982"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2" t="s">
        <v>402</v>
      </c>
      <c r="B20" s="302" t="s">
        <v>728</v>
      </c>
      <c r="C20" s="21">
        <f ca="1">ROUND(C19*F20,0)</f>
        <v>45292</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5996</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109720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-5996</v>
      </c>
      <c r="K25" s="1095" t="s">
        <v>753</v>
      </c>
      <c r="L25" s="1096"/>
      <c r="M25" s="1097"/>
    </row>
    <row r="26" spans="1:37" ht="18" customHeight="1">
      <c r="A26" s="982" t="s">
        <v>397</v>
      </c>
      <c r="B26" s="302" t="s">
        <v>754</v>
      </c>
      <c r="C26" s="21">
        <f ca="1">ROUND((C19+C20)*F26,0)</f>
        <v>346486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2997849</v>
      </c>
      <c r="D29" s="1092"/>
      <c r="E29" s="1090"/>
      <c r="F29" s="1093"/>
      <c r="G29" s="1395"/>
      <c r="H29" s="334" t="s">
        <v>396</v>
      </c>
      <c r="I29" s="335" t="s">
        <v>768</v>
      </c>
      <c r="J29" s="336">
        <f ca="1">ROUND(J26/(1+F40)^F41,0)</f>
        <v>0</v>
      </c>
      <c r="K29" s="337" t="s">
        <v>769</v>
      </c>
      <c r="L29" s="338"/>
      <c r="M29" s="339">
        <f ca="1">INDIRECT("'数据-取费表'!k"&amp;$G$1)</f>
        <v>375.87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195425</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ROUND(IF(AND(项目基本情况!B11="自然人",项目基本情况!B10="北京市"),C6*F31/(1+'数据-取费表'!C42),C32+C33+C34),0)</f>
        <v>176912</v>
      </c>
      <c r="D31" s="1344" t="s">
        <v>720</v>
      </c>
      <c r="E31" s="1343" t="s">
        <v>770</v>
      </c>
      <c r="F31" s="2314" t="str">
        <f>IF(项目基本情况!B11="企业","——",IF(M47="住宅",IF(F6*F7*F8/12/(1+'数据-取费表'!F30)&gt;100000,4%,2.5%),IF(F6*F7*F8/12/(1+'数据-取费表'!F30)&gt;100000,12%,7%)))</f>
        <v>——</v>
      </c>
      <c r="G31" s="1383"/>
      <c r="H31" s="2805" t="s">
        <v>2306</v>
      </c>
      <c r="I31" s="1397"/>
      <c r="J31" s="1398"/>
      <c r="K31" s="2473"/>
      <c r="L31" s="2695"/>
      <c r="M31" s="2696"/>
    </row>
    <row r="32" spans="1:37" ht="18" customHeight="1">
      <c r="A32" s="982" t="s">
        <v>397</v>
      </c>
      <c r="B32" s="302" t="s">
        <v>723</v>
      </c>
      <c r="C32" s="21">
        <f ca="1">IF(项目基本情况!B11="自然人","——",ROUND(C6*F32/(1+'数据-取费表'!C42),0))</f>
        <v>56290</v>
      </c>
      <c r="D32" s="1343" t="s">
        <v>724</v>
      </c>
      <c r="E32" s="302" t="s">
        <v>712</v>
      </c>
      <c r="F32" s="331">
        <f>'数据-取费表'!B41</f>
        <v>5.6000000000000001E-2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120622</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5996</v>
      </c>
      <c r="D36" s="1343" t="s">
        <v>771</v>
      </c>
      <c r="E36" s="302" t="s">
        <v>712</v>
      </c>
      <c r="F36" s="328">
        <f ca="1">INDIRECT("'数据-取费表'!Ak"&amp;$G$1)</f>
        <v>2E-3</v>
      </c>
      <c r="G36" s="1383"/>
      <c r="H36" s="2697"/>
      <c r="I36" s="1397"/>
      <c r="J36" s="1398"/>
      <c r="K36" s="2541"/>
      <c r="L36" s="2697"/>
      <c r="M36" s="2697"/>
    </row>
    <row r="37" spans="1:18" ht="18" customHeight="1">
      <c r="A37" s="982" t="s">
        <v>437</v>
      </c>
      <c r="B37" s="302" t="s">
        <v>742</v>
      </c>
      <c r="C37" s="21">
        <f ca="1">ROUND(C13*F37,0)</f>
        <v>1949</v>
      </c>
      <c r="D37" s="1343" t="s">
        <v>743</v>
      </c>
      <c r="E37" s="302" t="s">
        <v>744</v>
      </c>
      <c r="F37" s="330">
        <f ca="1">INDIRECT("'数据-取费表'!Al"&amp;$G$1)</f>
        <v>1E-3</v>
      </c>
      <c r="G37" s="1383"/>
      <c r="H37" s="2697"/>
      <c r="I37" s="1397"/>
      <c r="J37" s="1398"/>
      <c r="K37" s="2541"/>
      <c r="L37" s="2697"/>
      <c r="M37" s="2697"/>
    </row>
    <row r="38" spans="1:18" ht="18" customHeight="1" thickBot="1">
      <c r="A38" s="1089" t="s">
        <v>684</v>
      </c>
      <c r="B38" s="1090" t="s">
        <v>728</v>
      </c>
      <c r="C38" s="1091">
        <f ca="1">ROUND(C5*F38,0)</f>
        <v>10568</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861337</v>
      </c>
      <c r="D39" s="1095" t="s">
        <v>773</v>
      </c>
      <c r="E39" s="1096"/>
      <c r="F39" s="1097"/>
      <c r="G39" s="1383"/>
      <c r="H39" s="2697"/>
      <c r="I39" s="1397"/>
      <c r="J39" s="1398"/>
      <c r="K39" s="2701"/>
      <c r="L39" s="2697"/>
      <c r="M39" s="2697"/>
    </row>
    <row r="40" spans="1:18" ht="18" customHeight="1">
      <c r="A40" s="299" t="s">
        <v>395</v>
      </c>
      <c r="B40" s="300" t="s">
        <v>774</v>
      </c>
      <c r="C40" s="301">
        <f ca="1">ROUND(C39*(1-((1+F42)/(1+F40))^F41)/(F40-F42),0)</f>
        <v>27791092</v>
      </c>
      <c r="D40" s="324" t="s">
        <v>758</v>
      </c>
      <c r="E40" s="302" t="s">
        <v>759</v>
      </c>
      <c r="F40" s="312">
        <f ca="1">INDIRECT("'数据-取费表'!I"&amp;$G$1)</f>
        <v>4.4999999999999998E-2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45.76</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73938</v>
      </c>
      <c r="D43" s="337" t="s">
        <v>777</v>
      </c>
      <c r="E43" s="338" t="s">
        <v>778</v>
      </c>
      <c r="F43" s="339">
        <f ca="1">INDIRECT("'数据-取费表'!k"&amp;$G$1)</f>
        <v>375.87</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3351</v>
      </c>
      <c r="B45" s="1399"/>
      <c r="C45" s="1471">
        <f ca="1">ROUND((C68-C40)/10000,4)</f>
        <v>-2794.4090999999999</v>
      </c>
      <c r="D45" s="3429" t="s">
        <v>3352</v>
      </c>
      <c r="E45" s="1399"/>
      <c r="F45" s="1399"/>
      <c r="O45" s="1402" t="s">
        <v>808</v>
      </c>
      <c r="P45" s="1460"/>
      <c r="Q45" s="1460"/>
      <c r="R45" s="1460"/>
    </row>
    <row r="46" spans="1:18" s="1383" customFormat="1" ht="13.8" thickBot="1">
      <c r="A46" s="1403" t="s">
        <v>809</v>
      </c>
      <c r="C46" s="1404">
        <f ca="1">ROUND(C45,0)</f>
        <v>-2794</v>
      </c>
      <c r="D46" s="1405" t="str">
        <f>C2</f>
        <v>万元</v>
      </c>
      <c r="I46" s="1406" t="s">
        <v>810</v>
      </c>
      <c r="J46" s="1407"/>
      <c r="K46" s="1408"/>
      <c r="L46" s="1409">
        <f>IF(M47="住宅",0,IF(L48&gt;J51,L60,J60))</f>
        <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t="s">
        <v>3494</v>
      </c>
      <c r="K47" s="1415" t="s">
        <v>816</v>
      </c>
      <c r="L47" s="1416">
        <f ca="1">INDIRECT("'数据-取费表'!d"&amp;$G$1)</f>
        <v>70</v>
      </c>
      <c r="M47" s="1379" t="str">
        <f>IF(ISNUMBER(FIND("住宅",C1)),"住宅","非住宅")</f>
        <v>住宅</v>
      </c>
      <c r="O47" s="1417" t="s">
        <v>403</v>
      </c>
      <c r="P47" s="1418" t="s">
        <v>817</v>
      </c>
      <c r="Q47" s="1419">
        <f ca="1">C40+J29</f>
        <v>27791092</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3495</v>
      </c>
      <c r="K48" s="1422" t="s">
        <v>820</v>
      </c>
      <c r="L48" s="1423">
        <f ca="1">INDIRECT("'数据-取费表'!f"&amp;$G$1)</f>
        <v>45.76</v>
      </c>
      <c r="O48" s="1417" t="s">
        <v>404</v>
      </c>
      <c r="P48" s="1418" t="s">
        <v>821</v>
      </c>
      <c r="Q48" s="1419" t="str">
        <f ca="1">J60</f>
        <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2997849</v>
      </c>
      <c r="R49" s="1419" t="s">
        <v>818</v>
      </c>
    </row>
    <row r="50" spans="1:18" s="1383" customFormat="1" ht="13.8" thickBot="1">
      <c r="A50" s="976"/>
      <c r="B50" s="979"/>
      <c r="C50" s="980"/>
      <c r="D50" s="953"/>
      <c r="E50" s="1056" t="s">
        <v>697</v>
      </c>
      <c r="F50" s="1057">
        <f ca="1">F7</f>
        <v>375.87</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7"/>
      <c r="B51" s="979"/>
      <c r="C51" s="980"/>
      <c r="D51" s="953"/>
      <c r="E51" s="981" t="s">
        <v>698</v>
      </c>
      <c r="F51" s="303">
        <f ca="1">F8</f>
        <v>12</v>
      </c>
      <c r="I51" s="1431" t="s">
        <v>829</v>
      </c>
      <c r="J51" s="1432">
        <f>IF(J49="",J50,J49+J50-YEAR('数据-取费表'!B2))</f>
        <v>38</v>
      </c>
      <c r="K51" s="1433" t="s">
        <v>830</v>
      </c>
      <c r="L51" s="1434">
        <f ca="1">ROUND(-PV(INDIRECT("'数据-取费表'!h"&amp;$G$1),J51,(C39-C13*C76),0),0)</f>
        <v>16682258</v>
      </c>
      <c r="M51" s="1435"/>
      <c r="O51" s="1427" t="s">
        <v>407</v>
      </c>
      <c r="P51" s="1418" t="s">
        <v>831</v>
      </c>
      <c r="Q51" s="1430">
        <f>J52</f>
        <v>0.05</v>
      </c>
      <c r="R51" s="1419"/>
    </row>
    <row r="52" spans="1:18" s="1383" customFormat="1" ht="13.8" thickBot="1">
      <c r="A52" s="977"/>
      <c r="B52" s="979"/>
      <c r="C52" s="980"/>
      <c r="D52" s="953"/>
      <c r="E52" s="981" t="s">
        <v>699</v>
      </c>
      <c r="F52" s="1054"/>
      <c r="I52" s="1436" t="s">
        <v>832</v>
      </c>
      <c r="J52" s="1437">
        <v>0.05</v>
      </c>
      <c r="K52" s="1436" t="s">
        <v>833</v>
      </c>
      <c r="L52" s="1437"/>
      <c r="O52" s="1427" t="s">
        <v>408</v>
      </c>
      <c r="P52" s="1418" t="s">
        <v>834</v>
      </c>
      <c r="Q52" s="1419">
        <f ca="1">J53</f>
        <v>45.76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45.76</v>
      </c>
      <c r="K53" s="3693" t="s">
        <v>837</v>
      </c>
      <c r="L53" s="3694"/>
      <c r="O53" s="1417" t="s">
        <v>409</v>
      </c>
      <c r="P53" s="1418" t="s">
        <v>838</v>
      </c>
      <c r="Q53" s="1419">
        <f ca="1">Q47+Q48</f>
        <v>27791092</v>
      </c>
      <c r="R53" s="1419" t="s">
        <v>410</v>
      </c>
    </row>
    <row r="54" spans="1:18" s="1383" customFormat="1" ht="13.8"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1948602</v>
      </c>
      <c r="D56" s="1446"/>
      <c r="E56" s="1447"/>
      <c r="F56" s="1439"/>
      <c r="I56" s="1448" t="s">
        <v>842</v>
      </c>
      <c r="J56" s="1449" t="s">
        <v>3393</v>
      </c>
      <c r="K56" s="1420" t="s">
        <v>843</v>
      </c>
      <c r="L56" s="1423">
        <f ca="1">IF(L48&lt;J51,"——",L48-J51)</f>
        <v>7.759999999999998</v>
      </c>
      <c r="O56" s="1417" t="s">
        <v>403</v>
      </c>
      <c r="P56" s="1418" t="s">
        <v>817</v>
      </c>
      <c r="Q56" s="1419">
        <f ca="1">C40+J29</f>
        <v>27791092</v>
      </c>
      <c r="R56" s="1419" t="s">
        <v>818</v>
      </c>
    </row>
    <row r="57" spans="1:18" s="1383" customFormat="1" ht="24.6" thickBot="1">
      <c r="A57" s="1450"/>
      <c r="B57" s="950" t="s">
        <v>767</v>
      </c>
      <c r="C57" s="238">
        <f ca="1">C29</f>
        <v>2997849</v>
      </c>
      <c r="D57" s="1451"/>
      <c r="E57" s="1452"/>
      <c r="F57" s="1453"/>
      <c r="I57" s="1454" t="s">
        <v>844</v>
      </c>
      <c r="J57" s="1455" t="str">
        <f ca="1">IF(OR(M47="住宅",J51&lt;L48,J56="是"),"——",J51-L48)</f>
        <v>——</v>
      </c>
      <c r="K57" s="1420" t="s">
        <v>892</v>
      </c>
      <c r="L57" s="1423">
        <f ca="1">IF(L48&lt;J51,"——",IF(L55="比较法",L49,IF(L55="基准地价",L50,L51)))</f>
        <v>16682258</v>
      </c>
      <c r="O57" s="1417" t="s">
        <v>404</v>
      </c>
      <c r="P57" s="1418" t="s">
        <v>893</v>
      </c>
      <c r="Q57" s="1419">
        <f ca="1">L60</f>
        <v>0</v>
      </c>
      <c r="R57" s="1419" t="s">
        <v>894</v>
      </c>
    </row>
    <row r="58" spans="1:18" s="1383" customFormat="1" ht="24.6" thickBot="1">
      <c r="A58" s="315" t="s">
        <v>393</v>
      </c>
      <c r="B58" s="958" t="s">
        <v>714</v>
      </c>
      <c r="C58" s="316">
        <f ca="1">ROUND(C59+C64+C65+C66,0)</f>
        <v>7945</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3335</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27791092</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5996</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1949</v>
      </c>
      <c r="D65" s="964" t="s">
        <v>743</v>
      </c>
      <c r="E65" s="950" t="s">
        <v>744</v>
      </c>
      <c r="F65" s="330">
        <f t="shared" ca="1" si="0"/>
        <v>1E-3</v>
      </c>
      <c r="I65" s="1461" t="s">
        <v>867</v>
      </c>
      <c r="J65" s="1462">
        <v>40</v>
      </c>
      <c r="K65" s="1462">
        <v>30</v>
      </c>
      <c r="L65" s="1462">
        <v>50</v>
      </c>
      <c r="M65" s="1464">
        <v>0.02</v>
      </c>
      <c r="O65" s="1417" t="s">
        <v>403</v>
      </c>
      <c r="P65" s="1418" t="s">
        <v>868</v>
      </c>
      <c r="Q65" s="1419">
        <f ca="1">C40+J29</f>
        <v>27791092</v>
      </c>
      <c r="R65" s="1419" t="s">
        <v>818</v>
      </c>
    </row>
    <row r="66" spans="1:18" s="1383" customFormat="1" ht="16.2"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24.6" thickBot="1">
      <c r="A67" s="957" t="s">
        <v>394</v>
      </c>
      <c r="B67" s="967" t="s">
        <v>752</v>
      </c>
      <c r="C67" s="316">
        <f ca="1">C48-C58</f>
        <v>-7945</v>
      </c>
      <c r="D67" s="963" t="s">
        <v>753</v>
      </c>
      <c r="E67" s="968"/>
      <c r="F67" s="969"/>
      <c r="O67" s="1427" t="s">
        <v>405</v>
      </c>
      <c r="P67" s="1418" t="s">
        <v>850</v>
      </c>
      <c r="Q67" s="1465">
        <f ca="1">L51</f>
        <v>16682258</v>
      </c>
      <c r="R67" s="1419" t="s">
        <v>870</v>
      </c>
    </row>
    <row r="68" spans="1:18" s="1383" customFormat="1" ht="16.2" thickBot="1">
      <c r="A68" s="947" t="s">
        <v>395</v>
      </c>
      <c r="B68" s="948" t="s">
        <v>774</v>
      </c>
      <c r="C68" s="301">
        <f ca="1">ROUND(C67*(1-((1+F70)/(1+F68))^F69)/(F68-F70),0)</f>
        <v>-152999</v>
      </c>
      <c r="D68" s="965" t="s">
        <v>758</v>
      </c>
      <c r="E68" s="950" t="s">
        <v>759</v>
      </c>
      <c r="F68" s="312">
        <f ca="1">F40</f>
        <v>4.4999999999999998E-2</v>
      </c>
      <c r="O68" s="1427" t="s">
        <v>406</v>
      </c>
      <c r="P68" s="1466" t="s">
        <v>871</v>
      </c>
      <c r="Q68" s="1419">
        <f ca="1">ROUND(Q69-Q70*Q71,0)</f>
        <v>861337</v>
      </c>
      <c r="R68" s="1419" t="s">
        <v>414</v>
      </c>
    </row>
    <row r="69" spans="1:18" s="1383" customFormat="1" ht="13.8" thickBot="1">
      <c r="A69" s="951"/>
      <c r="B69" s="952"/>
      <c r="C69" s="306"/>
      <c r="D69" s="970" t="s">
        <v>762</v>
      </c>
      <c r="E69" s="950" t="s">
        <v>763</v>
      </c>
      <c r="F69" s="333">
        <f ca="1">F41</f>
        <v>45.76</v>
      </c>
      <c r="O69" s="1427" t="s">
        <v>411</v>
      </c>
      <c r="P69" s="1466" t="s">
        <v>872</v>
      </c>
      <c r="Q69" s="1419">
        <f ca="1">C39</f>
        <v>861337</v>
      </c>
      <c r="R69" s="1419" t="s">
        <v>818</v>
      </c>
    </row>
    <row r="70" spans="1:18" s="1383" customFormat="1" ht="13.8" thickBot="1">
      <c r="A70" s="954"/>
      <c r="B70" s="955"/>
      <c r="C70" s="310"/>
      <c r="D70" s="966"/>
      <c r="E70" s="950" t="s">
        <v>766</v>
      </c>
      <c r="F70" s="1054"/>
      <c r="O70" s="1427" t="s">
        <v>412</v>
      </c>
      <c r="P70" s="1466" t="s">
        <v>873</v>
      </c>
      <c r="Q70" s="1419">
        <f ca="1">C13</f>
        <v>1948602</v>
      </c>
      <c r="R70" s="1419" t="s">
        <v>818</v>
      </c>
    </row>
    <row r="71" spans="1:18" s="1383" customFormat="1" ht="13.8" thickBot="1">
      <c r="A71" s="971" t="s">
        <v>396</v>
      </c>
      <c r="B71" s="972" t="s">
        <v>776</v>
      </c>
      <c r="C71" s="336">
        <f ca="1">ROUND(C68/F71,0)</f>
        <v>-407</v>
      </c>
      <c r="D71" s="973" t="s">
        <v>777</v>
      </c>
      <c r="E71" s="974" t="s">
        <v>778</v>
      </c>
      <c r="F71" s="339">
        <f ca="1">F43</f>
        <v>375.87</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f ca="1">Q65+Q66</f>
        <v>27791092</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0.92999999999999994</v>
      </c>
    </row>
    <row r="83" spans="2:3">
      <c r="B83" s="273" t="s">
        <v>803</v>
      </c>
      <c r="C83" s="274">
        <f ca="1">ROUND(C13/C40,3)</f>
        <v>7.0000000000000007E-2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4" t="s">
        <v>2314</v>
      </c>
      <c r="B2" s="2840" t="e">
        <f>IF(D2="——",C40,C40+E2)</f>
        <v>#DIV/0!</v>
      </c>
      <c r="C2" s="2841" t="s">
        <v>2315</v>
      </c>
      <c r="D2" s="3440" t="s">
        <v>3358</v>
      </c>
      <c r="E2" s="3441"/>
      <c r="F2" s="2843"/>
      <c r="G2" s="2844"/>
      <c r="H2" s="2845"/>
      <c r="I2" s="2846"/>
      <c r="J2" s="3698" t="s">
        <v>2316</v>
      </c>
      <c r="K2" s="3699"/>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700" t="s">
        <v>2326</v>
      </c>
      <c r="K3" s="3701"/>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700" t="s">
        <v>2328</v>
      </c>
      <c r="K4" s="3701"/>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702" t="s">
        <v>2332</v>
      </c>
      <c r="B6" s="3703"/>
      <c r="C6" s="3704"/>
      <c r="D6" s="2867"/>
      <c r="E6" s="2868"/>
      <c r="F6" s="2869"/>
      <c r="G6" s="2870"/>
      <c r="H6" s="2845"/>
      <c r="I6" s="2846"/>
      <c r="J6" s="3705">
        <v>1</v>
      </c>
      <c r="K6" s="3706"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705"/>
      <c r="K7" s="3707"/>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709" t="s">
        <v>2346</v>
      </c>
      <c r="C8" s="3710"/>
      <c r="D8" s="2886" t="s">
        <v>2347</v>
      </c>
      <c r="E8" s="2887" t="s">
        <v>2348</v>
      </c>
      <c r="F8" s="2888" t="s">
        <v>2349</v>
      </c>
      <c r="G8" s="2889"/>
      <c r="H8" s="2845"/>
      <c r="I8" s="2846"/>
      <c r="J8" s="3705"/>
      <c r="K8" s="3707"/>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709" t="s">
        <v>2352</v>
      </c>
      <c r="C9" s="3710"/>
      <c r="D9" s="2886">
        <f>ROUND(D6*E9,0)</f>
        <v>0</v>
      </c>
      <c r="E9" s="2890"/>
      <c r="F9" s="2891" t="s">
        <v>2353</v>
      </c>
      <c r="G9" s="2870"/>
      <c r="H9" s="2845"/>
      <c r="I9" s="2846"/>
      <c r="J9" s="3705"/>
      <c r="K9" s="3707"/>
      <c r="L9" s="2880" t="s">
        <v>2354</v>
      </c>
      <c r="M9" s="2881"/>
      <c r="N9" s="2857"/>
      <c r="O9" s="2882"/>
      <c r="P9" s="2882"/>
      <c r="Q9" s="2883">
        <v>365</v>
      </c>
      <c r="R9" s="2884">
        <f t="shared" si="0"/>
        <v>0</v>
      </c>
      <c r="S9" s="2838"/>
      <c r="T9" s="2838"/>
      <c r="U9" s="2838"/>
      <c r="V9" s="2846"/>
    </row>
    <row r="10" spans="1:22" s="2850" customFormat="1" ht="13.2" customHeight="1">
      <c r="A10" s="2885">
        <v>2</v>
      </c>
      <c r="B10" s="3709" t="s">
        <v>2355</v>
      </c>
      <c r="C10" s="3710"/>
      <c r="D10" s="2886">
        <f>ROUND(D6*E10,0)</f>
        <v>0</v>
      </c>
      <c r="E10" s="2890"/>
      <c r="F10" s="2891" t="s">
        <v>2356</v>
      </c>
      <c r="G10" s="2870"/>
      <c r="H10" s="2845"/>
      <c r="I10" s="2846"/>
      <c r="J10" s="3705"/>
      <c r="K10" s="3707"/>
      <c r="L10" s="2880" t="s">
        <v>2357</v>
      </c>
      <c r="M10" s="2881"/>
      <c r="N10" s="2857"/>
      <c r="O10" s="2882"/>
      <c r="P10" s="2882"/>
      <c r="Q10" s="2883">
        <v>365</v>
      </c>
      <c r="R10" s="2884">
        <f t="shared" si="0"/>
        <v>0</v>
      </c>
      <c r="S10" s="2838"/>
      <c r="T10" s="2838"/>
      <c r="U10" s="2838"/>
      <c r="V10" s="2846"/>
    </row>
    <row r="11" spans="1:22" s="2850" customFormat="1" ht="13.2" customHeight="1">
      <c r="A11" s="2885">
        <v>3</v>
      </c>
      <c r="B11" s="3709" t="s">
        <v>2358</v>
      </c>
      <c r="C11" s="3710"/>
      <c r="D11" s="2886">
        <f>D12+D14+D15+D16</f>
        <v>0</v>
      </c>
      <c r="E11" s="2892" t="e">
        <f>D11/D6</f>
        <v>#DIV/0!</v>
      </c>
      <c r="F11" s="2888"/>
      <c r="G11" s="2889"/>
      <c r="H11" s="2845"/>
      <c r="I11" s="2846"/>
      <c r="J11" s="3705"/>
      <c r="K11" s="3707"/>
      <c r="L11" s="2880" t="s">
        <v>2359</v>
      </c>
      <c r="M11" s="2881"/>
      <c r="N11" s="2857"/>
      <c r="O11" s="2882"/>
      <c r="P11" s="2882"/>
      <c r="Q11" s="2883">
        <v>365</v>
      </c>
      <c r="R11" s="2884">
        <f t="shared" si="0"/>
        <v>0</v>
      </c>
      <c r="S11" s="2838"/>
      <c r="T11" s="2838"/>
      <c r="U11" s="2838"/>
      <c r="V11" s="2846"/>
    </row>
    <row r="12" spans="1:22" s="2850" customFormat="1" ht="13.2" customHeight="1">
      <c r="A12" s="2893" t="s">
        <v>2360</v>
      </c>
      <c r="B12" s="3711" t="s">
        <v>2361</v>
      </c>
      <c r="C12" s="3712"/>
      <c r="D12" s="2894">
        <f>ROUND(D13*1.2%*(1-30%),0)</f>
        <v>0</v>
      </c>
      <c r="E12" s="2895">
        <v>1.2E-2</v>
      </c>
      <c r="F12" s="2888" t="s">
        <v>2362</v>
      </c>
      <c r="G12" s="2889"/>
      <c r="H12" s="2845"/>
      <c r="I12" s="2846"/>
      <c r="J12" s="3705"/>
      <c r="K12" s="3707"/>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705"/>
      <c r="K13" s="3707"/>
      <c r="L13" s="2880" t="s">
        <v>2365</v>
      </c>
      <c r="M13" s="2881"/>
      <c r="N13" s="2857"/>
      <c r="O13" s="2882"/>
      <c r="P13" s="2882"/>
      <c r="Q13" s="2883">
        <v>365</v>
      </c>
      <c r="R13" s="2884">
        <f t="shared" si="0"/>
        <v>0</v>
      </c>
      <c r="S13" s="2838"/>
      <c r="T13" s="2838"/>
      <c r="U13" s="2838"/>
      <c r="V13" s="2846"/>
    </row>
    <row r="14" spans="1:22" s="2850" customFormat="1" ht="13.2" customHeight="1">
      <c r="A14" s="2893" t="s">
        <v>2366</v>
      </c>
      <c r="B14" s="3711" t="s">
        <v>2367</v>
      </c>
      <c r="C14" s="3712"/>
      <c r="D14" s="2894">
        <f>ROUND(E14*B5/10000,0)</f>
        <v>0</v>
      </c>
      <c r="E14" s="2883"/>
      <c r="F14" s="2888" t="s">
        <v>2368</v>
      </c>
      <c r="G14" s="2889"/>
      <c r="H14" s="2845"/>
      <c r="I14" s="2846"/>
      <c r="J14" s="3705"/>
      <c r="K14" s="3708"/>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711" t="s">
        <v>2371</v>
      </c>
      <c r="C15" s="3712"/>
      <c r="D15" s="2894">
        <f>ROUND(D6*E15,0)</f>
        <v>0</v>
      </c>
      <c r="E15" s="2895">
        <v>5.5E-2</v>
      </c>
      <c r="F15" s="2888" t="s">
        <v>2372</v>
      </c>
      <c r="G15" s="2870"/>
      <c r="H15" s="2845"/>
      <c r="I15" s="2846"/>
      <c r="J15" s="3705">
        <v>2</v>
      </c>
      <c r="K15" s="3706"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711" t="s">
        <v>2380</v>
      </c>
      <c r="C16" s="3712"/>
      <c r="D16" s="2905">
        <f>D6*E16</f>
        <v>0</v>
      </c>
      <c r="E16" s="2906"/>
      <c r="F16" s="2891" t="s">
        <v>2381</v>
      </c>
      <c r="G16" s="2870"/>
      <c r="H16" s="2845"/>
      <c r="I16" s="2846"/>
      <c r="J16" s="3705"/>
      <c r="K16" s="3707"/>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713" t="s">
        <v>2383</v>
      </c>
      <c r="C17" s="3714"/>
      <c r="D17" s="2908">
        <f>ROUND(D6*E17,0)</f>
        <v>0</v>
      </c>
      <c r="E17" s="2909"/>
      <c r="F17" s="2910" t="s">
        <v>2384</v>
      </c>
      <c r="G17" s="2870"/>
      <c r="H17" s="2845"/>
      <c r="I17" s="2846"/>
      <c r="J17" s="3705"/>
      <c r="K17" s="3707"/>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705"/>
      <c r="K18" s="3707"/>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705"/>
      <c r="K19" s="3708"/>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05">
        <v>3</v>
      </c>
      <c r="K20" s="3706"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705"/>
      <c r="K21" s="3707"/>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705"/>
      <c r="K22" s="3707"/>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705"/>
      <c r="K23" s="3707"/>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705"/>
      <c r="K24" s="3708"/>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715">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716"/>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698" t="s">
        <v>2316</v>
      </c>
      <c r="K32" s="3699"/>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700" t="s">
        <v>2326</v>
      </c>
      <c r="K33" s="3701"/>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700" t="s">
        <v>2328</v>
      </c>
      <c r="K34" s="3701"/>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705">
        <v>1</v>
      </c>
      <c r="K36" s="3706"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705"/>
      <c r="K37" s="3707"/>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05"/>
      <c r="K38" s="3707"/>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705"/>
      <c r="K39" s="3707"/>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705"/>
      <c r="K40" s="3708"/>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715">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716"/>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4"/>
      <c r="G1" s="1488"/>
      <c r="H1" s="1488"/>
      <c r="I1" s="1488"/>
      <c r="J1" s="1488"/>
      <c r="K1" s="1488"/>
      <c r="L1" s="1488"/>
      <c r="M1" s="1488"/>
      <c r="N1" s="1488"/>
      <c r="O1" s="1488"/>
      <c r="P1" s="1488"/>
      <c r="Q1" s="1488"/>
      <c r="R1" s="1488"/>
      <c r="S1" s="1488"/>
    </row>
    <row r="2" spans="1:22" ht="15.6">
      <c r="A2" s="1869" t="s">
        <v>1462</v>
      </c>
      <c r="B2" s="1870">
        <f ca="1">SUMIF(B6:B13,"&lt;&gt;#ref!",B6:B13)</f>
        <v>2779.1091999999999</v>
      </c>
      <c r="C2" s="1871" t="s">
        <v>1651</v>
      </c>
      <c r="D2" s="1872" t="s">
        <v>1652</v>
      </c>
      <c r="E2" s="2604">
        <f>SUM(E6:E13)</f>
        <v>375.87</v>
      </c>
      <c r="F2" s="2704"/>
      <c r="G2" s="1488"/>
      <c r="H2" s="1488"/>
      <c r="I2" s="1488"/>
      <c r="J2" s="1488"/>
      <c r="K2" s="1488"/>
      <c r="L2" s="1488"/>
      <c r="M2" s="1488"/>
      <c r="N2" s="1488"/>
      <c r="O2" s="1488"/>
      <c r="P2" s="1488"/>
      <c r="Q2" s="1488"/>
      <c r="R2" s="1488"/>
      <c r="S2" s="1488"/>
    </row>
    <row r="3" spans="1:22" ht="15.6">
      <c r="A3" s="1869" t="s">
        <v>686</v>
      </c>
      <c r="B3" s="2598">
        <f ca="1">ROUND(B2*10000/E2,0)</f>
        <v>73938</v>
      </c>
      <c r="C3" s="1871" t="s">
        <v>1659</v>
      </c>
      <c r="D3" s="2706"/>
      <c r="E3" s="2708"/>
      <c r="F3" s="2704"/>
      <c r="G3" s="1488"/>
      <c r="H3" s="1488"/>
      <c r="I3" s="1488"/>
      <c r="J3" s="1488"/>
      <c r="K3" s="1488"/>
      <c r="L3" s="1488"/>
      <c r="M3" s="1488"/>
      <c r="N3" s="1488"/>
      <c r="O3" s="1488"/>
      <c r="P3" s="1488"/>
      <c r="Q3" s="1488"/>
      <c r="R3" s="1488"/>
      <c r="S3" s="1488"/>
    </row>
    <row r="4" spans="1:22" ht="15.6">
      <c r="A4" s="2709"/>
      <c r="B4" s="2706"/>
      <c r="C4" s="2706"/>
      <c r="D4" s="2706"/>
      <c r="E4" s="2708"/>
      <c r="F4" s="2704"/>
      <c r="G4" s="1488"/>
      <c r="H4" s="1488"/>
      <c r="I4" s="1488"/>
      <c r="J4" s="1488"/>
      <c r="K4" s="1488"/>
      <c r="L4" s="1488"/>
      <c r="M4" s="1488"/>
      <c r="N4" s="1488"/>
      <c r="O4" s="1488"/>
      <c r="P4" s="1488"/>
      <c r="Q4" s="1488"/>
      <c r="R4" s="1488"/>
      <c r="S4" s="1488"/>
    </row>
    <row r="5" spans="1:22" ht="14.4">
      <c r="A5" s="2600" t="s">
        <v>1653</v>
      </c>
      <c r="B5" s="3717" t="s">
        <v>1654</v>
      </c>
      <c r="C5" s="3718"/>
      <c r="D5" s="2705"/>
      <c r="E5" s="1873" t="s">
        <v>1655</v>
      </c>
      <c r="F5" s="1874" t="s">
        <v>1656</v>
      </c>
      <c r="G5" s="1488"/>
      <c r="H5" s="1488"/>
      <c r="I5" s="1488"/>
      <c r="J5" s="1488"/>
      <c r="K5" s="1488"/>
      <c r="L5" s="1488"/>
      <c r="M5" s="1488"/>
      <c r="N5" s="1488"/>
      <c r="O5" s="1488"/>
      <c r="P5" s="1488"/>
      <c r="Q5" s="1488"/>
      <c r="R5" s="1488"/>
      <c r="S5" s="1488"/>
    </row>
    <row r="6" spans="1:22" ht="14.4">
      <c r="A6" s="2601" t="str">
        <f>'数据-取费表'!AN6</f>
        <v>收益法 (元)</v>
      </c>
      <c r="B6" s="2599">
        <f ca="1">IF(F6="是",'数据-取费表'!AO6,0)</f>
        <v>2779.1091999999999</v>
      </c>
      <c r="C6" s="1871" t="s">
        <v>1651</v>
      </c>
      <c r="D6" s="2706"/>
      <c r="E6" s="2603">
        <f>IF(OR(A6=0,F6="否"),0,'数据-取费表'!K6+'数据-取费表'!S6)</f>
        <v>375.87</v>
      </c>
      <c r="F6" s="1875" t="s">
        <v>1657</v>
      </c>
      <c r="G6" s="1488"/>
      <c r="H6" s="1488"/>
      <c r="I6" s="1488"/>
      <c r="J6" s="1488"/>
      <c r="K6" s="1488"/>
      <c r="L6" s="1488"/>
      <c r="M6" s="1488"/>
      <c r="N6" s="1488"/>
      <c r="O6" s="1488"/>
      <c r="P6" s="1488"/>
      <c r="Q6" s="1488"/>
      <c r="R6" s="1488"/>
      <c r="S6" s="1488"/>
    </row>
    <row r="7" spans="1:22" ht="14.4">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ht="14.4">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ht="14.4">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ht="14.4">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1" sqref="D2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t="s">
        <v>3394</v>
      </c>
      <c r="C1" s="1858" t="s">
        <v>1563</v>
      </c>
      <c r="D1" s="198"/>
      <c r="E1" s="198"/>
      <c r="F1" s="198"/>
      <c r="G1" s="1126">
        <f>MATCH(B1,'数据-取费表'!A6:A16,0)+5</f>
        <v>6</v>
      </c>
      <c r="H1" s="1061" t="str">
        <f>IF(ISERROR(FIND("住宅",B1)),"非住宅","住宅")</f>
        <v>住宅</v>
      </c>
    </row>
    <row r="2" spans="1:8" s="200" customFormat="1" ht="18" customHeight="1">
      <c r="A2" s="201" t="s">
        <v>1462</v>
      </c>
      <c r="B2" s="3421">
        <f ca="1">ROUND(IF(D2="——",C52/10000,C52/10000-E2),4)</f>
        <v>1996.9844000000001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53130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12896674.52</v>
      </c>
      <c r="D5" s="211" t="s">
        <v>1469</v>
      </c>
      <c r="E5" s="212" t="s">
        <v>1470</v>
      </c>
      <c r="F5" s="212" t="s">
        <v>1471</v>
      </c>
      <c r="G5" s="213"/>
    </row>
    <row r="6" spans="1:8" s="214" customFormat="1" ht="13.5" customHeight="1">
      <c r="A6" s="778" t="s">
        <v>1472</v>
      </c>
      <c r="B6" s="215" t="s">
        <v>1473</v>
      </c>
      <c r="C6" s="216">
        <f>基准地价修正!C33*基准地价修正!D33</f>
        <v>12514967.52</v>
      </c>
      <c r="D6" s="217"/>
      <c r="E6" s="218"/>
      <c r="F6" s="218"/>
      <c r="G6" s="219"/>
    </row>
    <row r="7" spans="1:8" s="214" customFormat="1" ht="13.5" customHeight="1">
      <c r="A7" s="778" t="s">
        <v>1474</v>
      </c>
      <c r="B7" s="215" t="s">
        <v>1475</v>
      </c>
      <c r="C7" s="220">
        <f>ROUND(C6*F7,0)</f>
        <v>381707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5" t="s">
        <v>451</v>
      </c>
    </row>
    <row r="9" spans="1:8" s="214" customFormat="1" ht="13.5" customHeight="1">
      <c r="A9" s="779" t="s">
        <v>355</v>
      </c>
      <c r="B9" s="224" t="s">
        <v>1478</v>
      </c>
      <c r="C9" s="225">
        <f ca="1">ROUND(D9*E9,0)</f>
        <v>60139</v>
      </c>
      <c r="D9" s="845">
        <f ca="1">IF(B1="",'数据-汇总表'!E5,IF(INDIRECT("'数据-取费表'!c"&amp;$G$1)="住宅",INDIRECT("'数据-取费表'!k"&amp;$G$1),0))</f>
        <v>375.87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75174</v>
      </c>
      <c r="D19" s="849">
        <f ca="1">D9+D10</f>
        <v>375.87</v>
      </c>
      <c r="E19" s="211">
        <f>'数据-取费表'!B31</f>
        <v>200</v>
      </c>
      <c r="F19" s="231"/>
      <c r="G19" s="1855" t="s">
        <v>436</v>
      </c>
    </row>
    <row r="20" spans="1:7" s="214" customFormat="1" ht="13.5" customHeight="1">
      <c r="A20" s="255" t="s">
        <v>1574</v>
      </c>
      <c r="B20" s="210" t="s">
        <v>1575</v>
      </c>
      <c r="C20" s="232">
        <f ca="1">ROUND((C5+C19)*F20,0)</f>
        <v>259437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1273916</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1254282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7311</v>
      </c>
      <c r="D24" s="238"/>
      <c r="E24" s="238"/>
      <c r="F24" s="239"/>
      <c r="G24" s="240" t="s">
        <v>1586</v>
      </c>
    </row>
    <row r="25" spans="1:7" s="214" customFormat="1" ht="24">
      <c r="A25" s="780" t="s">
        <v>1476</v>
      </c>
      <c r="B25" s="215" t="s">
        <v>1587</v>
      </c>
      <c r="C25" s="1128">
        <f ca="1">ROUND(IF('数据-取费表'!B22&lt;=1,C20*F22*'数据-取费表'!B22/2,C20*(POWER((1+F22),'数据-取费表'!B22/2)-1)),0)</f>
        <v>12323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1984693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1984693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17871350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2264617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1879350</v>
      </c>
      <c r="D34" s="217"/>
      <c r="E34" s="220"/>
      <c r="F34" s="257"/>
      <c r="G34" s="219"/>
    </row>
    <row r="35" spans="1:7" ht="13.5" customHeight="1">
      <c r="A35" s="780" t="s">
        <v>351</v>
      </c>
      <c r="B35" s="215" t="s">
        <v>1527</v>
      </c>
      <c r="C35" s="220">
        <f ca="1">ROUND(C34*F35,0)</f>
        <v>93968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187935</v>
      </c>
      <c r="D36" s="220"/>
      <c r="E36" s="220"/>
      <c r="F36" s="259">
        <f>'数据-取费表'!B34</f>
        <v>0.1</v>
      </c>
      <c r="G36" s="260" t="s">
        <v>1530</v>
      </c>
    </row>
    <row r="37" spans="1:7" s="258" customFormat="1" ht="13.5" customHeight="1">
      <c r="A37" s="780" t="s">
        <v>353</v>
      </c>
      <c r="B37" s="215" t="s">
        <v>1531</v>
      </c>
      <c r="C37" s="249">
        <f ca="1">ROUND(E37*D37,0)</f>
        <v>75174</v>
      </c>
      <c r="D37" s="217">
        <f ca="1">D19</f>
        <v>375.87</v>
      </c>
      <c r="E37" s="249">
        <f>'数据-取费表'!B35</f>
        <v>200</v>
      </c>
      <c r="F37" s="259"/>
      <c r="G37" s="261"/>
    </row>
    <row r="38" spans="1:7" ht="13.5" customHeight="1">
      <c r="A38" s="780" t="s">
        <v>354</v>
      </c>
      <c r="B38" s="215" t="s">
        <v>1533</v>
      </c>
      <c r="C38" s="220">
        <f ca="1">ROUND(C34*F38,0)</f>
        <v>28190</v>
      </c>
      <c r="D38" s="220"/>
      <c r="E38" s="220"/>
      <c r="F38" s="259">
        <f>'数据-取费表'!B36</f>
        <v>1.4999999999999999E-2</v>
      </c>
      <c r="G38" s="219" t="s">
        <v>1528</v>
      </c>
    </row>
    <row r="39" spans="1:7" s="214" customFormat="1" ht="13.5" customHeight="1">
      <c r="A39" s="255" t="s">
        <v>1534</v>
      </c>
      <c r="B39" s="210" t="s">
        <v>1535</v>
      </c>
      <c r="C39" s="232">
        <f ca="1">ROUND(C33*F20,0)</f>
        <v>45292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109720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107569</v>
      </c>
      <c r="D42" s="238"/>
      <c r="E42" s="238"/>
      <c r="F42" s="239"/>
      <c r="G42" s="3643" t="s">
        <v>1591</v>
      </c>
    </row>
    <row r="43" spans="1:7" ht="13.5" customHeight="1">
      <c r="A43" s="780" t="s">
        <v>347</v>
      </c>
      <c r="B43" s="215" t="s">
        <v>1545</v>
      </c>
      <c r="C43" s="238">
        <f ca="1">ROUND(IF('数据-取费表'!B22&lt;=1,C39*F22*'数据-取费表'!B20/2,C39*(POWER((1+F22),'数据-取费表'!B20/2)-1)),0)</f>
        <v>2151</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346486</v>
      </c>
      <c r="D45" s="235">
        <f ca="1">C47</f>
        <v>3.0000000000000001E-3</v>
      </c>
      <c r="E45" s="236" t="s">
        <v>1539</v>
      </c>
      <c r="F45" s="246">
        <f ca="1">F27</f>
        <v>0.15</v>
      </c>
      <c r="G45" s="247" t="s">
        <v>1548</v>
      </c>
    </row>
    <row r="46" spans="1:7" s="214" customFormat="1" ht="13.5" customHeight="1">
      <c r="A46" s="780" t="s">
        <v>346</v>
      </c>
      <c r="B46" s="248" t="s">
        <v>1549</v>
      </c>
      <c r="C46" s="249">
        <f ca="1">ROUND((C33+C39)*F27,0)</f>
        <v>346486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2997849</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2098494</v>
      </c>
      <c r="D51" s="232"/>
      <c r="E51" s="232"/>
      <c r="F51" s="264"/>
      <c r="G51" s="234" t="s">
        <v>1560</v>
      </c>
    </row>
    <row r="52" spans="1:7" s="208" customFormat="1" ht="16.8" thickBot="1">
      <c r="A52" s="265" t="s">
        <v>1561</v>
      </c>
      <c r="B52" s="266"/>
      <c r="C52" s="267">
        <f ca="1">C31+C51</f>
        <v>19969844</v>
      </c>
      <c r="D52" s="266"/>
      <c r="E52" s="266"/>
      <c r="F52" s="266"/>
      <c r="G52" s="268"/>
    </row>
    <row r="55" spans="1:7" ht="15">
      <c r="B55" s="270" t="s">
        <v>1562</v>
      </c>
      <c r="C55" s="271"/>
    </row>
    <row r="56" spans="1:7">
      <c r="B56" s="273" t="s">
        <v>802</v>
      </c>
      <c r="C56" s="275">
        <f ca="1">1-C57</f>
        <v>0.89500000000000002</v>
      </c>
    </row>
    <row r="57" spans="1:7">
      <c r="B57" s="273" t="s">
        <v>803</v>
      </c>
      <c r="C57" s="274">
        <f ca="1">ROUND(C51/C52,3)</f>
        <v>0.105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375.87</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4.4">
      <c r="A4" s="355" t="s">
        <v>1769</v>
      </c>
      <c r="B4" s="356"/>
      <c r="C4" s="3665" t="s">
        <v>1770</v>
      </c>
      <c r="D4" s="3666"/>
      <c r="E4" s="3667" t="s">
        <v>1771</v>
      </c>
      <c r="F4" s="3668"/>
      <c r="G4" s="3665" t="s">
        <v>1772</v>
      </c>
      <c r="H4" s="3666"/>
      <c r="I4" s="3665" t="s">
        <v>1773</v>
      </c>
      <c r="J4" s="3666"/>
      <c r="K4" s="559" t="s">
        <v>1774</v>
      </c>
      <c r="L4" s="2712"/>
      <c r="M4" s="2713"/>
      <c r="N4" s="2713"/>
      <c r="O4" s="2713"/>
      <c r="P4" s="3669" t="s">
        <v>1775</v>
      </c>
      <c r="Q4" s="3670"/>
      <c r="R4" s="3651" t="s">
        <v>1771</v>
      </c>
      <c r="S4" s="3652"/>
      <c r="T4" s="3651" t="s">
        <v>1772</v>
      </c>
      <c r="U4" s="3652"/>
      <c r="V4" s="3677" t="s">
        <v>1773</v>
      </c>
      <c r="W4" s="3677"/>
      <c r="X4" s="1354"/>
      <c r="Y4" s="3651" t="s">
        <v>1775</v>
      </c>
      <c r="Z4" s="3652"/>
      <c r="AA4" s="3646" t="s">
        <v>1771</v>
      </c>
      <c r="AB4" s="3677" t="s">
        <v>1772</v>
      </c>
      <c r="AC4" s="3646" t="s">
        <v>1773</v>
      </c>
    </row>
    <row r="5" spans="1:29">
      <c r="A5" s="358"/>
      <c r="B5" s="359"/>
      <c r="C5" s="3657" t="s">
        <v>1673</v>
      </c>
      <c r="D5" s="3658"/>
      <c r="E5" s="3719" t="s">
        <v>1674</v>
      </c>
      <c r="F5" s="3656"/>
      <c r="G5" s="3657" t="s">
        <v>1675</v>
      </c>
      <c r="H5" s="3658"/>
      <c r="I5" s="3657" t="s">
        <v>1676</v>
      </c>
      <c r="J5" s="3658"/>
      <c r="K5" s="559"/>
      <c r="L5" s="2712"/>
      <c r="M5" s="2713"/>
      <c r="N5" s="2713"/>
      <c r="O5" s="2713"/>
      <c r="P5" s="3671"/>
      <c r="Q5" s="3672"/>
      <c r="R5" s="3653"/>
      <c r="S5" s="3654"/>
      <c r="T5" s="3653"/>
      <c r="U5" s="3654"/>
      <c r="V5" s="3677"/>
      <c r="W5" s="3677"/>
      <c r="X5" s="1354"/>
      <c r="Y5" s="3653"/>
      <c r="Z5" s="3654"/>
      <c r="AA5" s="3647"/>
      <c r="AB5" s="3677"/>
      <c r="AC5" s="3647"/>
    </row>
    <row r="6" spans="1:29" ht="15" thickBot="1">
      <c r="A6" s="360"/>
      <c r="B6" s="361"/>
      <c r="C6" s="3659" t="s">
        <v>1677</v>
      </c>
      <c r="D6" s="3660"/>
      <c r="E6" s="3662" t="s">
        <v>1677</v>
      </c>
      <c r="F6" s="3663"/>
      <c r="G6" s="3659" t="s">
        <v>1677</v>
      </c>
      <c r="H6" s="3660"/>
      <c r="I6" s="3659" t="s">
        <v>1677</v>
      </c>
      <c r="J6" s="3660"/>
      <c r="K6" s="559" t="s">
        <v>1678</v>
      </c>
      <c r="L6" s="2712"/>
      <c r="M6" s="2713"/>
      <c r="N6" s="2713"/>
      <c r="O6" s="2713"/>
      <c r="P6" s="3673"/>
      <c r="Q6" s="3674"/>
      <c r="R6" s="3653"/>
      <c r="S6" s="3654"/>
      <c r="T6" s="3675"/>
      <c r="U6" s="3676"/>
      <c r="V6" s="3677"/>
      <c r="W6" s="3677"/>
      <c r="X6" s="1354"/>
      <c r="Y6" s="3675"/>
      <c r="Z6" s="3676"/>
      <c r="AA6" s="3648"/>
      <c r="AB6" s="3677"/>
      <c r="AC6" s="3648"/>
    </row>
    <row r="7" spans="1:29" s="108" customFormat="1" ht="15" thickBot="1">
      <c r="A7" s="362" t="s">
        <v>1679</v>
      </c>
      <c r="B7" s="363"/>
      <c r="C7" s="364">
        <f>'数据-取费表'!B2</f>
        <v>45538</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49" t="s">
        <v>1683</v>
      </c>
      <c r="Q8" s="3650"/>
      <c r="R8" s="701" t="s">
        <v>14</v>
      </c>
      <c r="S8" s="702">
        <f t="shared" si="0"/>
        <v>100</v>
      </c>
      <c r="T8" s="701" t="s">
        <v>14</v>
      </c>
      <c r="U8" s="702">
        <f t="shared" si="1"/>
        <v>100</v>
      </c>
      <c r="V8" s="701" t="s">
        <v>14</v>
      </c>
      <c r="W8" s="702">
        <f t="shared" si="2"/>
        <v>100</v>
      </c>
      <c r="X8" s="703"/>
      <c r="Y8" s="3649" t="s">
        <v>1683</v>
      </c>
      <c r="Z8" s="365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64" t="s">
        <v>1686</v>
      </c>
      <c r="Q9" s="1342"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64"/>
      <c r="Q10" s="1342"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64"/>
      <c r="Q11" s="1342"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64"/>
      <c r="Q12" s="1342">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64"/>
      <c r="Q13" s="1342">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64"/>
      <c r="Q14" s="1342">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1" t="s">
        <v>1691</v>
      </c>
      <c r="Q15" s="1351" t="str">
        <f t="shared" si="6"/>
        <v>商业繁华度</v>
      </c>
      <c r="R15" s="705" t="s">
        <v>14</v>
      </c>
      <c r="S15" s="706">
        <f t="shared" si="0"/>
        <v>100</v>
      </c>
      <c r="T15" s="705" t="s">
        <v>14</v>
      </c>
      <c r="U15" s="706">
        <f t="shared" si="1"/>
        <v>100</v>
      </c>
      <c r="V15" s="705" t="s">
        <v>14</v>
      </c>
      <c r="W15" s="706">
        <f t="shared" si="2"/>
        <v>100</v>
      </c>
      <c r="X15" s="1354"/>
      <c r="Y15" s="368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92"/>
      <c r="Q16" s="1351"/>
      <c r="R16" s="705"/>
      <c r="S16" s="706"/>
      <c r="T16" s="705"/>
      <c r="U16" s="706"/>
      <c r="V16" s="705"/>
      <c r="W16" s="706"/>
      <c r="X16" s="1354"/>
      <c r="Y16" s="3685"/>
      <c r="Z16" s="1355"/>
      <c r="AA16" s="1352">
        <v>1</v>
      </c>
      <c r="AB16" s="1352">
        <v>1</v>
      </c>
      <c r="AC16" s="1352">
        <v>1</v>
      </c>
    </row>
    <row r="17" spans="1:29" ht="165.6">
      <c r="A17" s="379"/>
      <c r="B17" s="402" t="s">
        <v>1259</v>
      </c>
      <c r="C17" s="1899" t="str">
        <f>估价对象房地状况!C6</f>
        <v>估价对象周边有24路、117路、123路、132路、135路、413路、515路等多条公交线路，地铁2号线及13号线换乘站（东直门站），东直门长途汽车站等，综合评价交通便捷度较好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2"/>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92"/>
      <c r="Q18" s="1351"/>
      <c r="R18" s="705"/>
      <c r="S18" s="706"/>
      <c r="T18" s="705"/>
      <c r="U18" s="706"/>
      <c r="V18" s="705"/>
      <c r="W18" s="706"/>
      <c r="X18" s="1354"/>
      <c r="Y18" s="3685"/>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2"/>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92"/>
      <c r="Q20" s="1351"/>
      <c r="R20" s="705"/>
      <c r="S20" s="706"/>
      <c r="T20" s="705"/>
      <c r="U20" s="706"/>
      <c r="V20" s="705"/>
      <c r="W20" s="706"/>
      <c r="X20" s="1354"/>
      <c r="Y20" s="3685"/>
      <c r="Z20" s="1355"/>
      <c r="AA20" s="1352">
        <v>1</v>
      </c>
      <c r="AB20" s="1352">
        <v>1</v>
      </c>
      <c r="AC20" s="1352">
        <v>1</v>
      </c>
    </row>
    <row r="21" spans="1:29" ht="15">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2"/>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692"/>
      <c r="Q22" s="1351"/>
      <c r="R22" s="705"/>
      <c r="S22" s="706"/>
      <c r="T22" s="705"/>
      <c r="U22" s="706"/>
      <c r="V22" s="705"/>
      <c r="W22" s="706"/>
      <c r="X22" s="1354"/>
      <c r="Y22" s="3685"/>
      <c r="Z22" s="1355"/>
      <c r="AA22" s="1352">
        <v>1</v>
      </c>
      <c r="AB22" s="1352">
        <v>1</v>
      </c>
      <c r="AC22" s="1352">
        <v>1</v>
      </c>
    </row>
    <row r="23" spans="1:29" ht="96.6">
      <c r="A23" s="379"/>
      <c r="B23" s="402" t="s">
        <v>1261</v>
      </c>
      <c r="C23" s="1954" t="str">
        <f>估价对象房地状况!C9</f>
        <v>区域自然环境：亮马河、东城区亮马河公园；人文环境：工人体育场、东直门外清真寺；综合评价环境状况较好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2"/>
      <c r="Q23" s="1351" t="str">
        <f>B23</f>
        <v>自然及人文环境</v>
      </c>
      <c r="R23" s="705" t="s">
        <v>14</v>
      </c>
      <c r="S23" s="706">
        <f>F23</f>
        <v>100</v>
      </c>
      <c r="T23" s="705" t="s">
        <v>14</v>
      </c>
      <c r="U23" s="706">
        <f>H23</f>
        <v>100</v>
      </c>
      <c r="V23" s="705" t="s">
        <v>14</v>
      </c>
      <c r="W23" s="706">
        <f>J23</f>
        <v>100</v>
      </c>
      <c r="X23" s="1354"/>
      <c r="Y23" s="368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92"/>
      <c r="Q24" s="1351"/>
      <c r="R24" s="705"/>
      <c r="S24" s="706"/>
      <c r="T24" s="705"/>
      <c r="U24" s="706"/>
      <c r="V24" s="705"/>
      <c r="W24" s="706"/>
      <c r="X24" s="1354"/>
      <c r="Y24" s="368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92"/>
      <c r="Q25" s="1351" t="str">
        <f t="shared" ref="Q25:Q46" si="11">B25</f>
        <v>临街状况</v>
      </c>
      <c r="R25" s="705" t="s">
        <v>14</v>
      </c>
      <c r="S25" s="706">
        <f>F25</f>
        <v>100</v>
      </c>
      <c r="T25" s="705" t="s">
        <v>14</v>
      </c>
      <c r="U25" s="706">
        <f>H25</f>
        <v>100</v>
      </c>
      <c r="V25" s="705" t="s">
        <v>14</v>
      </c>
      <c r="W25" s="706">
        <f>J25</f>
        <v>100</v>
      </c>
      <c r="X25" s="1354"/>
      <c r="Y25" s="368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2"/>
      <c r="Q26" s="1351" t="str">
        <f t="shared" si="11"/>
        <v>平面位置/可视性</v>
      </c>
      <c r="R26" s="705" t="s">
        <v>14</v>
      </c>
      <c r="S26" s="706">
        <f>F26</f>
        <v>100</v>
      </c>
      <c r="T26" s="705" t="s">
        <v>14</v>
      </c>
      <c r="U26" s="706">
        <f>H26</f>
        <v>100</v>
      </c>
      <c r="V26" s="705" t="s">
        <v>14</v>
      </c>
      <c r="W26" s="706">
        <f>J26</f>
        <v>100</v>
      </c>
      <c r="X26" s="1354"/>
      <c r="Y26" s="368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692"/>
      <c r="Q27" s="1342" t="str">
        <f t="shared" si="11"/>
        <v>人流量</v>
      </c>
      <c r="R27" s="701" t="s">
        <v>14</v>
      </c>
      <c r="S27" s="702">
        <f>F27</f>
        <v>100</v>
      </c>
      <c r="T27" s="701" t="s">
        <v>14</v>
      </c>
      <c r="U27" s="702">
        <f>H27</f>
        <v>100</v>
      </c>
      <c r="V27" s="701" t="s">
        <v>14</v>
      </c>
      <c r="W27" s="702">
        <f>J27</f>
        <v>100</v>
      </c>
      <c r="X27" s="703"/>
      <c r="Y27" s="368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9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2"/>
      <c r="Q29" s="1351">
        <f t="shared" si="11"/>
        <v>111</v>
      </c>
      <c r="R29" s="705" t="s">
        <v>14</v>
      </c>
      <c r="S29" s="706">
        <f t="shared" si="12"/>
        <v>100</v>
      </c>
      <c r="T29" s="705" t="s">
        <v>14</v>
      </c>
      <c r="U29" s="706">
        <f t="shared" si="13"/>
        <v>100</v>
      </c>
      <c r="V29" s="705" t="s">
        <v>14</v>
      </c>
      <c r="W29" s="706">
        <f t="shared" si="14"/>
        <v>100</v>
      </c>
      <c r="X29" s="1354"/>
      <c r="Y29" s="368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2"/>
      <c r="Q30" s="1351">
        <f t="shared" si="11"/>
        <v>111</v>
      </c>
      <c r="R30" s="705" t="s">
        <v>14</v>
      </c>
      <c r="S30" s="706">
        <f t="shared" si="12"/>
        <v>100</v>
      </c>
      <c r="T30" s="705" t="s">
        <v>14</v>
      </c>
      <c r="U30" s="706">
        <f t="shared" si="13"/>
        <v>100</v>
      </c>
      <c r="V30" s="705" t="s">
        <v>14</v>
      </c>
      <c r="W30" s="706">
        <f t="shared" si="14"/>
        <v>100</v>
      </c>
      <c r="X30" s="1354"/>
      <c r="Y30" s="3685"/>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2"/>
      <c r="Q31" s="1351">
        <f t="shared" si="11"/>
        <v>111</v>
      </c>
      <c r="R31" s="705" t="s">
        <v>14</v>
      </c>
      <c r="S31" s="706">
        <f t="shared" si="12"/>
        <v>100</v>
      </c>
      <c r="T31" s="705" t="s">
        <v>14</v>
      </c>
      <c r="U31" s="706">
        <f t="shared" si="13"/>
        <v>100</v>
      </c>
      <c r="V31" s="705" t="s">
        <v>14</v>
      </c>
      <c r="W31" s="706">
        <f t="shared" si="14"/>
        <v>100</v>
      </c>
      <c r="X31" s="1354"/>
      <c r="Y31" s="368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86" t="s">
        <v>1696</v>
      </c>
      <c r="Q32" s="1351" t="str">
        <f t="shared" si="11"/>
        <v>商业类型</v>
      </c>
      <c r="R32" s="705" t="s">
        <v>14</v>
      </c>
      <c r="S32" s="706">
        <f t="shared" si="12"/>
        <v>100</v>
      </c>
      <c r="T32" s="705" t="s">
        <v>14</v>
      </c>
      <c r="U32" s="706">
        <f t="shared" si="13"/>
        <v>100</v>
      </c>
      <c r="V32" s="705" t="s">
        <v>14</v>
      </c>
      <c r="W32" s="706">
        <f t="shared" si="14"/>
        <v>100</v>
      </c>
      <c r="X32" s="1354"/>
      <c r="Y32" s="368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687"/>
      <c r="Q34" s="1351" t="str">
        <f t="shared" si="11"/>
        <v>建筑结构</v>
      </c>
      <c r="R34" s="705" t="s">
        <v>14</v>
      </c>
      <c r="S34" s="706">
        <f t="shared" si="12"/>
        <v>100</v>
      </c>
      <c r="T34" s="705" t="s">
        <v>14</v>
      </c>
      <c r="U34" s="706">
        <f t="shared" si="13"/>
        <v>100</v>
      </c>
      <c r="V34" s="705" t="s">
        <v>14</v>
      </c>
      <c r="W34" s="706">
        <f t="shared" si="14"/>
        <v>100</v>
      </c>
      <c r="X34" s="1354"/>
      <c r="Y34" s="368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87"/>
      <c r="Q35" s="1351" t="str">
        <f t="shared" si="11"/>
        <v>公共部分装修</v>
      </c>
      <c r="R35" s="705" t="s">
        <v>14</v>
      </c>
      <c r="S35" s="706">
        <f t="shared" si="12"/>
        <v>100</v>
      </c>
      <c r="T35" s="705" t="s">
        <v>14</v>
      </c>
      <c r="U35" s="706">
        <f t="shared" si="13"/>
        <v>100</v>
      </c>
      <c r="V35" s="705" t="s">
        <v>14</v>
      </c>
      <c r="W35" s="706">
        <f t="shared" si="14"/>
        <v>100</v>
      </c>
      <c r="X35" s="1354"/>
      <c r="Y35" s="368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87"/>
      <c r="Q36" s="1351" t="str">
        <f t="shared" si="11"/>
        <v>成新度</v>
      </c>
      <c r="R36" s="705" t="s">
        <v>14</v>
      </c>
      <c r="S36" s="706" t="e">
        <f t="shared" si="12"/>
        <v>#N/A</v>
      </c>
      <c r="T36" s="705" t="s">
        <v>14</v>
      </c>
      <c r="U36" s="706" t="e">
        <f t="shared" si="13"/>
        <v>#N/A</v>
      </c>
      <c r="V36" s="705" t="s">
        <v>14</v>
      </c>
      <c r="W36" s="706" t="e">
        <f t="shared" si="14"/>
        <v>#N/A</v>
      </c>
      <c r="X36" s="1354"/>
      <c r="Y36" s="368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87"/>
      <c r="Q37" s="1342"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87" t="s">
        <v>1696</v>
      </c>
      <c r="Q38" s="1351" t="str">
        <f t="shared" si="11"/>
        <v>业态</v>
      </c>
      <c r="R38" s="705" t="s">
        <v>14</v>
      </c>
      <c r="S38" s="706">
        <f t="shared" si="12"/>
        <v>100</v>
      </c>
      <c r="T38" s="705" t="s">
        <v>14</v>
      </c>
      <c r="U38" s="706">
        <f t="shared" si="13"/>
        <v>100</v>
      </c>
      <c r="V38" s="705" t="s">
        <v>14</v>
      </c>
      <c r="W38" s="706">
        <f t="shared" si="14"/>
        <v>100</v>
      </c>
      <c r="X38" s="1354"/>
      <c r="Y38" s="368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87"/>
      <c r="Q39" s="1351" t="str">
        <f t="shared" si="11"/>
        <v>层高</v>
      </c>
      <c r="R39" s="705" t="s">
        <v>14</v>
      </c>
      <c r="S39" s="706">
        <f t="shared" si="12"/>
        <v>100</v>
      </c>
      <c r="T39" s="705" t="s">
        <v>14</v>
      </c>
      <c r="U39" s="706">
        <f t="shared" si="13"/>
        <v>100</v>
      </c>
      <c r="V39" s="705" t="s">
        <v>14</v>
      </c>
      <c r="W39" s="706">
        <f t="shared" si="14"/>
        <v>100</v>
      </c>
      <c r="X39" s="1354"/>
      <c r="Y39" s="368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87"/>
      <c r="Q40" s="1351" t="str">
        <f t="shared" si="11"/>
        <v>单套建筑面积</v>
      </c>
      <c r="R40" s="705" t="s">
        <v>14</v>
      </c>
      <c r="S40" s="706">
        <f t="shared" si="12"/>
        <v>100</v>
      </c>
      <c r="T40" s="705" t="s">
        <v>14</v>
      </c>
      <c r="U40" s="706">
        <f t="shared" si="13"/>
        <v>100</v>
      </c>
      <c r="V40" s="705" t="s">
        <v>14</v>
      </c>
      <c r="W40" s="706">
        <f t="shared" si="14"/>
        <v>100</v>
      </c>
      <c r="X40" s="1354"/>
      <c r="Y40" s="368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87"/>
      <c r="Q42" s="1351" t="str">
        <f t="shared" si="11"/>
        <v>内部装修</v>
      </c>
      <c r="R42" s="705" t="s">
        <v>14</v>
      </c>
      <c r="S42" s="706">
        <f t="shared" si="12"/>
        <v>100</v>
      </c>
      <c r="T42" s="705" t="s">
        <v>14</v>
      </c>
      <c r="U42" s="706">
        <f t="shared" si="13"/>
        <v>100</v>
      </c>
      <c r="V42" s="705" t="s">
        <v>14</v>
      </c>
      <c r="W42" s="706">
        <f t="shared" si="14"/>
        <v>100</v>
      </c>
      <c r="X42" s="1354"/>
      <c r="Y42" s="3689"/>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87"/>
      <c r="Q43" s="1351" t="str">
        <f t="shared" si="11"/>
        <v>内部装修维护情况</v>
      </c>
      <c r="R43" s="705" t="s">
        <v>14</v>
      </c>
      <c r="S43" s="706">
        <f t="shared" si="12"/>
        <v>100</v>
      </c>
      <c r="T43" s="705" t="s">
        <v>14</v>
      </c>
      <c r="U43" s="706">
        <f t="shared" si="13"/>
        <v>100</v>
      </c>
      <c r="V43" s="705" t="s">
        <v>14</v>
      </c>
      <c r="W43" s="706">
        <f t="shared" si="14"/>
        <v>100</v>
      </c>
      <c r="X43" s="1354"/>
      <c r="Y43" s="368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87"/>
      <c r="Q44" s="1342">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87"/>
      <c r="Q45" s="1351">
        <f t="shared" si="11"/>
        <v>111</v>
      </c>
      <c r="R45" s="705" t="s">
        <v>14</v>
      </c>
      <c r="S45" s="706">
        <f t="shared" si="12"/>
        <v>100</v>
      </c>
      <c r="T45" s="705" t="s">
        <v>14</v>
      </c>
      <c r="U45" s="706">
        <f t="shared" si="13"/>
        <v>100</v>
      </c>
      <c r="V45" s="705" t="s">
        <v>14</v>
      </c>
      <c r="W45" s="706">
        <f t="shared" si="14"/>
        <v>100</v>
      </c>
      <c r="X45" s="1354"/>
      <c r="Y45" s="3689"/>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88"/>
      <c r="Q46" s="1351">
        <f t="shared" si="11"/>
        <v>111</v>
      </c>
      <c r="R46" s="705" t="s">
        <v>14</v>
      </c>
      <c r="S46" s="706">
        <f t="shared" si="12"/>
        <v>100</v>
      </c>
      <c r="T46" s="705" t="s">
        <v>14</v>
      </c>
      <c r="U46" s="706">
        <f t="shared" si="13"/>
        <v>100</v>
      </c>
      <c r="V46" s="705" t="s">
        <v>14</v>
      </c>
      <c r="W46" s="706">
        <f t="shared" si="14"/>
        <v>100</v>
      </c>
      <c r="X46" s="1354"/>
      <c r="Y46" s="3690"/>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21"/>
      <c r="M47" s="2722"/>
      <c r="N47" s="2713"/>
      <c r="O47" s="2722"/>
      <c r="P47" s="3682" t="str">
        <f>A47</f>
        <v>成交单价（元/平方米）</v>
      </c>
      <c r="Q47" s="3682"/>
      <c r="R47" s="3677">
        <f>E47</f>
        <v>0</v>
      </c>
      <c r="S47" s="3677"/>
      <c r="T47" s="3677">
        <f>G47</f>
        <v>0</v>
      </c>
      <c r="U47" s="3677"/>
      <c r="V47" s="3677">
        <f>I47</f>
        <v>0</v>
      </c>
      <c r="W47" s="3677"/>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1"/>
      <c r="M48" s="2722"/>
      <c r="N48" s="2713"/>
      <c r="O48" s="2722"/>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1"/>
      <c r="M49" s="2722"/>
      <c r="N49" s="2713"/>
      <c r="O49" s="2722"/>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3" t="str">
        <f>YEAR(C7)&amp;"-"&amp;MONTH(C7)</f>
        <v>2024-9</v>
      </c>
      <c r="D58" s="1184">
        <f>EDATE(C58,-1)</f>
        <v>45505</v>
      </c>
      <c r="E58" s="1184">
        <f t="shared" ref="E58:N58" si="16">EDATE(D58,-1)</f>
        <v>45474</v>
      </c>
      <c r="F58" s="1184">
        <f t="shared" si="16"/>
        <v>45444</v>
      </c>
      <c r="G58" s="1184">
        <f t="shared" si="16"/>
        <v>45413</v>
      </c>
      <c r="H58" s="1184">
        <f t="shared" si="16"/>
        <v>45383</v>
      </c>
      <c r="I58" s="1184">
        <f t="shared" si="16"/>
        <v>45352</v>
      </c>
      <c r="J58" s="1184">
        <f t="shared" si="16"/>
        <v>45323</v>
      </c>
      <c r="K58" s="1184">
        <f t="shared" si="16"/>
        <v>45292</v>
      </c>
      <c r="L58" s="1184">
        <f t="shared" si="16"/>
        <v>45261</v>
      </c>
      <c r="M58" s="1184">
        <f t="shared" si="16"/>
        <v>45231</v>
      </c>
      <c r="N58" s="1184">
        <f t="shared" si="16"/>
        <v>45200</v>
      </c>
      <c r="O58" s="1184">
        <f>EDATE(N58,-1)</f>
        <v>45170</v>
      </c>
      <c r="P58" s="2737"/>
      <c r="Q58" s="2738"/>
      <c r="R58" s="2738"/>
      <c r="S58" s="2738"/>
      <c r="T58" s="2738"/>
      <c r="U58" s="2738"/>
      <c r="V58" s="2738"/>
      <c r="W58" s="2738"/>
      <c r="X58" s="2738"/>
      <c r="Y58" s="2738"/>
      <c r="Z58" s="2738"/>
      <c r="AA58" s="2738"/>
      <c r="AB58" s="2738"/>
      <c r="AC58" s="2738"/>
    </row>
    <row r="59" spans="1:29" s="108" customFormat="1">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受贵公司委托，我公司对北京市房地产市场价值进行了预评估。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估价对象为北京市房地产，为所有。根据《国有土地使用证》[]，估价对象（分摊）出让国有建设用地使用权面积为0平方米，建筑面积为375.87平方米。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估价对象为北京市房地产,属开发建设的，该项目尚在开发建设中。根据《国有土地使用证》[]，估价对象（分摊）出让国有建设用地使用权面积为0平方米，规划建筑面积为375.87平方米。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7.399999999999999">
      <c r="A14" s="1484" t="s">
        <v>905</v>
      </c>
    </row>
    <row r="15" spans="1:1" ht="17.399999999999999">
      <c r="A15" s="1485" t="str">
        <f>TEXT(项目基本情况!D3,"yyyy年m月d日;;")&amp;IF(项目基本情况!D3=项目基本情况!B3,"（评估专业人员实地查勘之日）","")</f>
        <v>2024年9月3日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9" t="str">
        <f>IF(项目基本情况!B9="房地产市场价值","——",IF(项目基本情况!E8="房地产抵押价值",定义!C54,IF(项目基本情况!E8="已注销",定义!C55,定义!C56)))</f>
        <v>——</v>
      </c>
    </row>
    <row r="21" spans="1:1" ht="17.399999999999999">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9" t="str">
        <f>IF(项目基本情况!B9="房地产市场价值","——",IF(项目基本情况!E9="——","",定义!C57))</f>
        <v>——</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375.87</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665" t="s">
        <v>1770</v>
      </c>
      <c r="D4" s="3666"/>
      <c r="E4" s="3667" t="s">
        <v>1771</v>
      </c>
      <c r="F4" s="3668"/>
      <c r="G4" s="3665" t="s">
        <v>1772</v>
      </c>
      <c r="H4" s="3666"/>
      <c r="I4" s="3665" t="s">
        <v>1773</v>
      </c>
      <c r="J4" s="3666"/>
      <c r="K4" s="559" t="s">
        <v>1774</v>
      </c>
      <c r="L4" s="2712"/>
      <c r="M4" s="2713"/>
      <c r="N4" s="2713"/>
      <c r="O4" s="2713"/>
      <c r="P4" s="3726" t="s">
        <v>1775</v>
      </c>
      <c r="Q4" s="3727"/>
      <c r="R4" s="3721" t="s">
        <v>1771</v>
      </c>
      <c r="S4" s="3722"/>
      <c r="T4" s="3721" t="s">
        <v>1772</v>
      </c>
      <c r="U4" s="3722"/>
      <c r="V4" s="3730" t="s">
        <v>1773</v>
      </c>
      <c r="W4" s="3730"/>
      <c r="X4" s="1957"/>
      <c r="Y4" s="3721" t="s">
        <v>1775</v>
      </c>
      <c r="Z4" s="3722"/>
      <c r="AA4" s="3720" t="s">
        <v>1771</v>
      </c>
      <c r="AB4" s="3720" t="s">
        <v>1772</v>
      </c>
      <c r="AC4" s="3723" t="s">
        <v>1773</v>
      </c>
    </row>
    <row r="5" spans="1:29">
      <c r="A5" s="358"/>
      <c r="B5" s="359"/>
      <c r="C5" s="3657" t="s">
        <v>1673</v>
      </c>
      <c r="D5" s="3658"/>
      <c r="E5" s="3719" t="s">
        <v>1674</v>
      </c>
      <c r="F5" s="3656"/>
      <c r="G5" s="3657" t="s">
        <v>1675</v>
      </c>
      <c r="H5" s="3658"/>
      <c r="I5" s="3657" t="s">
        <v>1676</v>
      </c>
      <c r="J5" s="3658"/>
      <c r="K5" s="559"/>
      <c r="L5" s="2712"/>
      <c r="M5" s="2713"/>
      <c r="N5" s="2713"/>
      <c r="O5" s="2713"/>
      <c r="P5" s="3728"/>
      <c r="Q5" s="3672"/>
      <c r="R5" s="3653"/>
      <c r="S5" s="3654"/>
      <c r="T5" s="3653"/>
      <c r="U5" s="3654"/>
      <c r="V5" s="3677"/>
      <c r="W5" s="3677"/>
      <c r="X5" s="1354"/>
      <c r="Y5" s="3653"/>
      <c r="Z5" s="3654"/>
      <c r="AA5" s="3647"/>
      <c r="AB5" s="3647"/>
      <c r="AC5" s="3724"/>
    </row>
    <row r="6" spans="1:29" ht="15" thickBot="1">
      <c r="A6" s="360"/>
      <c r="B6" s="361"/>
      <c r="C6" s="3659" t="s">
        <v>1677</v>
      </c>
      <c r="D6" s="3660"/>
      <c r="E6" s="3662" t="s">
        <v>1677</v>
      </c>
      <c r="F6" s="3663"/>
      <c r="G6" s="3659" t="s">
        <v>1677</v>
      </c>
      <c r="H6" s="3660"/>
      <c r="I6" s="3659" t="s">
        <v>1677</v>
      </c>
      <c r="J6" s="3660"/>
      <c r="K6" s="559" t="s">
        <v>1678</v>
      </c>
      <c r="L6" s="2712"/>
      <c r="M6" s="2713"/>
      <c r="N6" s="2713"/>
      <c r="O6" s="2713"/>
      <c r="P6" s="3729"/>
      <c r="Q6" s="3674"/>
      <c r="R6" s="3653"/>
      <c r="S6" s="3654"/>
      <c r="T6" s="3675"/>
      <c r="U6" s="3676"/>
      <c r="V6" s="3677"/>
      <c r="W6" s="3677"/>
      <c r="X6" s="1354"/>
      <c r="Y6" s="3675"/>
      <c r="Z6" s="3676"/>
      <c r="AA6" s="3648"/>
      <c r="AB6" s="3648"/>
      <c r="AC6" s="3725"/>
    </row>
    <row r="7" spans="1:29" s="108" customFormat="1" ht="15" thickBot="1">
      <c r="A7" s="362" t="s">
        <v>1679</v>
      </c>
      <c r="B7" s="363"/>
      <c r="C7" s="364">
        <f>'数据-取费表'!B2</f>
        <v>45538</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31"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31" t="s">
        <v>1683</v>
      </c>
      <c r="Q8" s="3650"/>
      <c r="R8" s="701" t="s">
        <v>14</v>
      </c>
      <c r="S8" s="702">
        <f t="shared" si="0"/>
        <v>100</v>
      </c>
      <c r="T8" s="701" t="s">
        <v>14</v>
      </c>
      <c r="U8" s="702">
        <f t="shared" si="1"/>
        <v>100</v>
      </c>
      <c r="V8" s="701" t="s">
        <v>14</v>
      </c>
      <c r="W8" s="702">
        <f t="shared" si="2"/>
        <v>100</v>
      </c>
      <c r="X8" s="703"/>
      <c r="Y8" s="3649" t="s">
        <v>1683</v>
      </c>
      <c r="Z8" s="3650"/>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64" t="s">
        <v>1686</v>
      </c>
      <c r="Q9" s="1342"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8">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64"/>
      <c r="Q10" s="1342"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64"/>
      <c r="Q11" s="1342"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64"/>
      <c r="Q12" s="1342">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64"/>
      <c r="Q13" s="1342">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64"/>
      <c r="Q14" s="1342">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91" t="s">
        <v>1691</v>
      </c>
      <c r="Q15" s="1351" t="str">
        <f t="shared" si="6"/>
        <v>办公集聚程度</v>
      </c>
      <c r="R15" s="705" t="s">
        <v>14</v>
      </c>
      <c r="S15" s="706">
        <f t="shared" si="0"/>
        <v>100</v>
      </c>
      <c r="T15" s="705" t="s">
        <v>14</v>
      </c>
      <c r="U15" s="706">
        <f t="shared" si="1"/>
        <v>100</v>
      </c>
      <c r="V15" s="705" t="s">
        <v>14</v>
      </c>
      <c r="W15" s="706">
        <f t="shared" si="2"/>
        <v>100</v>
      </c>
      <c r="X15" s="1354"/>
      <c r="Y15" s="368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692"/>
      <c r="Q16" s="1351"/>
      <c r="R16" s="705"/>
      <c r="S16" s="706"/>
      <c r="T16" s="705"/>
      <c r="U16" s="706"/>
      <c r="V16" s="705"/>
      <c r="W16" s="706"/>
      <c r="X16" s="1354"/>
      <c r="Y16" s="3685"/>
      <c r="Z16" s="1355"/>
      <c r="AA16" s="1352">
        <v>1</v>
      </c>
      <c r="AB16" s="1352">
        <v>1</v>
      </c>
      <c r="AC16" s="1961">
        <v>1</v>
      </c>
    </row>
    <row r="17" spans="1:29" ht="165.6">
      <c r="A17" s="379"/>
      <c r="B17" s="579" t="s">
        <v>1259</v>
      </c>
      <c r="C17" s="1962" t="str">
        <f>估价对象房地状况!C6</f>
        <v>估价对象周边有24路、117路、123路、132路、135路、413路、515路等多条公交线路，地铁2号线及13号线换乘站（东直门站），东直门长途汽车站等，综合评价交通便捷度较好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92"/>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692"/>
      <c r="Q18" s="1351"/>
      <c r="R18" s="705"/>
      <c r="S18" s="706"/>
      <c r="T18" s="705"/>
      <c r="U18" s="706"/>
      <c r="V18" s="705"/>
      <c r="W18" s="706"/>
      <c r="X18" s="1354"/>
      <c r="Y18" s="3685"/>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92"/>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692"/>
      <c r="Q20" s="1351"/>
      <c r="R20" s="705"/>
      <c r="S20" s="706"/>
      <c r="T20" s="705"/>
      <c r="U20" s="706"/>
      <c r="V20" s="705"/>
      <c r="W20" s="706"/>
      <c r="X20" s="1354"/>
      <c r="Y20" s="3685"/>
      <c r="Z20" s="1355"/>
      <c r="AA20" s="1352">
        <v>1</v>
      </c>
      <c r="AB20" s="1352">
        <v>1</v>
      </c>
      <c r="AC20" s="1961">
        <v>1</v>
      </c>
    </row>
    <row r="21" spans="1:29" ht="15">
      <c r="A21" s="379"/>
      <c r="B21" s="581" t="s">
        <v>1813</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92"/>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692"/>
      <c r="Q22" s="1351"/>
      <c r="R22" s="705"/>
      <c r="S22" s="706"/>
      <c r="T22" s="705"/>
      <c r="U22" s="706"/>
      <c r="V22" s="705"/>
      <c r="W22" s="706"/>
      <c r="X22" s="1354"/>
      <c r="Y22" s="3685"/>
      <c r="Z22" s="1355"/>
      <c r="AA22" s="1352">
        <v>1</v>
      </c>
      <c r="AB22" s="1352">
        <v>1</v>
      </c>
      <c r="AC22" s="1961">
        <v>1</v>
      </c>
    </row>
    <row r="23" spans="1:29" ht="96.6">
      <c r="A23" s="379"/>
      <c r="B23" s="579" t="s">
        <v>1814</v>
      </c>
      <c r="C23" s="1962" t="str">
        <f>估价对象房地状况!C9</f>
        <v>区域自然环境：亮马河、东城区亮马河公园；人文环境：工人体育场、东直门外清真寺；综合评价环境状况较好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92"/>
      <c r="Q23" s="1351" t="str">
        <f>B23</f>
        <v>环境质量</v>
      </c>
      <c r="R23" s="705" t="s">
        <v>14</v>
      </c>
      <c r="S23" s="706">
        <f>F23</f>
        <v>100</v>
      </c>
      <c r="T23" s="705" t="s">
        <v>14</v>
      </c>
      <c r="U23" s="706">
        <f>H23</f>
        <v>100</v>
      </c>
      <c r="V23" s="705" t="s">
        <v>14</v>
      </c>
      <c r="W23" s="706">
        <f>J23</f>
        <v>100</v>
      </c>
      <c r="X23" s="1354"/>
      <c r="Y23" s="368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692"/>
      <c r="Q24" s="1351"/>
      <c r="R24" s="705"/>
      <c r="S24" s="706"/>
      <c r="T24" s="705"/>
      <c r="U24" s="706"/>
      <c r="V24" s="705"/>
      <c r="W24" s="706"/>
      <c r="X24" s="1354"/>
      <c r="Y24" s="3685"/>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92"/>
      <c r="Q25" s="1351" t="str">
        <f>B25</f>
        <v>毗邻道路的类型与等级</v>
      </c>
      <c r="R25" s="705" t="s">
        <v>14</v>
      </c>
      <c r="S25" s="706">
        <f>F25</f>
        <v>100</v>
      </c>
      <c r="T25" s="705" t="s">
        <v>14</v>
      </c>
      <c r="U25" s="706">
        <f>H25</f>
        <v>100</v>
      </c>
      <c r="V25" s="705" t="s">
        <v>14</v>
      </c>
      <c r="W25" s="706">
        <f>J25</f>
        <v>100</v>
      </c>
      <c r="X25" s="1354"/>
      <c r="Y25" s="368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692"/>
      <c r="Q26" s="1351"/>
      <c r="R26" s="705"/>
      <c r="S26" s="706"/>
      <c r="T26" s="705"/>
      <c r="U26" s="706"/>
      <c r="V26" s="705"/>
      <c r="W26" s="706"/>
      <c r="X26" s="1354"/>
      <c r="Y26" s="368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92"/>
      <c r="Q27" s="1351" t="str">
        <f t="shared" ref="Q27:Q47" si="11">B27</f>
        <v>楼层</v>
      </c>
      <c r="R27" s="705" t="s">
        <v>14</v>
      </c>
      <c r="S27" s="706">
        <f>F27</f>
        <v>100</v>
      </c>
      <c r="T27" s="705" t="s">
        <v>14</v>
      </c>
      <c r="U27" s="706">
        <f>H27</f>
        <v>100</v>
      </c>
      <c r="V27" s="705" t="s">
        <v>14</v>
      </c>
      <c r="W27" s="706">
        <f>J27</f>
        <v>100</v>
      </c>
      <c r="X27" s="1354"/>
      <c r="Y27" s="368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92"/>
      <c r="Q28" s="1342" t="str">
        <f t="shared" si="11"/>
        <v>朝向</v>
      </c>
      <c r="R28" s="701" t="s">
        <v>14</v>
      </c>
      <c r="S28" s="702">
        <f>F28</f>
        <v>100</v>
      </c>
      <c r="T28" s="701" t="s">
        <v>14</v>
      </c>
      <c r="U28" s="702">
        <f>H28</f>
        <v>100</v>
      </c>
      <c r="V28" s="701" t="s">
        <v>14</v>
      </c>
      <c r="W28" s="702">
        <f>J28</f>
        <v>100</v>
      </c>
      <c r="X28" s="703"/>
      <c r="Y28" s="368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692"/>
      <c r="Q29" s="1351">
        <f t="shared" si="11"/>
        <v>111</v>
      </c>
      <c r="R29" s="705" t="s">
        <v>14</v>
      </c>
      <c r="S29" s="706">
        <f t="shared" ref="S29:S47" si="12">F29</f>
        <v>100</v>
      </c>
      <c r="T29" s="705" t="s">
        <v>14</v>
      </c>
      <c r="U29" s="706">
        <f t="shared" ref="U29:U47" si="13">H29</f>
        <v>100</v>
      </c>
      <c r="V29" s="705" t="s">
        <v>14</v>
      </c>
      <c r="W29" s="706">
        <f t="shared" ref="W29:W47" si="14">J29</f>
        <v>100</v>
      </c>
      <c r="X29" s="1354"/>
      <c r="Y29" s="368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92"/>
      <c r="Q30" s="1351">
        <f t="shared" si="11"/>
        <v>111</v>
      </c>
      <c r="R30" s="705" t="s">
        <v>14</v>
      </c>
      <c r="S30" s="706">
        <f t="shared" si="12"/>
        <v>100</v>
      </c>
      <c r="T30" s="705" t="s">
        <v>14</v>
      </c>
      <c r="U30" s="706">
        <f t="shared" si="13"/>
        <v>100</v>
      </c>
      <c r="V30" s="705" t="s">
        <v>14</v>
      </c>
      <c r="W30" s="706">
        <f t="shared" si="14"/>
        <v>100</v>
      </c>
      <c r="X30" s="1354"/>
      <c r="Y30" s="368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92"/>
      <c r="Q31" s="1351">
        <f t="shared" si="11"/>
        <v>111</v>
      </c>
      <c r="R31" s="705" t="s">
        <v>14</v>
      </c>
      <c r="S31" s="706">
        <f t="shared" si="12"/>
        <v>100</v>
      </c>
      <c r="T31" s="705" t="s">
        <v>14</v>
      </c>
      <c r="U31" s="706">
        <f t="shared" si="13"/>
        <v>100</v>
      </c>
      <c r="V31" s="705" t="s">
        <v>14</v>
      </c>
      <c r="W31" s="706">
        <f t="shared" si="14"/>
        <v>100</v>
      </c>
      <c r="X31" s="1354"/>
      <c r="Y31" s="3685"/>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92"/>
      <c r="Q32" s="1351">
        <f t="shared" si="11"/>
        <v>111</v>
      </c>
      <c r="R32" s="705" t="s">
        <v>14</v>
      </c>
      <c r="S32" s="706">
        <f t="shared" si="12"/>
        <v>100</v>
      </c>
      <c r="T32" s="705" t="s">
        <v>14</v>
      </c>
      <c r="U32" s="706">
        <f t="shared" si="13"/>
        <v>100</v>
      </c>
      <c r="V32" s="705" t="s">
        <v>14</v>
      </c>
      <c r="W32" s="706">
        <f t="shared" si="14"/>
        <v>100</v>
      </c>
      <c r="X32" s="1354"/>
      <c r="Y32" s="368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686" t="s">
        <v>1696</v>
      </c>
      <c r="Q33" s="1351" t="str">
        <f t="shared" si="11"/>
        <v>建筑类型</v>
      </c>
      <c r="R33" s="705" t="s">
        <v>14</v>
      </c>
      <c r="S33" s="706">
        <f t="shared" si="12"/>
        <v>100</v>
      </c>
      <c r="T33" s="705" t="s">
        <v>14</v>
      </c>
      <c r="U33" s="706">
        <f t="shared" si="13"/>
        <v>100</v>
      </c>
      <c r="V33" s="705" t="s">
        <v>14</v>
      </c>
      <c r="W33" s="706">
        <f t="shared" si="14"/>
        <v>100</v>
      </c>
      <c r="X33" s="1354"/>
      <c r="Y33" s="368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87"/>
      <c r="Q35" s="1351" t="str">
        <f t="shared" si="11"/>
        <v>建筑结构</v>
      </c>
      <c r="R35" s="705" t="s">
        <v>14</v>
      </c>
      <c r="S35" s="706">
        <f t="shared" si="12"/>
        <v>100</v>
      </c>
      <c r="T35" s="705" t="s">
        <v>14</v>
      </c>
      <c r="U35" s="706">
        <f t="shared" si="13"/>
        <v>100</v>
      </c>
      <c r="V35" s="705" t="s">
        <v>14</v>
      </c>
      <c r="W35" s="706">
        <f t="shared" si="14"/>
        <v>100</v>
      </c>
      <c r="X35" s="1354"/>
      <c r="Y35" s="368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87"/>
      <c r="Q36" s="1351" t="str">
        <f t="shared" si="11"/>
        <v>公共部分装修</v>
      </c>
      <c r="R36" s="705" t="s">
        <v>14</v>
      </c>
      <c r="S36" s="706">
        <f t="shared" si="12"/>
        <v>100</v>
      </c>
      <c r="T36" s="705" t="s">
        <v>14</v>
      </c>
      <c r="U36" s="706">
        <f t="shared" si="13"/>
        <v>100</v>
      </c>
      <c r="V36" s="705" t="s">
        <v>14</v>
      </c>
      <c r="W36" s="706">
        <f t="shared" si="14"/>
        <v>100</v>
      </c>
      <c r="X36" s="1354"/>
      <c r="Y36" s="368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87"/>
      <c r="Q37" s="1351" t="str">
        <f t="shared" si="11"/>
        <v>成新度</v>
      </c>
      <c r="R37" s="705" t="s">
        <v>14</v>
      </c>
      <c r="S37" s="706" t="e">
        <f t="shared" si="12"/>
        <v>#N/A</v>
      </c>
      <c r="T37" s="705" t="s">
        <v>14</v>
      </c>
      <c r="U37" s="706" t="e">
        <f t="shared" si="13"/>
        <v>#N/A</v>
      </c>
      <c r="V37" s="705" t="s">
        <v>14</v>
      </c>
      <c r="W37" s="706" t="e">
        <f t="shared" si="14"/>
        <v>#N/A</v>
      </c>
      <c r="X37" s="1354"/>
      <c r="Y37" s="368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7"/>
      <c r="Q38" s="1342"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87" t="s">
        <v>1696</v>
      </c>
      <c r="Q39" s="1351" t="str">
        <f t="shared" si="11"/>
        <v>物业管理</v>
      </c>
      <c r="R39" s="705" t="s">
        <v>14</v>
      </c>
      <c r="S39" s="706">
        <f t="shared" si="12"/>
        <v>100</v>
      </c>
      <c r="T39" s="705" t="s">
        <v>14</v>
      </c>
      <c r="U39" s="706">
        <f t="shared" si="13"/>
        <v>100</v>
      </c>
      <c r="V39" s="705" t="s">
        <v>14</v>
      </c>
      <c r="W39" s="706">
        <f t="shared" si="14"/>
        <v>100</v>
      </c>
      <c r="X39" s="1354"/>
      <c r="Y39" s="368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87"/>
      <c r="Q40" s="1351" t="str">
        <f t="shared" si="11"/>
        <v>市政基础设施</v>
      </c>
      <c r="R40" s="705" t="s">
        <v>14</v>
      </c>
      <c r="S40" s="706">
        <f t="shared" si="12"/>
        <v>100</v>
      </c>
      <c r="T40" s="705" t="s">
        <v>14</v>
      </c>
      <c r="U40" s="706">
        <f t="shared" si="13"/>
        <v>100</v>
      </c>
      <c r="V40" s="705" t="s">
        <v>14</v>
      </c>
      <c r="W40" s="706">
        <f t="shared" si="14"/>
        <v>100</v>
      </c>
      <c r="X40" s="1354"/>
      <c r="Y40" s="368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87"/>
      <c r="Q41" s="1351" t="str">
        <f t="shared" si="11"/>
        <v>层高</v>
      </c>
      <c r="R41" s="705" t="s">
        <v>14</v>
      </c>
      <c r="S41" s="706">
        <f t="shared" si="12"/>
        <v>100</v>
      </c>
      <c r="T41" s="705" t="s">
        <v>14</v>
      </c>
      <c r="U41" s="706">
        <f t="shared" si="13"/>
        <v>100</v>
      </c>
      <c r="V41" s="705" t="s">
        <v>14</v>
      </c>
      <c r="W41" s="706">
        <f t="shared" si="14"/>
        <v>100</v>
      </c>
      <c r="X41" s="1354"/>
      <c r="Y41" s="368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87"/>
      <c r="Q43" s="1351" t="str">
        <f t="shared" si="11"/>
        <v>内部装修</v>
      </c>
      <c r="R43" s="705" t="s">
        <v>14</v>
      </c>
      <c r="S43" s="706">
        <f t="shared" si="12"/>
        <v>100</v>
      </c>
      <c r="T43" s="705" t="s">
        <v>14</v>
      </c>
      <c r="U43" s="706">
        <f t="shared" si="13"/>
        <v>100</v>
      </c>
      <c r="V43" s="705" t="s">
        <v>14</v>
      </c>
      <c r="W43" s="706">
        <f t="shared" si="14"/>
        <v>100</v>
      </c>
      <c r="X43" s="1354"/>
      <c r="Y43" s="3689"/>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87"/>
      <c r="Q44" s="1351" t="str">
        <f t="shared" si="11"/>
        <v>内部装修维护情况</v>
      </c>
      <c r="R44" s="705" t="s">
        <v>14</v>
      </c>
      <c r="S44" s="706">
        <f t="shared" si="12"/>
        <v>100</v>
      </c>
      <c r="T44" s="705" t="s">
        <v>14</v>
      </c>
      <c r="U44" s="706">
        <f t="shared" si="13"/>
        <v>100</v>
      </c>
      <c r="V44" s="705" t="s">
        <v>14</v>
      </c>
      <c r="W44" s="706">
        <f t="shared" si="14"/>
        <v>100</v>
      </c>
      <c r="X44" s="1354"/>
      <c r="Y44" s="368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87"/>
      <c r="Q45" s="1342">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7"/>
      <c r="Q46" s="1351">
        <f t="shared" si="11"/>
        <v>111</v>
      </c>
      <c r="R46" s="705" t="s">
        <v>14</v>
      </c>
      <c r="S46" s="706">
        <f t="shared" si="12"/>
        <v>100</v>
      </c>
      <c r="T46" s="705" t="s">
        <v>14</v>
      </c>
      <c r="U46" s="706">
        <f t="shared" si="13"/>
        <v>100</v>
      </c>
      <c r="V46" s="705" t="s">
        <v>14</v>
      </c>
      <c r="W46" s="706">
        <f t="shared" si="14"/>
        <v>100</v>
      </c>
      <c r="X46" s="1354"/>
      <c r="Y46" s="3689"/>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88"/>
      <c r="Q47" s="1351">
        <f t="shared" si="11"/>
        <v>111</v>
      </c>
      <c r="R47" s="705" t="s">
        <v>14</v>
      </c>
      <c r="S47" s="706">
        <f t="shared" si="12"/>
        <v>100</v>
      </c>
      <c r="T47" s="705" t="s">
        <v>14</v>
      </c>
      <c r="U47" s="706">
        <f t="shared" si="13"/>
        <v>100</v>
      </c>
      <c r="V47" s="705" t="s">
        <v>14</v>
      </c>
      <c r="W47" s="706">
        <f t="shared" si="14"/>
        <v>100</v>
      </c>
      <c r="X47" s="1354"/>
      <c r="Y47" s="3690"/>
      <c r="Z47" s="1355">
        <f t="shared" si="15"/>
        <v>111</v>
      </c>
      <c r="AA47" s="1352">
        <f t="shared" si="3"/>
        <v>1</v>
      </c>
      <c r="AB47" s="1352">
        <f t="shared" si="4"/>
        <v>1</v>
      </c>
      <c r="AC47" s="1961">
        <f t="shared" si="5"/>
        <v>1</v>
      </c>
    </row>
    <row r="48" spans="1:29" ht="14.4">
      <c r="A48" s="430" t="s">
        <v>1708</v>
      </c>
      <c r="B48" s="431"/>
      <c r="C48" s="1154" t="s">
        <v>0</v>
      </c>
      <c r="D48" s="1155"/>
      <c r="E48" s="1156"/>
      <c r="F48" s="1157"/>
      <c r="G48" s="1158"/>
      <c r="H48" s="1159"/>
      <c r="I48" s="1156"/>
      <c r="J48" s="436"/>
      <c r="K48" s="714"/>
      <c r="L48" s="2721"/>
      <c r="M48" s="2713"/>
      <c r="N48" s="2713"/>
      <c r="O48" s="2713"/>
      <c r="P48" s="3664" t="str">
        <f>A48</f>
        <v>成交单价（元/平方米）</v>
      </c>
      <c r="Q48" s="3682"/>
      <c r="R48" s="3683">
        <f>E48</f>
        <v>0</v>
      </c>
      <c r="S48" s="3683"/>
      <c r="T48" s="3683">
        <f>G48</f>
        <v>0</v>
      </c>
      <c r="U48" s="3683"/>
      <c r="V48" s="3683">
        <f>I48</f>
        <v>0</v>
      </c>
      <c r="W48" s="3683"/>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1"/>
      <c r="M49" s="2713"/>
      <c r="N49" s="2713"/>
      <c r="O49" s="2713"/>
      <c r="P49" s="3664"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3" t="str">
        <f>YEAR(C7)&amp;"-"&amp;MONTH(C7)</f>
        <v>2024-9</v>
      </c>
      <c r="D59" s="1184">
        <f>EDATE(C59,-1)</f>
        <v>45505</v>
      </c>
      <c r="E59" s="1184">
        <f>EDATE(D59,-1)</f>
        <v>45474</v>
      </c>
      <c r="F59" s="1184">
        <f t="shared" ref="F59:O59" si="16">EDATE(E59,-1)</f>
        <v>45444</v>
      </c>
      <c r="G59" s="1184">
        <f t="shared" si="16"/>
        <v>45413</v>
      </c>
      <c r="H59" s="1184">
        <f t="shared" si="16"/>
        <v>45383</v>
      </c>
      <c r="I59" s="1184">
        <f t="shared" si="16"/>
        <v>45352</v>
      </c>
      <c r="J59" s="1184">
        <f t="shared" si="16"/>
        <v>45323</v>
      </c>
      <c r="K59" s="1184">
        <f t="shared" si="16"/>
        <v>45292</v>
      </c>
      <c r="L59" s="1184">
        <f t="shared" si="16"/>
        <v>45261</v>
      </c>
      <c r="M59" s="1184">
        <f t="shared" si="16"/>
        <v>45231</v>
      </c>
      <c r="N59" s="1184">
        <f t="shared" si="16"/>
        <v>45200</v>
      </c>
      <c r="O59" s="1184">
        <f t="shared" si="16"/>
        <v>45170</v>
      </c>
      <c r="P59" s="2756"/>
      <c r="Q59" s="2738"/>
      <c r="R59" s="2738"/>
      <c r="S59" s="2738"/>
      <c r="T59" s="2738"/>
      <c r="U59" s="2738"/>
      <c r="V59" s="2738"/>
      <c r="W59" s="2738"/>
      <c r="X59" s="2738"/>
      <c r="Y59" s="2738"/>
      <c r="Z59" s="2738"/>
      <c r="AA59" s="2738"/>
      <c r="AB59" s="2738"/>
      <c r="AC59" s="2738"/>
    </row>
    <row r="60" spans="1:29" s="108" customFormat="1">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375.87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65" t="s">
        <v>1770</v>
      </c>
      <c r="D4" s="3666"/>
      <c r="E4" s="3667" t="s">
        <v>1771</v>
      </c>
      <c r="F4" s="3668"/>
      <c r="G4" s="3665" t="s">
        <v>1772</v>
      </c>
      <c r="H4" s="3666"/>
      <c r="I4" s="3665" t="s">
        <v>1773</v>
      </c>
      <c r="J4" s="3666"/>
      <c r="K4" s="559" t="s">
        <v>1774</v>
      </c>
      <c r="L4" s="913"/>
      <c r="M4" s="914"/>
      <c r="N4" s="914"/>
      <c r="O4" s="914"/>
      <c r="P4" s="3669" t="s">
        <v>1775</v>
      </c>
      <c r="Q4" s="3670"/>
      <c r="R4" s="3651" t="s">
        <v>1771</v>
      </c>
      <c r="S4" s="3652"/>
      <c r="T4" s="3651" t="s">
        <v>1772</v>
      </c>
      <c r="U4" s="3652"/>
      <c r="V4" s="3677" t="s">
        <v>1773</v>
      </c>
      <c r="W4" s="3677"/>
      <c r="X4" s="1354"/>
      <c r="Y4" s="3651" t="s">
        <v>1775</v>
      </c>
      <c r="Z4" s="3652"/>
      <c r="AA4" s="3646" t="s">
        <v>1771</v>
      </c>
      <c r="AB4" s="3647" t="s">
        <v>1772</v>
      </c>
      <c r="AC4" s="3646" t="s">
        <v>1773</v>
      </c>
    </row>
    <row r="5" spans="1:29">
      <c r="A5" s="358"/>
      <c r="B5" s="359"/>
      <c r="C5" s="3657" t="s">
        <v>1673</v>
      </c>
      <c r="D5" s="3658"/>
      <c r="E5" s="3719" t="s">
        <v>1674</v>
      </c>
      <c r="F5" s="3656"/>
      <c r="G5" s="3657" t="s">
        <v>1675</v>
      </c>
      <c r="H5" s="3658"/>
      <c r="I5" s="3657" t="s">
        <v>1676</v>
      </c>
      <c r="J5" s="3658"/>
      <c r="K5" s="559"/>
      <c r="L5" s="913"/>
      <c r="M5" s="914"/>
      <c r="N5" s="914"/>
      <c r="O5" s="914"/>
      <c r="P5" s="3671"/>
      <c r="Q5" s="3672"/>
      <c r="R5" s="3653"/>
      <c r="S5" s="3654"/>
      <c r="T5" s="3653"/>
      <c r="U5" s="3654"/>
      <c r="V5" s="3677"/>
      <c r="W5" s="3677"/>
      <c r="X5" s="1354"/>
      <c r="Y5" s="3653"/>
      <c r="Z5" s="3654"/>
      <c r="AA5" s="3647"/>
      <c r="AB5" s="3647"/>
      <c r="AC5" s="3647"/>
    </row>
    <row r="6" spans="1:29" ht="15" thickBot="1">
      <c r="A6" s="360"/>
      <c r="B6" s="361"/>
      <c r="C6" s="3659" t="s">
        <v>1677</v>
      </c>
      <c r="D6" s="3660"/>
      <c r="E6" s="3662" t="s">
        <v>1677</v>
      </c>
      <c r="F6" s="3663"/>
      <c r="G6" s="3659" t="s">
        <v>1677</v>
      </c>
      <c r="H6" s="3660"/>
      <c r="I6" s="3659" t="s">
        <v>1677</v>
      </c>
      <c r="J6" s="3660"/>
      <c r="K6" s="559" t="s">
        <v>1678</v>
      </c>
      <c r="L6" s="913"/>
      <c r="M6" s="914"/>
      <c r="N6" s="914"/>
      <c r="O6" s="914"/>
      <c r="P6" s="3673"/>
      <c r="Q6" s="3674"/>
      <c r="R6" s="3653"/>
      <c r="S6" s="3654"/>
      <c r="T6" s="3675"/>
      <c r="U6" s="3676"/>
      <c r="V6" s="3677"/>
      <c r="W6" s="3677"/>
      <c r="X6" s="1354"/>
      <c r="Y6" s="3675"/>
      <c r="Z6" s="3676"/>
      <c r="AA6" s="3648"/>
      <c r="AB6" s="3648"/>
      <c r="AC6" s="3648"/>
    </row>
    <row r="7" spans="1:29" s="108" customFormat="1" ht="15" thickBot="1">
      <c r="A7" s="362" t="s">
        <v>1679</v>
      </c>
      <c r="B7" s="363"/>
      <c r="C7" s="364">
        <f>'数据-取费表'!B2</f>
        <v>45538</v>
      </c>
      <c r="D7" s="365">
        <v>100</v>
      </c>
      <c r="E7" s="366"/>
      <c r="F7" s="367">
        <f>SUMIF(52:52,YEAR(E7)&amp;"-"&amp;MONTH(E7),53:53)</f>
        <v>0</v>
      </c>
      <c r="G7" s="366"/>
      <c r="H7" s="365">
        <f>SUMIF(52:52,YEAR(G7)&amp;"-"&amp;MONTH(G7),53:53)</f>
        <v>0</v>
      </c>
      <c r="I7" s="366"/>
      <c r="J7" s="365">
        <f>SUMIF(52:52,YEAR(I7)&amp;"-"&amp;MONTH(I7),53:53)</f>
        <v>0</v>
      </c>
      <c r="K7" s="560"/>
      <c r="L7" s="915"/>
      <c r="M7" s="916"/>
      <c r="N7" s="916"/>
      <c r="O7" s="9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9" t="s">
        <v>1683</v>
      </c>
      <c r="Q8" s="3650"/>
      <c r="R8" s="701" t="s">
        <v>14</v>
      </c>
      <c r="S8" s="702">
        <f t="shared" si="0"/>
        <v>100</v>
      </c>
      <c r="T8" s="701" t="s">
        <v>14</v>
      </c>
      <c r="U8" s="702">
        <f t="shared" si="1"/>
        <v>100</v>
      </c>
      <c r="V8" s="701" t="s">
        <v>14</v>
      </c>
      <c r="W8" s="702">
        <f t="shared" si="2"/>
        <v>100</v>
      </c>
      <c r="X8" s="703"/>
      <c r="Y8" s="3649" t="s">
        <v>1683</v>
      </c>
      <c r="Z8" s="365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2"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82"/>
      <c r="Q10" s="1342"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2"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2"/>
      <c r="Q12" s="1342">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2"/>
      <c r="Q13" s="1342">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2"/>
      <c r="Q14" s="1342">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1" t="str">
        <f t="shared" si="6"/>
        <v>产业集聚程度</v>
      </c>
      <c r="R15" s="705" t="s">
        <v>14</v>
      </c>
      <c r="S15" s="706">
        <f t="shared" si="0"/>
        <v>100</v>
      </c>
      <c r="T15" s="705" t="s">
        <v>14</v>
      </c>
      <c r="U15" s="706">
        <f t="shared" si="1"/>
        <v>100</v>
      </c>
      <c r="V15" s="705" t="s">
        <v>14</v>
      </c>
      <c r="W15" s="706">
        <f t="shared" si="2"/>
        <v>100</v>
      </c>
      <c r="X15" s="1354"/>
      <c r="Y15" s="368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5"/>
      <c r="Q16" s="1351"/>
      <c r="R16" s="705"/>
      <c r="S16" s="706"/>
      <c r="T16" s="705"/>
      <c r="U16" s="706"/>
      <c r="V16" s="705"/>
      <c r="W16" s="706"/>
      <c r="X16" s="1354"/>
      <c r="Y16" s="3685"/>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5"/>
      <c r="Q18" s="1351"/>
      <c r="R18" s="705"/>
      <c r="S18" s="706"/>
      <c r="T18" s="705"/>
      <c r="U18" s="706"/>
      <c r="V18" s="705"/>
      <c r="W18" s="706"/>
      <c r="X18" s="1354"/>
      <c r="Y18" s="3685"/>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5"/>
      <c r="Q20" s="1351"/>
      <c r="R20" s="705"/>
      <c r="S20" s="706"/>
      <c r="T20" s="705"/>
      <c r="U20" s="706"/>
      <c r="V20" s="705"/>
      <c r="W20" s="706"/>
      <c r="X20" s="1354"/>
      <c r="Y20" s="3685"/>
      <c r="Z20" s="1355"/>
      <c r="AA20" s="1352">
        <v>1</v>
      </c>
      <c r="AB20" s="1352">
        <v>1</v>
      </c>
      <c r="AC20" s="1352">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5"/>
      <c r="Q22" s="1351"/>
      <c r="R22" s="705"/>
      <c r="S22" s="706"/>
      <c r="T22" s="705"/>
      <c r="U22" s="706"/>
      <c r="V22" s="705"/>
      <c r="W22" s="706"/>
      <c r="X22" s="1354"/>
      <c r="Y22" s="3685"/>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1" t="str">
        <f>B23</f>
        <v>环境质量</v>
      </c>
      <c r="R23" s="705" t="s">
        <v>14</v>
      </c>
      <c r="S23" s="706">
        <f>F23</f>
        <v>100</v>
      </c>
      <c r="T23" s="705" t="s">
        <v>14</v>
      </c>
      <c r="U23" s="706">
        <f>H23</f>
        <v>100</v>
      </c>
      <c r="V23" s="705" t="s">
        <v>14</v>
      </c>
      <c r="W23" s="706">
        <f>J23</f>
        <v>100</v>
      </c>
      <c r="X23" s="1354"/>
      <c r="Y23" s="368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5"/>
      <c r="Q24" s="1351"/>
      <c r="R24" s="705"/>
      <c r="S24" s="706"/>
      <c r="T24" s="705"/>
      <c r="U24" s="706"/>
      <c r="V24" s="705"/>
      <c r="W24" s="706"/>
      <c r="X24" s="1354"/>
      <c r="Y24" s="368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1">
        <f>B25</f>
        <v>111</v>
      </c>
      <c r="R25" s="705" t="s">
        <v>14</v>
      </c>
      <c r="S25" s="706">
        <f>F25</f>
        <v>100</v>
      </c>
      <c r="T25" s="705" t="s">
        <v>14</v>
      </c>
      <c r="U25" s="706">
        <f>H25</f>
        <v>100</v>
      </c>
      <c r="V25" s="705" t="s">
        <v>14</v>
      </c>
      <c r="W25" s="706">
        <f>J25</f>
        <v>100</v>
      </c>
      <c r="X25" s="1354"/>
      <c r="Y25" s="368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1">
        <f t="shared" ref="Q26:Q40" si="11">B26</f>
        <v>111</v>
      </c>
      <c r="R26" s="705" t="s">
        <v>14</v>
      </c>
      <c r="S26" s="706">
        <f>F26</f>
        <v>100</v>
      </c>
      <c r="T26" s="705" t="s">
        <v>14</v>
      </c>
      <c r="U26" s="706">
        <f>H26</f>
        <v>100</v>
      </c>
      <c r="V26" s="705" t="s">
        <v>14</v>
      </c>
      <c r="W26" s="706">
        <f>J26</f>
        <v>100</v>
      </c>
      <c r="X26" s="1354"/>
      <c r="Y26" s="368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2">
        <f t="shared" si="11"/>
        <v>111</v>
      </c>
      <c r="R27" s="701" t="s">
        <v>14</v>
      </c>
      <c r="S27" s="702">
        <f>F27</f>
        <v>100</v>
      </c>
      <c r="T27" s="701" t="s">
        <v>14</v>
      </c>
      <c r="U27" s="702">
        <f>H27</f>
        <v>100</v>
      </c>
      <c r="V27" s="701" t="s">
        <v>14</v>
      </c>
      <c r="W27" s="702">
        <f>J27</f>
        <v>100</v>
      </c>
      <c r="X27" s="703"/>
      <c r="Y27" s="3685"/>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1">
        <f t="shared" si="11"/>
        <v>111</v>
      </c>
      <c r="R28" s="705" t="s">
        <v>14</v>
      </c>
      <c r="S28" s="706">
        <f t="shared" ref="S28:S40" si="12">F28</f>
        <v>100</v>
      </c>
      <c r="T28" s="705" t="s">
        <v>14</v>
      </c>
      <c r="U28" s="706">
        <f t="shared" ref="U28:U40" si="13">H28</f>
        <v>100</v>
      </c>
      <c r="V28" s="705" t="s">
        <v>14</v>
      </c>
      <c r="W28" s="706">
        <f t="shared" ref="W28:W40" si="14">J28</f>
        <v>100</v>
      </c>
      <c r="X28" s="1354"/>
      <c r="Y28" s="3685"/>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5" t="s">
        <v>1696</v>
      </c>
      <c r="Q29" s="1351" t="str">
        <f t="shared" si="11"/>
        <v>建筑类型</v>
      </c>
      <c r="R29" s="705" t="s">
        <v>14</v>
      </c>
      <c r="S29" s="706">
        <f t="shared" si="12"/>
        <v>100</v>
      </c>
      <c r="T29" s="705" t="s">
        <v>14</v>
      </c>
      <c r="U29" s="706">
        <f t="shared" si="13"/>
        <v>100</v>
      </c>
      <c r="V29" s="705" t="s">
        <v>14</v>
      </c>
      <c r="W29" s="706">
        <f t="shared" si="14"/>
        <v>100</v>
      </c>
      <c r="X29" s="1354"/>
      <c r="Y29" s="368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1" t="str">
        <f t="shared" si="11"/>
        <v>建筑结构</v>
      </c>
      <c r="R31" s="705" t="s">
        <v>14</v>
      </c>
      <c r="S31" s="706">
        <f t="shared" si="12"/>
        <v>100</v>
      </c>
      <c r="T31" s="705" t="s">
        <v>14</v>
      </c>
      <c r="U31" s="706">
        <f t="shared" si="13"/>
        <v>100</v>
      </c>
      <c r="V31" s="705" t="s">
        <v>14</v>
      </c>
      <c r="W31" s="706">
        <f t="shared" si="14"/>
        <v>100</v>
      </c>
      <c r="X31" s="1354"/>
      <c r="Y31" s="368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1" t="str">
        <f t="shared" si="11"/>
        <v>公共部分装修</v>
      </c>
      <c r="R32" s="705" t="s">
        <v>14</v>
      </c>
      <c r="S32" s="706">
        <f t="shared" si="12"/>
        <v>100</v>
      </c>
      <c r="T32" s="705" t="s">
        <v>14</v>
      </c>
      <c r="U32" s="706">
        <f t="shared" si="13"/>
        <v>100</v>
      </c>
      <c r="V32" s="705" t="s">
        <v>14</v>
      </c>
      <c r="W32" s="706">
        <f t="shared" si="14"/>
        <v>100</v>
      </c>
      <c r="X32" s="1354"/>
      <c r="Y32" s="368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1" t="str">
        <f t="shared" si="11"/>
        <v>成新度</v>
      </c>
      <c r="R33" s="705" t="s">
        <v>14</v>
      </c>
      <c r="S33" s="706" t="e">
        <f t="shared" si="12"/>
        <v>#N/A</v>
      </c>
      <c r="T33" s="705" t="s">
        <v>14</v>
      </c>
      <c r="U33" s="706" t="e">
        <f t="shared" si="13"/>
        <v>#N/A</v>
      </c>
      <c r="V33" s="705" t="s">
        <v>14</v>
      </c>
      <c r="W33" s="706" t="e">
        <f t="shared" si="14"/>
        <v>#N/A</v>
      </c>
      <c r="X33" s="1354"/>
      <c r="Y33" s="368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2"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1" t="str">
        <f t="shared" si="11"/>
        <v>市政基础设施</v>
      </c>
      <c r="R35" s="705" t="s">
        <v>14</v>
      </c>
      <c r="S35" s="706">
        <f t="shared" si="12"/>
        <v>100</v>
      </c>
      <c r="T35" s="705" t="s">
        <v>14</v>
      </c>
      <c r="U35" s="706">
        <f t="shared" si="13"/>
        <v>100</v>
      </c>
      <c r="V35" s="705" t="s">
        <v>14</v>
      </c>
      <c r="W35" s="706">
        <f t="shared" si="14"/>
        <v>100</v>
      </c>
      <c r="X35" s="1354"/>
      <c r="Y35" s="368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1" t="str">
        <f t="shared" si="11"/>
        <v>内部装修</v>
      </c>
      <c r="R36" s="705" t="s">
        <v>14</v>
      </c>
      <c r="S36" s="706">
        <f t="shared" si="12"/>
        <v>100</v>
      </c>
      <c r="T36" s="705" t="s">
        <v>14</v>
      </c>
      <c r="U36" s="706">
        <f t="shared" si="13"/>
        <v>100</v>
      </c>
      <c r="V36" s="705" t="s">
        <v>14</v>
      </c>
      <c r="W36" s="706">
        <f t="shared" si="14"/>
        <v>100</v>
      </c>
      <c r="X36" s="1354"/>
      <c r="Y36" s="368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1" t="str">
        <f t="shared" si="11"/>
        <v>内部装修状况</v>
      </c>
      <c r="R37" s="705" t="s">
        <v>14</v>
      </c>
      <c r="S37" s="706">
        <f t="shared" si="12"/>
        <v>100</v>
      </c>
      <c r="T37" s="705" t="s">
        <v>14</v>
      </c>
      <c r="U37" s="706">
        <f t="shared" si="13"/>
        <v>100</v>
      </c>
      <c r="V37" s="705" t="s">
        <v>14</v>
      </c>
      <c r="W37" s="706">
        <f t="shared" si="14"/>
        <v>100</v>
      </c>
      <c r="X37" s="1354"/>
      <c r="Y37" s="368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1">
        <f t="shared" si="11"/>
        <v>111</v>
      </c>
      <c r="R39" s="705" t="s">
        <v>14</v>
      </c>
      <c r="S39" s="706">
        <f t="shared" si="12"/>
        <v>100</v>
      </c>
      <c r="T39" s="705" t="s">
        <v>14</v>
      </c>
      <c r="U39" s="706">
        <f t="shared" si="13"/>
        <v>100</v>
      </c>
      <c r="V39" s="705" t="s">
        <v>14</v>
      </c>
      <c r="W39" s="706">
        <f t="shared" si="14"/>
        <v>100</v>
      </c>
      <c r="X39" s="1354"/>
      <c r="Y39" s="3689"/>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1">
        <f t="shared" si="11"/>
        <v>111</v>
      </c>
      <c r="R40" s="705" t="s">
        <v>14</v>
      </c>
      <c r="S40" s="706">
        <f t="shared" si="12"/>
        <v>100</v>
      </c>
      <c r="T40" s="705" t="s">
        <v>14</v>
      </c>
      <c r="U40" s="706">
        <f t="shared" si="13"/>
        <v>100</v>
      </c>
      <c r="V40" s="705" t="s">
        <v>14</v>
      </c>
      <c r="W40" s="706">
        <f t="shared" si="14"/>
        <v>100</v>
      </c>
      <c r="X40" s="1354"/>
      <c r="Y40" s="3690"/>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2024-9</v>
      </c>
      <c r="D52" s="1184">
        <f>EDATE(C52,-1)</f>
        <v>45505</v>
      </c>
      <c r="E52" s="1184">
        <f t="shared" ref="E52:O52" si="16">EDATE(D52,-1)</f>
        <v>45474</v>
      </c>
      <c r="F52" s="1184">
        <f t="shared" si="16"/>
        <v>45444</v>
      </c>
      <c r="G52" s="1184">
        <f t="shared" si="16"/>
        <v>45413</v>
      </c>
      <c r="H52" s="1184">
        <f t="shared" si="16"/>
        <v>45383</v>
      </c>
      <c r="I52" s="1184">
        <f t="shared" si="16"/>
        <v>45352</v>
      </c>
      <c r="J52" s="1184">
        <f t="shared" si="16"/>
        <v>45323</v>
      </c>
      <c r="K52" s="1184">
        <f t="shared" si="16"/>
        <v>45292</v>
      </c>
      <c r="L52" s="1184">
        <f t="shared" si="16"/>
        <v>45261</v>
      </c>
      <c r="M52" s="1184">
        <f t="shared" si="16"/>
        <v>45231</v>
      </c>
      <c r="N52" s="1184">
        <f t="shared" si="16"/>
        <v>45200</v>
      </c>
      <c r="O52" s="1184">
        <f t="shared" si="16"/>
        <v>45170</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3332</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665" t="s">
        <v>1770</v>
      </c>
      <c r="D4" s="3666"/>
      <c r="E4" s="3667" t="s">
        <v>1771</v>
      </c>
      <c r="F4" s="3668"/>
      <c r="G4" s="3665" t="s">
        <v>1772</v>
      </c>
      <c r="H4" s="3666"/>
      <c r="I4" s="3665" t="s">
        <v>1773</v>
      </c>
      <c r="J4" s="3666"/>
      <c r="K4" s="559" t="s">
        <v>1774</v>
      </c>
      <c r="L4" s="2712"/>
      <c r="M4" s="2713"/>
      <c r="N4" s="2713"/>
      <c r="O4" s="2713"/>
      <c r="P4" s="3669" t="s">
        <v>1775</v>
      </c>
      <c r="Q4" s="3670"/>
      <c r="R4" s="3651" t="s">
        <v>1771</v>
      </c>
      <c r="S4" s="3652"/>
      <c r="T4" s="3651" t="s">
        <v>1772</v>
      </c>
      <c r="U4" s="3652"/>
      <c r="V4" s="3677" t="s">
        <v>1773</v>
      </c>
      <c r="W4" s="3677"/>
      <c r="X4" s="1354"/>
      <c r="Y4" s="3651" t="s">
        <v>1775</v>
      </c>
      <c r="Z4" s="3652"/>
      <c r="AA4" s="3646" t="s">
        <v>1771</v>
      </c>
      <c r="AB4" s="3647" t="s">
        <v>1772</v>
      </c>
      <c r="AC4" s="3646" t="s">
        <v>1773</v>
      </c>
    </row>
    <row r="5" spans="1:29">
      <c r="A5" s="358"/>
      <c r="B5" s="359"/>
      <c r="C5" s="3657" t="s">
        <v>1673</v>
      </c>
      <c r="D5" s="3658"/>
      <c r="E5" s="3719" t="s">
        <v>1674</v>
      </c>
      <c r="F5" s="3656"/>
      <c r="G5" s="3657" t="s">
        <v>1675</v>
      </c>
      <c r="H5" s="3658"/>
      <c r="I5" s="3657" t="s">
        <v>1676</v>
      </c>
      <c r="J5" s="3658"/>
      <c r="K5" s="559"/>
      <c r="L5" s="2712"/>
      <c r="M5" s="2713"/>
      <c r="N5" s="2713"/>
      <c r="O5" s="2713"/>
      <c r="P5" s="3671"/>
      <c r="Q5" s="3672"/>
      <c r="R5" s="3653"/>
      <c r="S5" s="3654"/>
      <c r="T5" s="3653"/>
      <c r="U5" s="3654"/>
      <c r="V5" s="3677"/>
      <c r="W5" s="3677"/>
      <c r="X5" s="1354"/>
      <c r="Y5" s="3653"/>
      <c r="Z5" s="3654"/>
      <c r="AA5" s="3647"/>
      <c r="AB5" s="3647"/>
      <c r="AC5" s="3647"/>
    </row>
    <row r="6" spans="1:29" ht="15" thickBot="1">
      <c r="A6" s="360"/>
      <c r="B6" s="361"/>
      <c r="C6" s="3659" t="s">
        <v>1677</v>
      </c>
      <c r="D6" s="3660"/>
      <c r="E6" s="3662" t="s">
        <v>1677</v>
      </c>
      <c r="F6" s="3663"/>
      <c r="G6" s="3659" t="s">
        <v>1677</v>
      </c>
      <c r="H6" s="3660"/>
      <c r="I6" s="3659" t="s">
        <v>1677</v>
      </c>
      <c r="J6" s="3660"/>
      <c r="K6" s="559" t="s">
        <v>1678</v>
      </c>
      <c r="L6" s="2712"/>
      <c r="M6" s="2713"/>
      <c r="N6" s="2713"/>
      <c r="O6" s="2713"/>
      <c r="P6" s="3673"/>
      <c r="Q6" s="3674"/>
      <c r="R6" s="3653"/>
      <c r="S6" s="3654"/>
      <c r="T6" s="3675"/>
      <c r="U6" s="3676"/>
      <c r="V6" s="3677"/>
      <c r="W6" s="3677"/>
      <c r="X6" s="1354"/>
      <c r="Y6" s="3675"/>
      <c r="Z6" s="3676"/>
      <c r="AA6" s="3648"/>
      <c r="AB6" s="3648"/>
      <c r="AC6" s="3648"/>
    </row>
    <row r="7" spans="1:29" s="108" customFormat="1" ht="15" thickBot="1">
      <c r="A7" s="362" t="s">
        <v>1679</v>
      </c>
      <c r="B7" s="363"/>
      <c r="C7" s="364">
        <f>'数据-取费表'!B2</f>
        <v>45538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49" t="s">
        <v>1680</v>
      </c>
      <c r="Q7" s="3678"/>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49" t="s">
        <v>1683</v>
      </c>
      <c r="Q8" s="3650"/>
      <c r="R8" s="701" t="s">
        <v>14</v>
      </c>
      <c r="S8" s="702">
        <f t="shared" si="0"/>
        <v>100</v>
      </c>
      <c r="T8" s="701" t="s">
        <v>14</v>
      </c>
      <c r="U8" s="702">
        <f t="shared" si="1"/>
        <v>100</v>
      </c>
      <c r="V8" s="701" t="s">
        <v>14</v>
      </c>
      <c r="W8" s="702">
        <f t="shared" si="2"/>
        <v>100</v>
      </c>
      <c r="X8" s="703"/>
      <c r="Y8" s="3649" t="s">
        <v>1683</v>
      </c>
      <c r="Z8" s="365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82" t="s">
        <v>1686</v>
      </c>
      <c r="Q9" s="1342"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82"/>
      <c r="Q10" s="1342"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82"/>
      <c r="Q11" s="1342">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82"/>
      <c r="Q12" s="1342">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82"/>
      <c r="Q13" s="1342">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93.2">
      <c r="A14" s="355" t="s">
        <v>1690</v>
      </c>
      <c r="B14" s="577" t="s">
        <v>1833</v>
      </c>
      <c r="C14" s="1970" t="str">
        <f>IF(B1="工业",估价对象房地状况!G4,估价对象房地状况!C6)</f>
        <v>估价对象周边有24路、117路、123路、132路、135路、413路、515路等多条公交线路，地铁2号线及13号线换乘站（东直门站），东直门长途汽车站等，综合评价交通便捷度较好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4" t="s">
        <v>1691</v>
      </c>
      <c r="Q14" s="1351" t="str">
        <f t="shared" si="6"/>
        <v>交通便捷度</v>
      </c>
      <c r="R14" s="705" t="s">
        <v>14</v>
      </c>
      <c r="S14" s="706">
        <f t="shared" si="0"/>
        <v>100</v>
      </c>
      <c r="T14" s="705" t="s">
        <v>14</v>
      </c>
      <c r="U14" s="706">
        <f t="shared" si="1"/>
        <v>100</v>
      </c>
      <c r="V14" s="705" t="s">
        <v>14</v>
      </c>
      <c r="W14" s="706">
        <f t="shared" si="2"/>
        <v>100</v>
      </c>
      <c r="X14" s="1354"/>
      <c r="Y14" s="368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85"/>
      <c r="Q15" s="1351"/>
      <c r="R15" s="705"/>
      <c r="S15" s="706"/>
      <c r="T15" s="705"/>
      <c r="U15" s="706"/>
      <c r="V15" s="705"/>
      <c r="W15" s="706"/>
      <c r="X15" s="1354"/>
      <c r="Y15" s="3685"/>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5"/>
      <c r="Q16" s="1351" t="str">
        <f>B16</f>
        <v>公共配套设施</v>
      </c>
      <c r="R16" s="705" t="s">
        <v>14</v>
      </c>
      <c r="S16" s="706">
        <f>F16</f>
        <v>100</v>
      </c>
      <c r="T16" s="705" t="s">
        <v>14</v>
      </c>
      <c r="U16" s="706">
        <f>H16</f>
        <v>100</v>
      </c>
      <c r="V16" s="705" t="s">
        <v>14</v>
      </c>
      <c r="W16" s="706">
        <f>J16</f>
        <v>100</v>
      </c>
      <c r="X16" s="1354"/>
      <c r="Y16" s="368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85"/>
      <c r="Q17" s="1351"/>
      <c r="R17" s="705"/>
      <c r="S17" s="706"/>
      <c r="T17" s="705"/>
      <c r="U17" s="706"/>
      <c r="V17" s="705"/>
      <c r="W17" s="706"/>
      <c r="X17" s="1354"/>
      <c r="Y17" s="3685"/>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5"/>
      <c r="Q18" s="1351" t="str">
        <f>B18</f>
        <v>基础设施水平</v>
      </c>
      <c r="R18" s="705" t="s">
        <v>14</v>
      </c>
      <c r="S18" s="706">
        <f>F18</f>
        <v>100</v>
      </c>
      <c r="T18" s="705" t="s">
        <v>14</v>
      </c>
      <c r="U18" s="706">
        <f>H18</f>
        <v>100</v>
      </c>
      <c r="V18" s="705" t="s">
        <v>14</v>
      </c>
      <c r="W18" s="706">
        <f>J18</f>
        <v>100</v>
      </c>
      <c r="X18" s="1354"/>
      <c r="Y18" s="368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685"/>
      <c r="Q19" s="1351"/>
      <c r="R19" s="705"/>
      <c r="S19" s="706"/>
      <c r="T19" s="705"/>
      <c r="U19" s="706"/>
      <c r="V19" s="705"/>
      <c r="W19" s="706"/>
      <c r="X19" s="1354"/>
      <c r="Y19" s="3685"/>
      <c r="Z19" s="1355"/>
      <c r="AA19" s="1352">
        <v>1</v>
      </c>
      <c r="AB19" s="1352">
        <v>1</v>
      </c>
      <c r="AC19" s="1352">
        <v>1</v>
      </c>
    </row>
    <row r="20" spans="1:29" ht="124.2">
      <c r="A20" s="358"/>
      <c r="B20" s="579" t="s">
        <v>1834</v>
      </c>
      <c r="C20" s="1899" t="str">
        <f>IF(B1="工业",估价对象房地状况!G7,估价对象房地状况!C9)</f>
        <v>区域自然环境：亮马河、东城区亮马河公园；人文环境：工人体育场、东直门外清真寺；综合评价环境状况较好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5"/>
      <c r="Q20" s="1351" t="str">
        <f>B20</f>
        <v>自然及人文环境</v>
      </c>
      <c r="R20" s="705" t="s">
        <v>14</v>
      </c>
      <c r="S20" s="706">
        <f>F20</f>
        <v>100</v>
      </c>
      <c r="T20" s="705" t="s">
        <v>14</v>
      </c>
      <c r="U20" s="706">
        <f>H20</f>
        <v>100</v>
      </c>
      <c r="V20" s="705" t="s">
        <v>14</v>
      </c>
      <c r="W20" s="706">
        <f>J20</f>
        <v>100</v>
      </c>
      <c r="X20" s="1354"/>
      <c r="Y20" s="368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85"/>
      <c r="Q21" s="1351"/>
      <c r="R21" s="705"/>
      <c r="S21" s="706"/>
      <c r="T21" s="705"/>
      <c r="U21" s="706"/>
      <c r="V21" s="705"/>
      <c r="W21" s="706"/>
      <c r="X21" s="1354"/>
      <c r="Y21" s="368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5"/>
      <c r="Q22" s="1351" t="str">
        <f>B22</f>
        <v>楼层</v>
      </c>
      <c r="R22" s="705" t="s">
        <v>14</v>
      </c>
      <c r="S22" s="706">
        <f>F22</f>
        <v>100</v>
      </c>
      <c r="T22" s="705" t="s">
        <v>14</v>
      </c>
      <c r="U22" s="706">
        <f>H22</f>
        <v>100</v>
      </c>
      <c r="V22" s="705" t="s">
        <v>14</v>
      </c>
      <c r="W22" s="706">
        <f>J22</f>
        <v>100</v>
      </c>
      <c r="X22" s="1354"/>
      <c r="Y22" s="368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5"/>
      <c r="Q23" s="1351">
        <f>B23</f>
        <v>111</v>
      </c>
      <c r="R23" s="705" t="s">
        <v>14</v>
      </c>
      <c r="S23" s="706">
        <f>F23</f>
        <v>100</v>
      </c>
      <c r="T23" s="705" t="s">
        <v>14</v>
      </c>
      <c r="U23" s="706">
        <f>H23</f>
        <v>100</v>
      </c>
      <c r="V23" s="705" t="s">
        <v>14</v>
      </c>
      <c r="W23" s="706">
        <f>J23</f>
        <v>100</v>
      </c>
      <c r="X23" s="1354"/>
      <c r="Y23" s="368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5"/>
      <c r="Q24" s="1351">
        <f t="shared" ref="Q24:Q36" si="11">B24</f>
        <v>111</v>
      </c>
      <c r="R24" s="705" t="s">
        <v>14</v>
      </c>
      <c r="S24" s="706">
        <f>F24</f>
        <v>100</v>
      </c>
      <c r="T24" s="705" t="s">
        <v>14</v>
      </c>
      <c r="U24" s="706">
        <f>H24</f>
        <v>100</v>
      </c>
      <c r="V24" s="705" t="s">
        <v>14</v>
      </c>
      <c r="W24" s="706">
        <f>J24</f>
        <v>100</v>
      </c>
      <c r="X24" s="1354"/>
      <c r="Y24" s="3685"/>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85"/>
      <c r="Q25" s="1342">
        <f t="shared" si="11"/>
        <v>111</v>
      </c>
      <c r="R25" s="701" t="s">
        <v>14</v>
      </c>
      <c r="S25" s="702">
        <f>F25</f>
        <v>100</v>
      </c>
      <c r="T25" s="701" t="s">
        <v>14</v>
      </c>
      <c r="U25" s="702">
        <f>H25</f>
        <v>100</v>
      </c>
      <c r="V25" s="701" t="s">
        <v>14</v>
      </c>
      <c r="W25" s="702">
        <f>J25</f>
        <v>100</v>
      </c>
      <c r="X25" s="703"/>
      <c r="Y25" s="3685"/>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89"/>
      <c r="Q28" s="1351" t="str">
        <f t="shared" si="11"/>
        <v>公共部分装修</v>
      </c>
      <c r="R28" s="705" t="s">
        <v>14</v>
      </c>
      <c r="S28" s="706">
        <f t="shared" si="12"/>
        <v>100</v>
      </c>
      <c r="T28" s="705" t="s">
        <v>14</v>
      </c>
      <c r="U28" s="706">
        <f t="shared" si="13"/>
        <v>100</v>
      </c>
      <c r="V28" s="705" t="s">
        <v>14</v>
      </c>
      <c r="W28" s="706">
        <f t="shared" si="14"/>
        <v>100</v>
      </c>
      <c r="X28" s="1354"/>
      <c r="Y28" s="368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89"/>
      <c r="Q29" s="1351" t="str">
        <f t="shared" si="11"/>
        <v>成新率</v>
      </c>
      <c r="R29" s="705" t="s">
        <v>14</v>
      </c>
      <c r="S29" s="706" t="e">
        <f t="shared" si="12"/>
        <v>#N/A</v>
      </c>
      <c r="T29" s="705" t="s">
        <v>14</v>
      </c>
      <c r="U29" s="706" t="e">
        <f t="shared" si="13"/>
        <v>#N/A</v>
      </c>
      <c r="V29" s="705" t="s">
        <v>14</v>
      </c>
      <c r="W29" s="706" t="e">
        <f t="shared" si="14"/>
        <v>#N/A</v>
      </c>
      <c r="X29" s="1354"/>
      <c r="Y29" s="368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89"/>
      <c r="Q30" s="1351" t="str">
        <f t="shared" si="11"/>
        <v>物业等级</v>
      </c>
      <c r="R30" s="705" t="s">
        <v>14</v>
      </c>
      <c r="S30" s="706">
        <f t="shared" si="12"/>
        <v>100</v>
      </c>
      <c r="T30" s="705" t="s">
        <v>14</v>
      </c>
      <c r="U30" s="706">
        <f t="shared" si="13"/>
        <v>100</v>
      </c>
      <c r="V30" s="705" t="s">
        <v>14</v>
      </c>
      <c r="W30" s="706">
        <f t="shared" si="14"/>
        <v>100</v>
      </c>
      <c r="X30" s="1354"/>
      <c r="Y30" s="368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89"/>
      <c r="Q31" s="1342"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89" t="s">
        <v>1696</v>
      </c>
      <c r="Q32" s="1351" t="str">
        <f t="shared" si="11"/>
        <v>车位类型</v>
      </c>
      <c r="R32" s="705" t="s">
        <v>14</v>
      </c>
      <c r="S32" s="706">
        <f t="shared" si="12"/>
        <v>100</v>
      </c>
      <c r="T32" s="705" t="s">
        <v>14</v>
      </c>
      <c r="U32" s="706">
        <f t="shared" si="13"/>
        <v>100</v>
      </c>
      <c r="V32" s="705" t="s">
        <v>14</v>
      </c>
      <c r="W32" s="706">
        <f t="shared" si="14"/>
        <v>100</v>
      </c>
      <c r="X32" s="1354"/>
      <c r="Y32" s="368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89"/>
      <c r="Q33" s="1351" t="str">
        <f t="shared" si="11"/>
        <v>是否直接入户</v>
      </c>
      <c r="R33" s="705" t="s">
        <v>14</v>
      </c>
      <c r="S33" s="706">
        <f t="shared" si="12"/>
        <v>100</v>
      </c>
      <c r="T33" s="705" t="s">
        <v>14</v>
      </c>
      <c r="U33" s="706">
        <f t="shared" si="13"/>
        <v>100</v>
      </c>
      <c r="V33" s="705" t="s">
        <v>14</v>
      </c>
      <c r="W33" s="706">
        <f t="shared" si="14"/>
        <v>100</v>
      </c>
      <c r="X33" s="1354"/>
      <c r="Y33" s="368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89"/>
      <c r="Q34" s="1351">
        <f t="shared" si="11"/>
        <v>111</v>
      </c>
      <c r="R34" s="705" t="s">
        <v>14</v>
      </c>
      <c r="S34" s="706">
        <f t="shared" si="12"/>
        <v>100</v>
      </c>
      <c r="T34" s="705" t="s">
        <v>14</v>
      </c>
      <c r="U34" s="706">
        <f t="shared" si="13"/>
        <v>100</v>
      </c>
      <c r="V34" s="705" t="s">
        <v>14</v>
      </c>
      <c r="W34" s="706">
        <f t="shared" si="14"/>
        <v>100</v>
      </c>
      <c r="X34" s="1354"/>
      <c r="Y34" s="368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89"/>
      <c r="Q36" s="1351">
        <f t="shared" si="11"/>
        <v>111</v>
      </c>
      <c r="R36" s="705" t="s">
        <v>14</v>
      </c>
      <c r="S36" s="706">
        <f t="shared" si="12"/>
        <v>100</v>
      </c>
      <c r="T36" s="705" t="s">
        <v>14</v>
      </c>
      <c r="U36" s="706">
        <f t="shared" si="13"/>
        <v>100</v>
      </c>
      <c r="V36" s="705" t="s">
        <v>14</v>
      </c>
      <c r="W36" s="706">
        <f t="shared" si="14"/>
        <v>100</v>
      </c>
      <c r="X36" s="1354"/>
      <c r="Y36" s="3689"/>
      <c r="Z36" s="1355">
        <f t="shared" si="15"/>
        <v>111</v>
      </c>
      <c r="AA36" s="1352">
        <f t="shared" si="3"/>
        <v>1</v>
      </c>
      <c r="AB36" s="1352">
        <f t="shared" si="4"/>
        <v>1</v>
      </c>
      <c r="AC36" s="1352">
        <f t="shared" si="5"/>
        <v>1</v>
      </c>
    </row>
    <row r="37" spans="1:29" ht="14.4">
      <c r="A37" s="430" t="s">
        <v>1844</v>
      </c>
      <c r="B37" s="1972" t="s">
        <v>3353</v>
      </c>
      <c r="C37" s="1154" t="s">
        <v>0</v>
      </c>
      <c r="D37" s="1155"/>
      <c r="E37" s="1156"/>
      <c r="F37" s="1157"/>
      <c r="G37" s="1158"/>
      <c r="H37" s="1159"/>
      <c r="I37" s="1156"/>
      <c r="J37" s="1159"/>
      <c r="K37" s="568"/>
      <c r="L37" s="2721"/>
      <c r="M37" s="2722"/>
      <c r="N37" s="2713"/>
      <c r="O37" s="2722"/>
      <c r="P37" s="3682" t="str">
        <f>A37</f>
        <v>成交单价</v>
      </c>
      <c r="Q37" s="3682"/>
      <c r="R37" s="3683">
        <f>E37</f>
        <v>0</v>
      </c>
      <c r="S37" s="3683"/>
      <c r="T37" s="3683">
        <f>G37</f>
        <v>0</v>
      </c>
      <c r="U37" s="3683"/>
      <c r="V37" s="3683">
        <f>I37</f>
        <v>0</v>
      </c>
      <c r="W37" s="3683"/>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1"/>
      <c r="M38" s="2722"/>
      <c r="N38" s="2722"/>
      <c r="O38" s="2722"/>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679" t="str">
        <f>A39</f>
        <v>估价对象XX用房的比较价值（楼面单价，元/平方米）</v>
      </c>
      <c r="Q39" s="3680"/>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3" t="str">
        <f>YEAR(C7)&amp;"-"&amp;MONTH(C7)</f>
        <v>2024-9</v>
      </c>
      <c r="D48" s="1184">
        <f>EDATE(C48,-1)</f>
        <v>45505</v>
      </c>
      <c r="E48" s="1184">
        <f t="shared" ref="E48:O48" si="16">EDATE(D48,-1)</f>
        <v>45474</v>
      </c>
      <c r="F48" s="1184">
        <f t="shared" si="16"/>
        <v>45444</v>
      </c>
      <c r="G48" s="1184">
        <f t="shared" si="16"/>
        <v>45413</v>
      </c>
      <c r="H48" s="1184">
        <f t="shared" si="16"/>
        <v>45383</v>
      </c>
      <c r="I48" s="1184">
        <f t="shared" si="16"/>
        <v>45352</v>
      </c>
      <c r="J48" s="1184">
        <f t="shared" si="16"/>
        <v>45323</v>
      </c>
      <c r="K48" s="1184">
        <f t="shared" si="16"/>
        <v>45292</v>
      </c>
      <c r="L48" s="1184">
        <f t="shared" si="16"/>
        <v>45261</v>
      </c>
      <c r="M48" s="1184">
        <f t="shared" si="16"/>
        <v>45231</v>
      </c>
      <c r="N48" s="1184">
        <f t="shared" si="16"/>
        <v>45200</v>
      </c>
      <c r="O48" s="1184">
        <f t="shared" si="16"/>
        <v>45170</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3333</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665" t="s">
        <v>1770</v>
      </c>
      <c r="D4" s="3666"/>
      <c r="E4" s="3667" t="s">
        <v>1771</v>
      </c>
      <c r="F4" s="3668"/>
      <c r="G4" s="3665" t="s">
        <v>1772</v>
      </c>
      <c r="H4" s="3666"/>
      <c r="I4" s="3665" t="s">
        <v>1773</v>
      </c>
      <c r="J4" s="3666"/>
      <c r="K4" s="559" t="s">
        <v>1774</v>
      </c>
      <c r="L4" s="2712"/>
      <c r="M4" s="2713"/>
      <c r="N4" s="2713"/>
      <c r="O4" s="2713"/>
      <c r="P4" s="3669" t="s">
        <v>1775</v>
      </c>
      <c r="Q4" s="3670"/>
      <c r="R4" s="3651" t="s">
        <v>1771</v>
      </c>
      <c r="S4" s="3652"/>
      <c r="T4" s="3651" t="s">
        <v>1772</v>
      </c>
      <c r="U4" s="3652"/>
      <c r="V4" s="3677" t="s">
        <v>1773</v>
      </c>
      <c r="W4" s="3677"/>
      <c r="X4" s="1354"/>
      <c r="Y4" s="3651" t="s">
        <v>1775</v>
      </c>
      <c r="Z4" s="3652"/>
      <c r="AA4" s="3646" t="s">
        <v>1771</v>
      </c>
      <c r="AB4" s="3647" t="s">
        <v>1772</v>
      </c>
      <c r="AC4" s="3646" t="s">
        <v>1773</v>
      </c>
    </row>
    <row r="5" spans="1:29">
      <c r="A5" s="358"/>
      <c r="B5" s="359"/>
      <c r="C5" s="3657" t="s">
        <v>1673</v>
      </c>
      <c r="D5" s="3658"/>
      <c r="E5" s="3719" t="s">
        <v>1674</v>
      </c>
      <c r="F5" s="3656"/>
      <c r="G5" s="3657" t="s">
        <v>1675</v>
      </c>
      <c r="H5" s="3658"/>
      <c r="I5" s="3657" t="s">
        <v>1676</v>
      </c>
      <c r="J5" s="3658"/>
      <c r="K5" s="559"/>
      <c r="L5" s="2712"/>
      <c r="M5" s="2713"/>
      <c r="N5" s="2713"/>
      <c r="O5" s="2713"/>
      <c r="P5" s="3671"/>
      <c r="Q5" s="3672"/>
      <c r="R5" s="3653"/>
      <c r="S5" s="3654"/>
      <c r="T5" s="3653"/>
      <c r="U5" s="3654"/>
      <c r="V5" s="3677"/>
      <c r="W5" s="3677"/>
      <c r="X5" s="1354"/>
      <c r="Y5" s="3653"/>
      <c r="Z5" s="3654"/>
      <c r="AA5" s="3647"/>
      <c r="AB5" s="3647"/>
      <c r="AC5" s="3647"/>
    </row>
    <row r="6" spans="1:29" ht="15" thickBot="1">
      <c r="A6" s="360"/>
      <c r="B6" s="361"/>
      <c r="C6" s="3659" t="s">
        <v>1677</v>
      </c>
      <c r="D6" s="3660"/>
      <c r="E6" s="3662" t="s">
        <v>1677</v>
      </c>
      <c r="F6" s="3663"/>
      <c r="G6" s="3659" t="s">
        <v>1677</v>
      </c>
      <c r="H6" s="3660"/>
      <c r="I6" s="3659" t="s">
        <v>1677</v>
      </c>
      <c r="J6" s="3660"/>
      <c r="K6" s="559" t="s">
        <v>1678</v>
      </c>
      <c r="L6" s="2712"/>
      <c r="M6" s="2713"/>
      <c r="N6" s="2713"/>
      <c r="O6" s="2713"/>
      <c r="P6" s="3673"/>
      <c r="Q6" s="3674"/>
      <c r="R6" s="3653"/>
      <c r="S6" s="3654"/>
      <c r="T6" s="3675"/>
      <c r="U6" s="3676"/>
      <c r="V6" s="3677"/>
      <c r="W6" s="3677"/>
      <c r="X6" s="1354"/>
      <c r="Y6" s="3675"/>
      <c r="Z6" s="3676"/>
      <c r="AA6" s="3648"/>
      <c r="AB6" s="3648"/>
      <c r="AC6" s="3648"/>
    </row>
    <row r="7" spans="1:29" s="108" customFormat="1" ht="15" thickBot="1">
      <c r="A7" s="362" t="s">
        <v>1679</v>
      </c>
      <c r="B7" s="363"/>
      <c r="C7" s="364">
        <f>'数据-取费表'!B2</f>
        <v>45538</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49" t="s">
        <v>1680</v>
      </c>
      <c r="Q7" s="3678"/>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49" t="s">
        <v>1683</v>
      </c>
      <c r="Q8" s="3650"/>
      <c r="R8" s="701" t="s">
        <v>14</v>
      </c>
      <c r="S8" s="702">
        <f t="shared" si="0"/>
        <v>100</v>
      </c>
      <c r="T8" s="701" t="s">
        <v>14</v>
      </c>
      <c r="U8" s="702">
        <f t="shared" si="1"/>
        <v>100</v>
      </c>
      <c r="V8" s="701" t="s">
        <v>14</v>
      </c>
      <c r="W8" s="702">
        <f t="shared" si="2"/>
        <v>100</v>
      </c>
      <c r="X8" s="703"/>
      <c r="Y8" s="3649" t="s">
        <v>1683</v>
      </c>
      <c r="Z8" s="365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82" t="s">
        <v>1686</v>
      </c>
      <c r="Q9" s="1342"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82"/>
      <c r="Q10" s="1342"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82"/>
      <c r="Q11" s="1342">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82"/>
      <c r="Q12" s="1342">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82"/>
      <c r="Q13" s="1342">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93.2">
      <c r="A14" s="391" t="s">
        <v>1690</v>
      </c>
      <c r="B14" s="61" t="s">
        <v>1833</v>
      </c>
      <c r="C14" s="1970" t="str">
        <f>IF(B1="工业",估价对象房地状况!G4,估价对象房地状况!C6)</f>
        <v>估价对象周边有24路、117路、123路、132路、135路、413路、515路等多条公交线路，地铁2号线及13号线换乘站（东直门站），东直门长途汽车站等，综合评价交通便捷度较好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4" t="s">
        <v>1691</v>
      </c>
      <c r="Q14" s="1351" t="str">
        <f t="shared" si="6"/>
        <v>交通便捷度</v>
      </c>
      <c r="R14" s="705" t="s">
        <v>14</v>
      </c>
      <c r="S14" s="706">
        <f t="shared" si="0"/>
        <v>100</v>
      </c>
      <c r="T14" s="705" t="s">
        <v>14</v>
      </c>
      <c r="U14" s="706">
        <f t="shared" si="1"/>
        <v>100</v>
      </c>
      <c r="V14" s="705" t="s">
        <v>14</v>
      </c>
      <c r="W14" s="706">
        <f t="shared" si="2"/>
        <v>100</v>
      </c>
      <c r="X14" s="1354"/>
      <c r="Y14" s="368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85"/>
      <c r="Q15" s="1351"/>
      <c r="R15" s="705"/>
      <c r="S15" s="706"/>
      <c r="T15" s="705"/>
      <c r="U15" s="706"/>
      <c r="V15" s="705"/>
      <c r="W15" s="706"/>
      <c r="X15" s="1354"/>
      <c r="Y15" s="3685"/>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5"/>
      <c r="Q16" s="1351" t="str">
        <f>B16</f>
        <v>公共配套设施</v>
      </c>
      <c r="R16" s="705" t="s">
        <v>14</v>
      </c>
      <c r="S16" s="706">
        <f>F16</f>
        <v>100</v>
      </c>
      <c r="T16" s="705" t="s">
        <v>14</v>
      </c>
      <c r="U16" s="706">
        <f>H16</f>
        <v>100</v>
      </c>
      <c r="V16" s="705" t="s">
        <v>14</v>
      </c>
      <c r="W16" s="706">
        <f>J16</f>
        <v>100</v>
      </c>
      <c r="X16" s="1354"/>
      <c r="Y16" s="368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85"/>
      <c r="Q17" s="1351"/>
      <c r="R17" s="705"/>
      <c r="S17" s="706"/>
      <c r="T17" s="705"/>
      <c r="U17" s="706"/>
      <c r="V17" s="705"/>
      <c r="W17" s="706"/>
      <c r="X17" s="1354"/>
      <c r="Y17" s="3685"/>
      <c r="Z17" s="1355"/>
      <c r="AA17" s="1352">
        <v>1</v>
      </c>
      <c r="AB17" s="1352">
        <v>1</v>
      </c>
      <c r="AC17" s="1352">
        <v>1</v>
      </c>
    </row>
    <row r="18" spans="1:29" ht="15">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5"/>
      <c r="Q18" s="1351" t="str">
        <f>B18</f>
        <v>基础设施水平</v>
      </c>
      <c r="R18" s="705" t="s">
        <v>14</v>
      </c>
      <c r="S18" s="706">
        <f>F18</f>
        <v>100</v>
      </c>
      <c r="T18" s="705" t="s">
        <v>14</v>
      </c>
      <c r="U18" s="706">
        <f>H18</f>
        <v>100</v>
      </c>
      <c r="V18" s="705" t="s">
        <v>14</v>
      </c>
      <c r="W18" s="706">
        <f>J18</f>
        <v>100</v>
      </c>
      <c r="X18" s="1354"/>
      <c r="Y18" s="368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685"/>
      <c r="Q19" s="1351"/>
      <c r="R19" s="705"/>
      <c r="S19" s="706"/>
      <c r="T19" s="705"/>
      <c r="U19" s="706"/>
      <c r="V19" s="705"/>
      <c r="W19" s="706"/>
      <c r="X19" s="1354"/>
      <c r="Y19" s="3685"/>
      <c r="Z19" s="1355"/>
      <c r="AA19" s="1352">
        <v>1</v>
      </c>
      <c r="AB19" s="1352">
        <v>1</v>
      </c>
      <c r="AC19" s="1352">
        <v>1</v>
      </c>
    </row>
    <row r="20" spans="1:29" ht="124.2">
      <c r="A20" s="379"/>
      <c r="B20" s="402" t="s">
        <v>1834</v>
      </c>
      <c r="C20" s="1899" t="str">
        <f>IF(B1="工业",估价对象房地状况!G7,估价对象房地状况!C9)</f>
        <v>区域自然环境：亮马河、东城区亮马河公园；人文环境：工人体育场、东直门外清真寺；综合评价环境状况较好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5"/>
      <c r="Q20" s="1351" t="str">
        <f>B20</f>
        <v>自然及人文环境</v>
      </c>
      <c r="R20" s="705" t="s">
        <v>14</v>
      </c>
      <c r="S20" s="706">
        <f>F20</f>
        <v>100</v>
      </c>
      <c r="T20" s="705" t="s">
        <v>14</v>
      </c>
      <c r="U20" s="706">
        <f>H20</f>
        <v>100</v>
      </c>
      <c r="V20" s="705" t="s">
        <v>14</v>
      </c>
      <c r="W20" s="706">
        <f>J20</f>
        <v>100</v>
      </c>
      <c r="X20" s="1354"/>
      <c r="Y20" s="368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85"/>
      <c r="Q21" s="1351"/>
      <c r="R21" s="705"/>
      <c r="S21" s="706"/>
      <c r="T21" s="705"/>
      <c r="U21" s="706"/>
      <c r="V21" s="705"/>
      <c r="W21" s="706"/>
      <c r="X21" s="1354"/>
      <c r="Y21" s="368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5"/>
      <c r="Q22" s="1351" t="str">
        <f>B22</f>
        <v>楼层</v>
      </c>
      <c r="R22" s="705" t="s">
        <v>14</v>
      </c>
      <c r="S22" s="706">
        <f>F22</f>
        <v>100</v>
      </c>
      <c r="T22" s="705" t="s">
        <v>14</v>
      </c>
      <c r="U22" s="706">
        <f>H22</f>
        <v>100</v>
      </c>
      <c r="V22" s="705" t="s">
        <v>14</v>
      </c>
      <c r="W22" s="706">
        <f>J22</f>
        <v>100</v>
      </c>
      <c r="X22" s="1354"/>
      <c r="Y22" s="368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5"/>
      <c r="Q23" s="1351">
        <f>B23</f>
        <v>111</v>
      </c>
      <c r="R23" s="705" t="s">
        <v>14</v>
      </c>
      <c r="S23" s="706">
        <f>F23</f>
        <v>100</v>
      </c>
      <c r="T23" s="705" t="s">
        <v>14</v>
      </c>
      <c r="U23" s="706">
        <f>H23</f>
        <v>100</v>
      </c>
      <c r="V23" s="705" t="s">
        <v>14</v>
      </c>
      <c r="W23" s="706">
        <f>J23</f>
        <v>100</v>
      </c>
      <c r="X23" s="1354"/>
      <c r="Y23" s="368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5"/>
      <c r="Q24" s="1351">
        <f t="shared" ref="Q24:Q34" si="11">B24</f>
        <v>111</v>
      </c>
      <c r="R24" s="705" t="s">
        <v>14</v>
      </c>
      <c r="S24" s="706">
        <f>F24</f>
        <v>100</v>
      </c>
      <c r="T24" s="705" t="s">
        <v>14</v>
      </c>
      <c r="U24" s="706">
        <f>H24</f>
        <v>100</v>
      </c>
      <c r="V24" s="705" t="s">
        <v>14</v>
      </c>
      <c r="W24" s="706">
        <f>J24</f>
        <v>100</v>
      </c>
      <c r="X24" s="1354"/>
      <c r="Y24" s="3685"/>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685"/>
      <c r="Q25" s="1342">
        <f t="shared" si="11"/>
        <v>111</v>
      </c>
      <c r="R25" s="701" t="s">
        <v>14</v>
      </c>
      <c r="S25" s="702">
        <f>F25</f>
        <v>100</v>
      </c>
      <c r="T25" s="701" t="s">
        <v>14</v>
      </c>
      <c r="U25" s="702">
        <f>H25</f>
        <v>100</v>
      </c>
      <c r="V25" s="701" t="s">
        <v>14</v>
      </c>
      <c r="W25" s="702">
        <f>J25</f>
        <v>100</v>
      </c>
      <c r="X25" s="703"/>
      <c r="Y25" s="3685"/>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3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89"/>
      <c r="Q28" s="1351" t="str">
        <f t="shared" si="11"/>
        <v>物业等级</v>
      </c>
      <c r="R28" s="705" t="s">
        <v>14</v>
      </c>
      <c r="S28" s="706">
        <f t="shared" si="12"/>
        <v>100</v>
      </c>
      <c r="T28" s="705" t="s">
        <v>14</v>
      </c>
      <c r="U28" s="706">
        <f t="shared" si="13"/>
        <v>100</v>
      </c>
      <c r="V28" s="705" t="s">
        <v>14</v>
      </c>
      <c r="W28" s="706">
        <f t="shared" si="14"/>
        <v>100</v>
      </c>
      <c r="X28" s="1354"/>
      <c r="Y28" s="368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89"/>
      <c r="Q29" s="1351" t="str">
        <f t="shared" si="11"/>
        <v>有无电梯</v>
      </c>
      <c r="R29" s="705" t="s">
        <v>14</v>
      </c>
      <c r="S29" s="706">
        <f t="shared" si="12"/>
        <v>100</v>
      </c>
      <c r="T29" s="705" t="s">
        <v>14</v>
      </c>
      <c r="U29" s="706">
        <f t="shared" si="13"/>
        <v>100</v>
      </c>
      <c r="V29" s="705" t="s">
        <v>14</v>
      </c>
      <c r="W29" s="706">
        <f t="shared" si="14"/>
        <v>100</v>
      </c>
      <c r="X29" s="1354"/>
      <c r="Y29" s="368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89"/>
      <c r="Q30" s="1351" t="str">
        <f t="shared" si="11"/>
        <v>建筑面积</v>
      </c>
      <c r="R30" s="705" t="s">
        <v>14</v>
      </c>
      <c r="S30" s="706" t="e">
        <f t="shared" si="12"/>
        <v>#N/A</v>
      </c>
      <c r="T30" s="705" t="s">
        <v>14</v>
      </c>
      <c r="U30" s="706" t="e">
        <f t="shared" si="13"/>
        <v>#N/A</v>
      </c>
      <c r="V30" s="705" t="s">
        <v>14</v>
      </c>
      <c r="W30" s="706" t="e">
        <f t="shared" si="14"/>
        <v>#N/A</v>
      </c>
      <c r="X30" s="1354"/>
      <c r="Y30" s="368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89"/>
      <c r="Q31" s="1342"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89" t="s">
        <v>1696</v>
      </c>
      <c r="Q32" s="1351">
        <f t="shared" si="11"/>
        <v>111</v>
      </c>
      <c r="R32" s="705" t="s">
        <v>14</v>
      </c>
      <c r="S32" s="706">
        <f t="shared" si="12"/>
        <v>100</v>
      </c>
      <c r="T32" s="705" t="s">
        <v>14</v>
      </c>
      <c r="U32" s="706">
        <f t="shared" si="13"/>
        <v>100</v>
      </c>
      <c r="V32" s="705" t="s">
        <v>14</v>
      </c>
      <c r="W32" s="706">
        <f t="shared" si="14"/>
        <v>100</v>
      </c>
      <c r="X32" s="1354"/>
      <c r="Y32" s="368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89"/>
      <c r="Q33" s="1351">
        <f t="shared" si="11"/>
        <v>111</v>
      </c>
      <c r="R33" s="705" t="s">
        <v>14</v>
      </c>
      <c r="S33" s="706">
        <f t="shared" si="12"/>
        <v>100</v>
      </c>
      <c r="T33" s="705" t="s">
        <v>14</v>
      </c>
      <c r="U33" s="706">
        <f t="shared" si="13"/>
        <v>100</v>
      </c>
      <c r="V33" s="705" t="s">
        <v>14</v>
      </c>
      <c r="W33" s="706">
        <f t="shared" si="14"/>
        <v>100</v>
      </c>
      <c r="X33" s="1354"/>
      <c r="Y33" s="3689"/>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689"/>
      <c r="Q34" s="1351">
        <f t="shared" si="11"/>
        <v>111</v>
      </c>
      <c r="R34" s="705" t="s">
        <v>14</v>
      </c>
      <c r="S34" s="706">
        <f t="shared" si="12"/>
        <v>100</v>
      </c>
      <c r="T34" s="705" t="s">
        <v>14</v>
      </c>
      <c r="U34" s="706">
        <f t="shared" si="13"/>
        <v>100</v>
      </c>
      <c r="V34" s="705" t="s">
        <v>14</v>
      </c>
      <c r="W34" s="706">
        <f t="shared" si="14"/>
        <v>100</v>
      </c>
      <c r="X34" s="1354"/>
      <c r="Y34" s="3689"/>
      <c r="Z34" s="1355">
        <f t="shared" si="15"/>
        <v>111</v>
      </c>
      <c r="AA34" s="1352">
        <f t="shared" si="3"/>
        <v>1</v>
      </c>
      <c r="AB34" s="1352">
        <f t="shared" si="4"/>
        <v>1</v>
      </c>
      <c r="AC34" s="1352">
        <f t="shared" si="5"/>
        <v>1</v>
      </c>
    </row>
    <row r="35" spans="1:30" ht="14.4">
      <c r="A35" s="430" t="s">
        <v>1708</v>
      </c>
      <c r="B35" s="431"/>
      <c r="C35" s="1154" t="s">
        <v>0</v>
      </c>
      <c r="D35" s="1155"/>
      <c r="E35" s="1156"/>
      <c r="F35" s="1157"/>
      <c r="G35" s="1158"/>
      <c r="H35" s="1159"/>
      <c r="I35" s="1156"/>
      <c r="J35" s="1159"/>
      <c r="K35" s="714"/>
      <c r="L35" s="2721"/>
      <c r="M35" s="2722"/>
      <c r="N35" s="2713"/>
      <c r="O35" s="2722"/>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1"/>
      <c r="M36" s="2722"/>
      <c r="N36" s="2713"/>
      <c r="O36" s="2722"/>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679" t="str">
        <f>A37</f>
        <v>估价对象XX用房的比较价值（楼面单价，元/平方米）</v>
      </c>
      <c r="Q37" s="3680"/>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3" t="str">
        <f>YEAR(C7)&amp;"-"&amp;MONTH(C7)</f>
        <v>2024-9</v>
      </c>
      <c r="D46" s="1184">
        <f>EDATE(C46,-1)</f>
        <v>45505</v>
      </c>
      <c r="E46" s="1184">
        <f t="shared" ref="E46:O46" si="16">EDATE(D46,-1)</f>
        <v>45474</v>
      </c>
      <c r="F46" s="1184">
        <f t="shared" si="16"/>
        <v>45444</v>
      </c>
      <c r="G46" s="1184">
        <f t="shared" si="16"/>
        <v>45413</v>
      </c>
      <c r="H46" s="1184">
        <f t="shared" si="16"/>
        <v>45383</v>
      </c>
      <c r="I46" s="1184">
        <f t="shared" si="16"/>
        <v>45352</v>
      </c>
      <c r="J46" s="1184">
        <f t="shared" si="16"/>
        <v>45323</v>
      </c>
      <c r="K46" s="1184">
        <f t="shared" si="16"/>
        <v>45292</v>
      </c>
      <c r="L46" s="1184">
        <f t="shared" si="16"/>
        <v>45261</v>
      </c>
      <c r="M46" s="1184">
        <f t="shared" si="16"/>
        <v>45231</v>
      </c>
      <c r="N46" s="1184">
        <f t="shared" si="16"/>
        <v>45200</v>
      </c>
      <c r="O46" s="1184">
        <f t="shared" si="16"/>
        <v>45170</v>
      </c>
      <c r="P46" s="2773"/>
      <c r="Q46" s="2738"/>
      <c r="R46" s="2738"/>
      <c r="S46" s="2738"/>
      <c r="T46" s="2738"/>
      <c r="U46" s="2738"/>
      <c r="V46" s="2738"/>
      <c r="W46" s="2738"/>
      <c r="X46" s="2738"/>
      <c r="Y46" s="2738"/>
      <c r="Z46" s="2738"/>
      <c r="AA46" s="2738"/>
      <c r="AB46" s="2738"/>
      <c r="AC46" s="2738"/>
      <c r="AD46" s="2738"/>
    </row>
    <row r="47" spans="1:30" s="108" customFormat="1">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665" t="s">
        <v>1770</v>
      </c>
      <c r="D4" s="3666"/>
      <c r="E4" s="3667" t="s">
        <v>1771</v>
      </c>
      <c r="F4" s="3668"/>
      <c r="G4" s="3665" t="s">
        <v>1772</v>
      </c>
      <c r="H4" s="3666"/>
      <c r="I4" s="3665" t="s">
        <v>1773</v>
      </c>
      <c r="J4" s="3666"/>
      <c r="K4" s="559" t="s">
        <v>1774</v>
      </c>
      <c r="L4" s="2712"/>
      <c r="M4" s="2713"/>
      <c r="N4" s="2713"/>
      <c r="O4" s="2713"/>
      <c r="P4" s="3669" t="s">
        <v>1775</v>
      </c>
      <c r="Q4" s="3670"/>
      <c r="R4" s="3651" t="s">
        <v>1771</v>
      </c>
      <c r="S4" s="3652"/>
      <c r="T4" s="3651" t="s">
        <v>1772</v>
      </c>
      <c r="U4" s="3652"/>
      <c r="V4" s="3677" t="s">
        <v>1773</v>
      </c>
      <c r="W4" s="3677"/>
      <c r="X4" s="1354"/>
      <c r="Y4" s="3651" t="s">
        <v>1775</v>
      </c>
      <c r="Z4" s="3652"/>
      <c r="AA4" s="3646" t="s">
        <v>1771</v>
      </c>
      <c r="AB4" s="3647" t="s">
        <v>1772</v>
      </c>
      <c r="AC4" s="3646" t="s">
        <v>1773</v>
      </c>
    </row>
    <row r="5" spans="1:30">
      <c r="A5" s="358"/>
      <c r="B5" s="359"/>
      <c r="C5" s="3657" t="s">
        <v>1673</v>
      </c>
      <c r="D5" s="3658"/>
      <c r="E5" s="3719" t="s">
        <v>1674</v>
      </c>
      <c r="F5" s="3656"/>
      <c r="G5" s="3657" t="s">
        <v>1675</v>
      </c>
      <c r="H5" s="3658"/>
      <c r="I5" s="3657" t="s">
        <v>1676</v>
      </c>
      <c r="J5" s="3658"/>
      <c r="K5" s="559"/>
      <c r="L5" s="2712"/>
      <c r="M5" s="2713"/>
      <c r="N5" s="2713"/>
      <c r="O5" s="2713"/>
      <c r="P5" s="3671"/>
      <c r="Q5" s="3672"/>
      <c r="R5" s="3653"/>
      <c r="S5" s="3654"/>
      <c r="T5" s="3653"/>
      <c r="U5" s="3654"/>
      <c r="V5" s="3677"/>
      <c r="W5" s="3677"/>
      <c r="X5" s="1354"/>
      <c r="Y5" s="3653"/>
      <c r="Z5" s="3654"/>
      <c r="AA5" s="3647"/>
      <c r="AB5" s="3647"/>
      <c r="AC5" s="3647"/>
    </row>
    <row r="6" spans="1:30" ht="15" thickBot="1">
      <c r="A6" s="360"/>
      <c r="B6" s="361"/>
      <c r="C6" s="3659" t="s">
        <v>1677</v>
      </c>
      <c r="D6" s="3660"/>
      <c r="E6" s="3662" t="s">
        <v>1677</v>
      </c>
      <c r="F6" s="3663"/>
      <c r="G6" s="3659" t="s">
        <v>1677</v>
      </c>
      <c r="H6" s="3660"/>
      <c r="I6" s="3659" t="s">
        <v>1677</v>
      </c>
      <c r="J6" s="3660"/>
      <c r="K6" s="559" t="s">
        <v>1678</v>
      </c>
      <c r="L6" s="2712"/>
      <c r="M6" s="2713"/>
      <c r="N6" s="2713"/>
      <c r="O6" s="2713"/>
      <c r="P6" s="3673"/>
      <c r="Q6" s="3674"/>
      <c r="R6" s="3653"/>
      <c r="S6" s="3654"/>
      <c r="T6" s="3675"/>
      <c r="U6" s="3676"/>
      <c r="V6" s="3677"/>
      <c r="W6" s="3677"/>
      <c r="X6" s="1354"/>
      <c r="Y6" s="3675"/>
      <c r="Z6" s="3676"/>
      <c r="AA6" s="3648"/>
      <c r="AB6" s="3648"/>
      <c r="AC6" s="3648"/>
    </row>
    <row r="7" spans="1:30" s="108" customFormat="1" ht="15" thickBot="1">
      <c r="A7" s="362" t="s">
        <v>1679</v>
      </c>
      <c r="B7" s="363"/>
      <c r="C7" s="364">
        <f>'数据-取费表'!B2</f>
        <v>45538</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49" t="s">
        <v>1683</v>
      </c>
      <c r="Q8" s="3650"/>
      <c r="R8" s="701" t="s">
        <v>14</v>
      </c>
      <c r="S8" s="702">
        <f t="shared" si="0"/>
        <v>0</v>
      </c>
      <c r="T8" s="701" t="s">
        <v>14</v>
      </c>
      <c r="U8" s="702">
        <f t="shared" si="1"/>
        <v>0</v>
      </c>
      <c r="V8" s="701" t="s">
        <v>14</v>
      </c>
      <c r="W8" s="702">
        <f t="shared" si="2"/>
        <v>0</v>
      </c>
      <c r="X8" s="703"/>
      <c r="Y8" s="3649" t="s">
        <v>1683</v>
      </c>
      <c r="Z8" s="3650"/>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82" t="s">
        <v>1686</v>
      </c>
      <c r="Q9" s="1342"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112</v>
      </c>
      <c r="G10" s="414"/>
      <c r="H10" s="127">
        <f>ROUND(100/'数据-取费表'!G16,0)</f>
        <v>112</v>
      </c>
      <c r="I10" s="414"/>
      <c r="J10" s="127">
        <f>ROUND(100/'数据-取费表'!G16,0)</f>
        <v>112</v>
      </c>
      <c r="K10" s="620"/>
      <c r="L10" s="2716"/>
      <c r="M10" s="2717"/>
      <c r="N10" s="2717"/>
      <c r="O10" s="2770"/>
      <c r="P10" s="3682"/>
      <c r="Q10" s="1342" t="str">
        <f t="shared" si="6"/>
        <v>土地使用年限（年）</v>
      </c>
      <c r="R10" s="701" t="s">
        <v>14</v>
      </c>
      <c r="S10" s="702">
        <f t="shared" si="0"/>
        <v>112</v>
      </c>
      <c r="T10" s="701" t="s">
        <v>14</v>
      </c>
      <c r="U10" s="702">
        <f t="shared" si="1"/>
        <v>112</v>
      </c>
      <c r="V10" s="701" t="s">
        <v>14</v>
      </c>
      <c r="W10" s="702">
        <f t="shared" si="2"/>
        <v>112</v>
      </c>
      <c r="X10" s="703"/>
      <c r="Y10" s="3619"/>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82"/>
      <c r="Q11" s="1342"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82"/>
      <c r="Q12" s="1342"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82"/>
      <c r="Q13" s="1342">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82"/>
      <c r="Q14" s="1342">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110.4">
      <c r="A15" s="391" t="s">
        <v>1690</v>
      </c>
      <c r="B15" s="61" t="s">
        <v>1257</v>
      </c>
      <c r="C15" s="1895" t="str">
        <f>估价对象房地状况!C15</f>
        <v>估价对象周边有梵悦108、使馆壹号院、海晟名苑、万国城MOMA等住宅小区，综合评价居住社区成熟度较好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4" t="s">
        <v>1691</v>
      </c>
      <c r="Q15" s="1351" t="str">
        <f t="shared" si="6"/>
        <v>居住社区成熟度</v>
      </c>
      <c r="R15" s="705" t="s">
        <v>14</v>
      </c>
      <c r="S15" s="706">
        <f t="shared" si="0"/>
        <v>100</v>
      </c>
      <c r="T15" s="705" t="s">
        <v>14</v>
      </c>
      <c r="U15" s="706">
        <f t="shared" si="1"/>
        <v>100</v>
      </c>
      <c r="V15" s="705" t="s">
        <v>14</v>
      </c>
      <c r="W15" s="706">
        <f t="shared" si="2"/>
        <v>100</v>
      </c>
      <c r="X15" s="1354"/>
      <c r="Y15" s="368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85"/>
      <c r="Q16" s="1351"/>
      <c r="R16" s="705"/>
      <c r="S16" s="706"/>
      <c r="T16" s="705"/>
      <c r="U16" s="706"/>
      <c r="V16" s="705"/>
      <c r="W16" s="706"/>
      <c r="X16" s="1354"/>
      <c r="Y16" s="3685"/>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85"/>
      <c r="Q17" s="1351" t="str">
        <f>B17</f>
        <v>商业繁华度</v>
      </c>
      <c r="R17" s="705" t="s">
        <v>14</v>
      </c>
      <c r="S17" s="706">
        <f>F17</f>
        <v>100</v>
      </c>
      <c r="T17" s="705" t="s">
        <v>14</v>
      </c>
      <c r="U17" s="706">
        <f>H17</f>
        <v>100</v>
      </c>
      <c r="V17" s="705" t="s">
        <v>14</v>
      </c>
      <c r="W17" s="706">
        <f>J17</f>
        <v>100</v>
      </c>
      <c r="X17" s="1354"/>
      <c r="Y17" s="368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85"/>
      <c r="Q18" s="1351"/>
      <c r="R18" s="705"/>
      <c r="S18" s="706"/>
      <c r="T18" s="705"/>
      <c r="U18" s="706"/>
      <c r="V18" s="705"/>
      <c r="W18" s="706"/>
      <c r="X18" s="1354"/>
      <c r="Y18" s="3685"/>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85"/>
      <c r="Q19" s="1351" t="str">
        <f>B19</f>
        <v>办公集聚程度</v>
      </c>
      <c r="R19" s="705" t="s">
        <v>14</v>
      </c>
      <c r="S19" s="706">
        <f>F19</f>
        <v>100</v>
      </c>
      <c r="T19" s="705" t="s">
        <v>14</v>
      </c>
      <c r="U19" s="706">
        <f>H19</f>
        <v>100</v>
      </c>
      <c r="V19" s="705" t="s">
        <v>14</v>
      </c>
      <c r="W19" s="706">
        <f>J19</f>
        <v>100</v>
      </c>
      <c r="X19" s="1354"/>
      <c r="Y19" s="368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85"/>
      <c r="Q20" s="1351"/>
      <c r="R20" s="705"/>
      <c r="S20" s="706"/>
      <c r="T20" s="705"/>
      <c r="U20" s="706"/>
      <c r="V20" s="705"/>
      <c r="W20" s="706"/>
      <c r="X20" s="1354"/>
      <c r="Y20" s="3685"/>
      <c r="Z20" s="1355"/>
      <c r="AA20" s="1352">
        <v>1</v>
      </c>
      <c r="AB20" s="1352">
        <v>1</v>
      </c>
      <c r="AC20" s="1352">
        <v>1</v>
      </c>
    </row>
    <row r="21" spans="1:29" ht="193.2">
      <c r="A21" s="379"/>
      <c r="B21" s="402" t="s">
        <v>1833</v>
      </c>
      <c r="C21" s="1899" t="str">
        <f>估价对象房地状况!C18</f>
        <v>估价对象周边有24路、117路、123路、132路、135路、413路、515路等多条公交线路，地铁2号线及13号线换乘站（东直门站），东直门长途汽车站等，综合评价交通便捷度较好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85"/>
      <c r="Q21" s="1351" t="str">
        <f>B21</f>
        <v>交通便捷度</v>
      </c>
      <c r="R21" s="705" t="s">
        <v>14</v>
      </c>
      <c r="S21" s="706">
        <f>F21</f>
        <v>100</v>
      </c>
      <c r="T21" s="705" t="s">
        <v>14</v>
      </c>
      <c r="U21" s="706">
        <f>H21</f>
        <v>100</v>
      </c>
      <c r="V21" s="705" t="s">
        <v>14</v>
      </c>
      <c r="W21" s="706">
        <f>J21</f>
        <v>100</v>
      </c>
      <c r="X21" s="1354"/>
      <c r="Y21" s="3685"/>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685"/>
      <c r="Q22" s="1351"/>
      <c r="R22" s="705"/>
      <c r="S22" s="706"/>
      <c r="T22" s="705"/>
      <c r="U22" s="706"/>
      <c r="V22" s="705"/>
      <c r="W22" s="706"/>
      <c r="X22" s="1354"/>
      <c r="Y22" s="3685"/>
      <c r="Z22" s="1355"/>
      <c r="AA22" s="1352">
        <v>1</v>
      </c>
      <c r="AB22" s="1352">
        <v>1</v>
      </c>
      <c r="AC22" s="1352">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85"/>
      <c r="Q23" s="1351" t="str">
        <f t="shared" ref="Q23:Q37" si="8">B23</f>
        <v>区域土地利用方向</v>
      </c>
      <c r="R23" s="705" t="s">
        <v>14</v>
      </c>
      <c r="S23" s="706">
        <f>F23</f>
        <v>100</v>
      </c>
      <c r="T23" s="705" t="s">
        <v>14</v>
      </c>
      <c r="U23" s="706">
        <f>H23</f>
        <v>100</v>
      </c>
      <c r="V23" s="705" t="s">
        <v>14</v>
      </c>
      <c r="W23" s="706">
        <f>J23</f>
        <v>100</v>
      </c>
      <c r="X23" s="1354"/>
      <c r="Y23" s="368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85"/>
      <c r="Q24" s="1351"/>
      <c r="R24" s="705"/>
      <c r="S24" s="706"/>
      <c r="T24" s="705"/>
      <c r="U24" s="706"/>
      <c r="V24" s="705"/>
      <c r="W24" s="706"/>
      <c r="X24" s="1354"/>
      <c r="Y24" s="3685"/>
      <c r="Z24" s="1355"/>
      <c r="AA24" s="1352"/>
      <c r="AB24" s="1352"/>
      <c r="AC24" s="1352"/>
    </row>
    <row r="25" spans="1:29" ht="124.2">
      <c r="A25" s="358"/>
      <c r="B25" s="1131" t="s">
        <v>1872</v>
      </c>
      <c r="C25" s="1954" t="str">
        <f>估价对象房地状况!C20</f>
        <v>区域自然环境：亮马河、东城区亮马河公园；人文环境：工人体育场、东直门外清真寺；综合评价环境状况较好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85"/>
      <c r="Q25" s="1351" t="str">
        <f t="shared" si="8"/>
        <v>自然及人文环境状况</v>
      </c>
      <c r="R25" s="705" t="s">
        <v>14</v>
      </c>
      <c r="S25" s="706">
        <f>F25</f>
        <v>100</v>
      </c>
      <c r="T25" s="705" t="s">
        <v>14</v>
      </c>
      <c r="U25" s="706">
        <f>H25</f>
        <v>100</v>
      </c>
      <c r="V25" s="705" t="s">
        <v>14</v>
      </c>
      <c r="W25" s="706">
        <f>J25</f>
        <v>100</v>
      </c>
      <c r="X25" s="1354"/>
      <c r="Y25" s="368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85"/>
      <c r="Q26" s="1351"/>
      <c r="R26" s="705"/>
      <c r="S26" s="706"/>
      <c r="T26" s="705"/>
      <c r="U26" s="706"/>
      <c r="V26" s="705"/>
      <c r="W26" s="706"/>
      <c r="X26" s="1354"/>
      <c r="Y26" s="3685"/>
      <c r="Z26" s="1355"/>
      <c r="AA26" s="1352">
        <v>1</v>
      </c>
      <c r="AB26" s="1352">
        <v>1</v>
      </c>
      <c r="AC26" s="1352">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85"/>
      <c r="Q27" s="1342" t="str">
        <f t="shared" si="8"/>
        <v>公共配套设施</v>
      </c>
      <c r="R27" s="701" t="s">
        <v>14</v>
      </c>
      <c r="S27" s="702">
        <f>F27</f>
        <v>100</v>
      </c>
      <c r="T27" s="701" t="s">
        <v>14</v>
      </c>
      <c r="U27" s="702">
        <f>H27</f>
        <v>100</v>
      </c>
      <c r="V27" s="701" t="s">
        <v>14</v>
      </c>
      <c r="W27" s="702">
        <f>J27</f>
        <v>100</v>
      </c>
      <c r="X27" s="703"/>
      <c r="Y27" s="368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685"/>
      <c r="Q28" s="1342"/>
      <c r="R28" s="701"/>
      <c r="S28" s="702"/>
      <c r="T28" s="701"/>
      <c r="U28" s="702"/>
      <c r="V28" s="701"/>
      <c r="W28" s="702"/>
      <c r="X28" s="703"/>
      <c r="Y28" s="3685"/>
      <c r="Z28" s="52"/>
      <c r="AA28" s="1352">
        <v>1</v>
      </c>
      <c r="AB28" s="1352">
        <v>1</v>
      </c>
      <c r="AC28" s="1352">
        <v>1</v>
      </c>
    </row>
    <row r="29" spans="1:29" s="108" customFormat="1" ht="15">
      <c r="A29" s="597"/>
      <c r="B29" s="1131" t="s">
        <v>1779</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85"/>
      <c r="Q29" s="1342"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685"/>
      <c r="Q30" s="1342"/>
      <c r="R30" s="701"/>
      <c r="S30" s="702"/>
      <c r="T30" s="701"/>
      <c r="U30" s="702"/>
      <c r="V30" s="701"/>
      <c r="W30" s="702"/>
      <c r="X30" s="703"/>
      <c r="Y30" s="368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8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5"/>
      <c r="Z31" s="1355" t="str">
        <f t="shared" ref="Z31:Z45" si="13">Q31</f>
        <v>临街状况</v>
      </c>
      <c r="AA31" s="1352">
        <f t="shared" si="3"/>
        <v>1</v>
      </c>
      <c r="AB31" s="1352">
        <f t="shared" si="4"/>
        <v>1</v>
      </c>
      <c r="AC31" s="1352">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85"/>
      <c r="Q32" s="1351" t="str">
        <f t="shared" si="8"/>
        <v>毗邻道路的类型与等级</v>
      </c>
      <c r="R32" s="705" t="s">
        <v>14</v>
      </c>
      <c r="S32" s="706">
        <f t="shared" si="10"/>
        <v>100</v>
      </c>
      <c r="T32" s="705" t="s">
        <v>14</v>
      </c>
      <c r="U32" s="706">
        <f t="shared" si="11"/>
        <v>100</v>
      </c>
      <c r="V32" s="705" t="s">
        <v>14</v>
      </c>
      <c r="W32" s="706">
        <f t="shared" si="12"/>
        <v>100</v>
      </c>
      <c r="X32" s="1354"/>
      <c r="Y32" s="368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85"/>
      <c r="Q33" s="1351"/>
      <c r="R33" s="705"/>
      <c r="S33" s="706"/>
      <c r="T33" s="705"/>
      <c r="U33" s="706"/>
      <c r="V33" s="705"/>
      <c r="W33" s="706"/>
      <c r="X33" s="1354"/>
      <c r="Y33" s="368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85"/>
      <c r="Q34" s="1351" t="str">
        <f t="shared" si="8"/>
        <v>土地级别</v>
      </c>
      <c r="R34" s="705" t="s">
        <v>14</v>
      </c>
      <c r="S34" s="706">
        <f t="shared" si="10"/>
        <v>100</v>
      </c>
      <c r="T34" s="705" t="s">
        <v>14</v>
      </c>
      <c r="U34" s="706">
        <f t="shared" si="11"/>
        <v>100</v>
      </c>
      <c r="V34" s="705" t="s">
        <v>14</v>
      </c>
      <c r="W34" s="706">
        <f t="shared" si="12"/>
        <v>100</v>
      </c>
      <c r="X34" s="1354"/>
      <c r="Y34" s="368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85"/>
      <c r="Q35" s="1351">
        <f t="shared" si="8"/>
        <v>111</v>
      </c>
      <c r="R35" s="705" t="s">
        <v>14</v>
      </c>
      <c r="S35" s="706">
        <f t="shared" si="10"/>
        <v>100</v>
      </c>
      <c r="T35" s="705" t="s">
        <v>14</v>
      </c>
      <c r="U35" s="706">
        <f t="shared" si="11"/>
        <v>100</v>
      </c>
      <c r="V35" s="705" t="s">
        <v>14</v>
      </c>
      <c r="W35" s="706">
        <f t="shared" si="12"/>
        <v>100</v>
      </c>
      <c r="X35" s="1354"/>
      <c r="Y35" s="368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5" t="s">
        <v>1696</v>
      </c>
      <c r="Q36" s="1351">
        <f t="shared" si="8"/>
        <v>111</v>
      </c>
      <c r="R36" s="705" t="s">
        <v>14</v>
      </c>
      <c r="S36" s="706">
        <f t="shared" si="10"/>
        <v>100</v>
      </c>
      <c r="T36" s="705" t="s">
        <v>14</v>
      </c>
      <c r="U36" s="706">
        <f t="shared" si="11"/>
        <v>100</v>
      </c>
      <c r="V36" s="705" t="s">
        <v>14</v>
      </c>
      <c r="W36" s="706">
        <f t="shared" si="12"/>
        <v>100</v>
      </c>
      <c r="X36" s="1354"/>
      <c r="Y36" s="3689"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89"/>
      <c r="Q37" s="1351">
        <f t="shared" si="8"/>
        <v>111</v>
      </c>
      <c r="R37" s="708" t="s">
        <v>14</v>
      </c>
      <c r="S37" s="709">
        <f t="shared" si="10"/>
        <v>100</v>
      </c>
      <c r="T37" s="708" t="s">
        <v>14</v>
      </c>
      <c r="U37" s="709">
        <f t="shared" si="11"/>
        <v>100</v>
      </c>
      <c r="V37" s="708" t="s">
        <v>14</v>
      </c>
      <c r="W37" s="709">
        <f t="shared" si="12"/>
        <v>100</v>
      </c>
      <c r="X37" s="710"/>
      <c r="Y37" s="3689"/>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89"/>
      <c r="Q38" s="1351" t="str">
        <f>B38</f>
        <v>宗地面积</v>
      </c>
      <c r="R38" s="705" t="s">
        <v>14</v>
      </c>
      <c r="S38" s="706" t="e">
        <f t="shared" si="10"/>
        <v>#N/A</v>
      </c>
      <c r="T38" s="705" t="s">
        <v>14</v>
      </c>
      <c r="U38" s="706" t="e">
        <f t="shared" si="11"/>
        <v>#N/A</v>
      </c>
      <c r="V38" s="705" t="s">
        <v>14</v>
      </c>
      <c r="W38" s="706" t="e">
        <f t="shared" si="12"/>
        <v>#N/A</v>
      </c>
      <c r="X38" s="1354"/>
      <c r="Y38" s="368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89"/>
      <c r="Q39" s="1351" t="str">
        <f t="shared" ref="Q39:Q45" si="14">B39</f>
        <v>宗地形状</v>
      </c>
      <c r="R39" s="705" t="s">
        <v>14</v>
      </c>
      <c r="S39" s="706">
        <f t="shared" si="10"/>
        <v>100</v>
      </c>
      <c r="T39" s="705" t="s">
        <v>14</v>
      </c>
      <c r="U39" s="706">
        <f t="shared" si="11"/>
        <v>100</v>
      </c>
      <c r="V39" s="705" t="s">
        <v>14</v>
      </c>
      <c r="W39" s="706">
        <f t="shared" si="12"/>
        <v>100</v>
      </c>
      <c r="X39" s="1354"/>
      <c r="Y39" s="368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89"/>
      <c r="Q40" s="1351" t="str">
        <f t="shared" si="14"/>
        <v>临街宽度及深度</v>
      </c>
      <c r="R40" s="705" t="s">
        <v>14</v>
      </c>
      <c r="S40" s="706">
        <f t="shared" si="10"/>
        <v>100</v>
      </c>
      <c r="T40" s="705" t="s">
        <v>14</v>
      </c>
      <c r="U40" s="706">
        <f t="shared" si="11"/>
        <v>100</v>
      </c>
      <c r="V40" s="705" t="s">
        <v>14</v>
      </c>
      <c r="W40" s="706">
        <f t="shared" si="12"/>
        <v>100</v>
      </c>
      <c r="X40" s="1354"/>
      <c r="Y40" s="368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689"/>
      <c r="Q41" s="1351"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89" t="s">
        <v>1696</v>
      </c>
      <c r="Q42" s="1351" t="str">
        <f t="shared" si="14"/>
        <v>工程地质条件</v>
      </c>
      <c r="R42" s="705" t="s">
        <v>14</v>
      </c>
      <c r="S42" s="706">
        <f t="shared" si="10"/>
        <v>100</v>
      </c>
      <c r="T42" s="705" t="s">
        <v>14</v>
      </c>
      <c r="U42" s="706">
        <f t="shared" si="11"/>
        <v>100</v>
      </c>
      <c r="V42" s="705" t="s">
        <v>14</v>
      </c>
      <c r="W42" s="706">
        <f t="shared" si="12"/>
        <v>100</v>
      </c>
      <c r="X42" s="1354"/>
      <c r="Y42" s="3689"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89"/>
      <c r="Q43" s="1351">
        <f t="shared" si="14"/>
        <v>111</v>
      </c>
      <c r="R43" s="705" t="s">
        <v>14</v>
      </c>
      <c r="S43" s="706">
        <f t="shared" si="10"/>
        <v>100</v>
      </c>
      <c r="T43" s="705" t="s">
        <v>14</v>
      </c>
      <c r="U43" s="706">
        <f t="shared" si="11"/>
        <v>100</v>
      </c>
      <c r="V43" s="705" t="s">
        <v>14</v>
      </c>
      <c r="W43" s="706">
        <f t="shared" si="12"/>
        <v>100</v>
      </c>
      <c r="X43" s="1354"/>
      <c r="Y43" s="368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89"/>
      <c r="Q44" s="1351">
        <f t="shared" si="14"/>
        <v>111</v>
      </c>
      <c r="R44" s="705" t="s">
        <v>14</v>
      </c>
      <c r="S44" s="706">
        <f t="shared" si="10"/>
        <v>100</v>
      </c>
      <c r="T44" s="705" t="s">
        <v>14</v>
      </c>
      <c r="U44" s="706">
        <f t="shared" si="11"/>
        <v>100</v>
      </c>
      <c r="V44" s="705" t="s">
        <v>14</v>
      </c>
      <c r="W44" s="706">
        <f t="shared" si="12"/>
        <v>100</v>
      </c>
      <c r="X44" s="1354"/>
      <c r="Y44" s="3689"/>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89"/>
      <c r="Q45" s="1351">
        <f t="shared" si="14"/>
        <v>111</v>
      </c>
      <c r="R45" s="708" t="s">
        <v>14</v>
      </c>
      <c r="S45" s="709">
        <f t="shared" si="10"/>
        <v>100</v>
      </c>
      <c r="T45" s="708" t="s">
        <v>14</v>
      </c>
      <c r="U45" s="709">
        <f t="shared" si="11"/>
        <v>100</v>
      </c>
      <c r="V45" s="708" t="s">
        <v>14</v>
      </c>
      <c r="W45" s="709">
        <f t="shared" si="12"/>
        <v>100</v>
      </c>
      <c r="X45" s="710"/>
      <c r="Y45" s="3689"/>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21"/>
      <c r="M46" s="2722"/>
      <c r="N46" s="2713"/>
      <c r="O46" s="2722"/>
      <c r="P46" s="3682" t="str">
        <f>A46</f>
        <v>成交单价</v>
      </c>
      <c r="Q46" s="3682"/>
      <c r="R46" s="3677">
        <f>E46</f>
        <v>0</v>
      </c>
      <c r="S46" s="3677"/>
      <c r="T46" s="3677">
        <f>G46</f>
        <v>0</v>
      </c>
      <c r="U46" s="3677"/>
      <c r="V46" s="3677">
        <f>I46</f>
        <v>0</v>
      </c>
      <c r="W46" s="3677"/>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1"/>
      <c r="M47" s="2722"/>
      <c r="N47" s="2722"/>
      <c r="O47" s="2722"/>
      <c r="P47" s="3682" t="str">
        <f>A47</f>
        <v>比较价值（元/平方米）</v>
      </c>
      <c r="Q47" s="3682"/>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679" t="str">
        <f>A48</f>
        <v>估价对象XX用房的比较价值（楼面单价，元/平方米）</v>
      </c>
      <c r="Q48" s="3680"/>
      <c r="R48" s="3738" t="e">
        <f>ROUND(IF(D47="简单平均",AVERAGE(R47:W47),R47*F47+T47*H47+V47*J47),0)</f>
        <v>#DIV/0!</v>
      </c>
      <c r="S48" s="3738"/>
      <c r="T48" s="3738"/>
      <c r="U48" s="3738"/>
      <c r="V48" s="3738"/>
      <c r="W48" s="373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90" t="s">
        <v>1886</v>
      </c>
      <c r="G55" s="3665" t="s">
        <v>1887</v>
      </c>
      <c r="H55" s="3739"/>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375.87</v>
      </c>
      <c r="F56" s="886" t="e">
        <f t="shared" ref="F56:F64" si="15">ROUND(B56*E56/10000,0)</f>
        <v>#DIV/0!</v>
      </c>
      <c r="G56" s="3664"/>
      <c r="H56" s="3682"/>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375.87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8" t="s">
        <v>1904</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665" t="s">
        <v>1770</v>
      </c>
      <c r="D4" s="3666"/>
      <c r="E4" s="3667" t="s">
        <v>1771</v>
      </c>
      <c r="F4" s="3668"/>
      <c r="G4" s="3665" t="s">
        <v>1772</v>
      </c>
      <c r="H4" s="3666"/>
      <c r="I4" s="3665" t="s">
        <v>1773</v>
      </c>
      <c r="J4" s="3666"/>
      <c r="K4" s="559" t="s">
        <v>1774</v>
      </c>
      <c r="L4" s="2712"/>
      <c r="M4" s="2713"/>
      <c r="N4" s="2713"/>
      <c r="O4" s="2713"/>
      <c r="P4" s="3669" t="s">
        <v>1775</v>
      </c>
      <c r="Q4" s="3670"/>
      <c r="R4" s="3651" t="s">
        <v>1771</v>
      </c>
      <c r="S4" s="3652"/>
      <c r="T4" s="3651" t="s">
        <v>1772</v>
      </c>
      <c r="U4" s="3652"/>
      <c r="V4" s="3677" t="s">
        <v>1773</v>
      </c>
      <c r="W4" s="3677"/>
      <c r="X4" s="1354"/>
      <c r="Y4" s="3651" t="s">
        <v>1775</v>
      </c>
      <c r="Z4" s="3652"/>
      <c r="AA4" s="3646" t="s">
        <v>1771</v>
      </c>
      <c r="AB4" s="3647" t="s">
        <v>1772</v>
      </c>
      <c r="AC4" s="3646" t="s">
        <v>1773</v>
      </c>
    </row>
    <row r="5" spans="1:29">
      <c r="A5" s="358"/>
      <c r="B5" s="359"/>
      <c r="C5" s="3657" t="s">
        <v>1673</v>
      </c>
      <c r="D5" s="3658"/>
      <c r="E5" s="3719" t="s">
        <v>1674</v>
      </c>
      <c r="F5" s="3656"/>
      <c r="G5" s="3657" t="s">
        <v>1675</v>
      </c>
      <c r="H5" s="3658"/>
      <c r="I5" s="3657" t="s">
        <v>1676</v>
      </c>
      <c r="J5" s="3658"/>
      <c r="K5" s="559"/>
      <c r="L5" s="2712"/>
      <c r="M5" s="2713"/>
      <c r="N5" s="2713"/>
      <c r="O5" s="2713"/>
      <c r="P5" s="3671"/>
      <c r="Q5" s="3672"/>
      <c r="R5" s="3653"/>
      <c r="S5" s="3654"/>
      <c r="T5" s="3653"/>
      <c r="U5" s="3654"/>
      <c r="V5" s="3677"/>
      <c r="W5" s="3677"/>
      <c r="X5" s="1354"/>
      <c r="Y5" s="3653"/>
      <c r="Z5" s="3654"/>
      <c r="AA5" s="3647"/>
      <c r="AB5" s="3647"/>
      <c r="AC5" s="3647"/>
    </row>
    <row r="6" spans="1:29" ht="15" thickBot="1">
      <c r="A6" s="360"/>
      <c r="B6" s="361"/>
      <c r="C6" s="3740" t="s">
        <v>1919</v>
      </c>
      <c r="D6" s="3741"/>
      <c r="E6" s="3742" t="s">
        <v>1919</v>
      </c>
      <c r="F6" s="3743"/>
      <c r="G6" s="3740" t="s">
        <v>1919</v>
      </c>
      <c r="H6" s="3741"/>
      <c r="I6" s="3740" t="s">
        <v>1919</v>
      </c>
      <c r="J6" s="3741"/>
      <c r="K6" s="559" t="s">
        <v>1678</v>
      </c>
      <c r="L6" s="2712"/>
      <c r="M6" s="2713"/>
      <c r="N6" s="2713"/>
      <c r="O6" s="2713"/>
      <c r="P6" s="3673"/>
      <c r="Q6" s="3674"/>
      <c r="R6" s="3653"/>
      <c r="S6" s="3654"/>
      <c r="T6" s="3675"/>
      <c r="U6" s="3676"/>
      <c r="V6" s="3677"/>
      <c r="W6" s="3677"/>
      <c r="X6" s="1354"/>
      <c r="Y6" s="3675"/>
      <c r="Z6" s="3676"/>
      <c r="AA6" s="3648"/>
      <c r="AB6" s="3648"/>
      <c r="AC6" s="3648"/>
    </row>
    <row r="7" spans="1:29" s="108" customFormat="1" ht="15" thickBot="1">
      <c r="A7" s="362" t="s">
        <v>1679</v>
      </c>
      <c r="B7" s="363"/>
      <c r="C7" s="364">
        <f>'数据-取费表'!B2</f>
        <v>45538</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49" t="s">
        <v>1683</v>
      </c>
      <c r="Q8" s="3650"/>
      <c r="R8" s="701" t="s">
        <v>14</v>
      </c>
      <c r="S8" s="702">
        <f t="shared" si="0"/>
        <v>0</v>
      </c>
      <c r="T8" s="701" t="s">
        <v>14</v>
      </c>
      <c r="U8" s="702">
        <f t="shared" si="1"/>
        <v>0</v>
      </c>
      <c r="V8" s="701" t="s">
        <v>14</v>
      </c>
      <c r="W8" s="702">
        <f t="shared" si="2"/>
        <v>0</v>
      </c>
      <c r="X8" s="703"/>
      <c r="Y8" s="3649" t="s">
        <v>1683</v>
      </c>
      <c r="Z8" s="3650"/>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82" t="s">
        <v>1686</v>
      </c>
      <c r="Q9" s="1342"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112</v>
      </c>
      <c r="G10" s="383"/>
      <c r="H10" s="127">
        <f>ROUND(100/'数据-取费表'!G16,0)</f>
        <v>112</v>
      </c>
      <c r="I10" s="383"/>
      <c r="J10" s="127">
        <f>ROUND(100/'数据-取费表'!G16,0)</f>
        <v>112</v>
      </c>
      <c r="K10" s="620"/>
      <c r="L10" s="2716"/>
      <c r="M10" s="2717"/>
      <c r="N10" s="2717"/>
      <c r="O10" s="2770"/>
      <c r="P10" s="3682"/>
      <c r="Q10" s="1342" t="str">
        <f t="shared" si="6"/>
        <v>土地使用年限（年）</v>
      </c>
      <c r="R10" s="701" t="s">
        <v>14</v>
      </c>
      <c r="S10" s="702">
        <f t="shared" si="0"/>
        <v>112</v>
      </c>
      <c r="T10" s="701" t="s">
        <v>14</v>
      </c>
      <c r="U10" s="702">
        <f t="shared" si="1"/>
        <v>112</v>
      </c>
      <c r="V10" s="701" t="s">
        <v>14</v>
      </c>
      <c r="W10" s="702">
        <f t="shared" si="2"/>
        <v>112</v>
      </c>
      <c r="X10" s="703"/>
      <c r="Y10" s="3619"/>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82"/>
      <c r="Q11" s="1342"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82"/>
      <c r="Q12" s="1342">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82"/>
      <c r="Q13" s="1342">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82"/>
      <c r="Q14" s="1342">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4" t="s">
        <v>1691</v>
      </c>
      <c r="Q15" s="1351" t="str">
        <f t="shared" si="6"/>
        <v>产业集聚程度</v>
      </c>
      <c r="R15" s="705" t="s">
        <v>14</v>
      </c>
      <c r="S15" s="706">
        <f t="shared" si="0"/>
        <v>100</v>
      </c>
      <c r="T15" s="705" t="s">
        <v>14</v>
      </c>
      <c r="U15" s="706">
        <f t="shared" si="1"/>
        <v>100</v>
      </c>
      <c r="V15" s="705" t="s">
        <v>14</v>
      </c>
      <c r="W15" s="706">
        <f t="shared" si="2"/>
        <v>100</v>
      </c>
      <c r="X15" s="1354"/>
      <c r="Y15" s="368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85"/>
      <c r="Q16" s="1351"/>
      <c r="R16" s="705"/>
      <c r="S16" s="706"/>
      <c r="T16" s="705"/>
      <c r="U16" s="706"/>
      <c r="V16" s="705"/>
      <c r="W16" s="706"/>
      <c r="X16" s="1354"/>
      <c r="Y16" s="3685"/>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85"/>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85"/>
      <c r="Q18" s="1351"/>
      <c r="R18" s="705"/>
      <c r="S18" s="706"/>
      <c r="T18" s="705"/>
      <c r="U18" s="706"/>
      <c r="V18" s="705"/>
      <c r="W18" s="706"/>
      <c r="X18" s="1354"/>
      <c r="Y18" s="3685"/>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85"/>
      <c r="Q19" s="1351" t="str">
        <f t="shared" ref="Q19:Q33" si="8">B19</f>
        <v>区域土地利用方向</v>
      </c>
      <c r="R19" s="705" t="s">
        <v>14</v>
      </c>
      <c r="S19" s="706">
        <f>F19</f>
        <v>100</v>
      </c>
      <c r="T19" s="705" t="s">
        <v>14</v>
      </c>
      <c r="U19" s="706">
        <f>H19</f>
        <v>100</v>
      </c>
      <c r="V19" s="705" t="s">
        <v>14</v>
      </c>
      <c r="W19" s="706">
        <f>J19</f>
        <v>100</v>
      </c>
      <c r="X19" s="1354"/>
      <c r="Y19" s="368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85"/>
      <c r="Q20" s="1351"/>
      <c r="R20" s="705"/>
      <c r="S20" s="706"/>
      <c r="T20" s="705"/>
      <c r="U20" s="706"/>
      <c r="V20" s="705"/>
      <c r="W20" s="706"/>
      <c r="X20" s="1354"/>
      <c r="Y20" s="3685"/>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85"/>
      <c r="Q21" s="1351" t="str">
        <f t="shared" si="8"/>
        <v>环境状况</v>
      </c>
      <c r="R21" s="705" t="s">
        <v>14</v>
      </c>
      <c r="S21" s="706">
        <f>F21</f>
        <v>100</v>
      </c>
      <c r="T21" s="705" t="s">
        <v>14</v>
      </c>
      <c r="U21" s="706">
        <f>H21</f>
        <v>100</v>
      </c>
      <c r="V21" s="705" t="s">
        <v>14</v>
      </c>
      <c r="W21" s="706">
        <f>J21</f>
        <v>100</v>
      </c>
      <c r="X21" s="1354"/>
      <c r="Y21" s="368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85"/>
      <c r="Q22" s="1351"/>
      <c r="R22" s="705"/>
      <c r="S22" s="706"/>
      <c r="T22" s="705"/>
      <c r="U22" s="706"/>
      <c r="V22" s="705"/>
      <c r="W22" s="706"/>
      <c r="X22" s="1354"/>
      <c r="Y22" s="3685"/>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85"/>
      <c r="Q23" s="1342" t="str">
        <f t="shared" si="8"/>
        <v>公共配套设施</v>
      </c>
      <c r="R23" s="701" t="s">
        <v>14</v>
      </c>
      <c r="S23" s="702">
        <f>F23</f>
        <v>100</v>
      </c>
      <c r="T23" s="701" t="s">
        <v>14</v>
      </c>
      <c r="U23" s="702">
        <f>H23</f>
        <v>100</v>
      </c>
      <c r="V23" s="701" t="s">
        <v>14</v>
      </c>
      <c r="W23" s="702">
        <f>J23</f>
        <v>100</v>
      </c>
      <c r="X23" s="703"/>
      <c r="Y23" s="368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685"/>
      <c r="Q24" s="1342"/>
      <c r="R24" s="701"/>
      <c r="S24" s="702"/>
      <c r="T24" s="701"/>
      <c r="U24" s="702"/>
      <c r="V24" s="701"/>
      <c r="W24" s="702"/>
      <c r="X24" s="703"/>
      <c r="Y24" s="3685"/>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85"/>
      <c r="Q25" s="1342"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685"/>
      <c r="Q26" s="1342"/>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8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5"/>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85"/>
      <c r="Q28" s="1351" t="str">
        <f t="shared" si="8"/>
        <v>毗邻道路的类型与等级</v>
      </c>
      <c r="R28" s="705" t="s">
        <v>14</v>
      </c>
      <c r="S28" s="706">
        <f t="shared" si="10"/>
        <v>100</v>
      </c>
      <c r="T28" s="705" t="s">
        <v>14</v>
      </c>
      <c r="U28" s="706">
        <f t="shared" si="11"/>
        <v>100</v>
      </c>
      <c r="V28" s="705" t="s">
        <v>14</v>
      </c>
      <c r="W28" s="706">
        <f t="shared" si="12"/>
        <v>100</v>
      </c>
      <c r="X28" s="1354"/>
      <c r="Y28" s="368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85"/>
      <c r="Q29" s="1351"/>
      <c r="R29" s="705"/>
      <c r="S29" s="706"/>
      <c r="T29" s="705"/>
      <c r="U29" s="706"/>
      <c r="V29" s="705"/>
      <c r="W29" s="706"/>
      <c r="X29" s="1354"/>
      <c r="Y29" s="368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85"/>
      <c r="Q30" s="1351" t="str">
        <f t="shared" si="8"/>
        <v>土地级别</v>
      </c>
      <c r="R30" s="705" t="s">
        <v>14</v>
      </c>
      <c r="S30" s="706">
        <f t="shared" si="10"/>
        <v>100</v>
      </c>
      <c r="T30" s="705" t="s">
        <v>14</v>
      </c>
      <c r="U30" s="706">
        <f t="shared" si="11"/>
        <v>100</v>
      </c>
      <c r="V30" s="705" t="s">
        <v>14</v>
      </c>
      <c r="W30" s="706">
        <f t="shared" si="12"/>
        <v>100</v>
      </c>
      <c r="X30" s="1354"/>
      <c r="Y30" s="368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5"/>
      <c r="Q31" s="1351">
        <f t="shared" si="8"/>
        <v>111</v>
      </c>
      <c r="R31" s="705" t="s">
        <v>14</v>
      </c>
      <c r="S31" s="706">
        <f t="shared" si="10"/>
        <v>100</v>
      </c>
      <c r="T31" s="705" t="s">
        <v>14</v>
      </c>
      <c r="U31" s="706">
        <f t="shared" si="11"/>
        <v>100</v>
      </c>
      <c r="V31" s="705" t="s">
        <v>14</v>
      </c>
      <c r="W31" s="706">
        <f t="shared" si="12"/>
        <v>100</v>
      </c>
      <c r="X31" s="1354"/>
      <c r="Y31" s="368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5" t="s">
        <v>1696</v>
      </c>
      <c r="Q32" s="1351">
        <f t="shared" si="8"/>
        <v>111</v>
      </c>
      <c r="R32" s="705" t="s">
        <v>14</v>
      </c>
      <c r="S32" s="706">
        <f t="shared" si="10"/>
        <v>100</v>
      </c>
      <c r="T32" s="705" t="s">
        <v>14</v>
      </c>
      <c r="U32" s="706">
        <f t="shared" si="11"/>
        <v>100</v>
      </c>
      <c r="V32" s="705" t="s">
        <v>14</v>
      </c>
      <c r="W32" s="706">
        <f t="shared" si="12"/>
        <v>100</v>
      </c>
      <c r="X32" s="1354"/>
      <c r="Y32" s="3689"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89"/>
      <c r="Q33" s="1351">
        <f t="shared" si="8"/>
        <v>111</v>
      </c>
      <c r="R33" s="708" t="s">
        <v>14</v>
      </c>
      <c r="S33" s="709">
        <f t="shared" si="10"/>
        <v>100</v>
      </c>
      <c r="T33" s="708" t="s">
        <v>14</v>
      </c>
      <c r="U33" s="709">
        <f t="shared" si="11"/>
        <v>100</v>
      </c>
      <c r="V33" s="708" t="s">
        <v>14</v>
      </c>
      <c r="W33" s="709">
        <f t="shared" si="12"/>
        <v>100</v>
      </c>
      <c r="X33" s="710"/>
      <c r="Y33" s="368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89"/>
      <c r="Q34" s="1351" t="str">
        <f>B34</f>
        <v>宗地面积</v>
      </c>
      <c r="R34" s="705" t="s">
        <v>14</v>
      </c>
      <c r="S34" s="706" t="e">
        <f t="shared" si="10"/>
        <v>#N/A</v>
      </c>
      <c r="T34" s="705" t="s">
        <v>14</v>
      </c>
      <c r="U34" s="706" t="e">
        <f t="shared" si="11"/>
        <v>#N/A</v>
      </c>
      <c r="V34" s="705" t="s">
        <v>14</v>
      </c>
      <c r="W34" s="706" t="e">
        <f t="shared" si="12"/>
        <v>#N/A</v>
      </c>
      <c r="X34" s="1354"/>
      <c r="Y34" s="368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89"/>
      <c r="Q35" s="1351" t="str">
        <f t="shared" ref="Q35:Q40" si="14">B35</f>
        <v>宗地形状</v>
      </c>
      <c r="R35" s="705" t="s">
        <v>14</v>
      </c>
      <c r="S35" s="706">
        <f t="shared" si="10"/>
        <v>100</v>
      </c>
      <c r="T35" s="705" t="s">
        <v>14</v>
      </c>
      <c r="U35" s="706">
        <f t="shared" si="11"/>
        <v>100</v>
      </c>
      <c r="V35" s="705" t="s">
        <v>14</v>
      </c>
      <c r="W35" s="706">
        <f t="shared" si="12"/>
        <v>100</v>
      </c>
      <c r="X35" s="1354"/>
      <c r="Y35" s="368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689"/>
      <c r="Q36" s="1351"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89" t="s">
        <v>1696</v>
      </c>
      <c r="Q37" s="1351" t="str">
        <f t="shared" si="14"/>
        <v>工程地质条件</v>
      </c>
      <c r="R37" s="705" t="s">
        <v>14</v>
      </c>
      <c r="S37" s="706">
        <f t="shared" si="10"/>
        <v>100</v>
      </c>
      <c r="T37" s="705" t="s">
        <v>14</v>
      </c>
      <c r="U37" s="706">
        <f t="shared" si="11"/>
        <v>100</v>
      </c>
      <c r="V37" s="705" t="s">
        <v>14</v>
      </c>
      <c r="W37" s="706">
        <f t="shared" si="12"/>
        <v>100</v>
      </c>
      <c r="X37" s="1354"/>
      <c r="Y37" s="3689"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89"/>
      <c r="Q38" s="1351">
        <f t="shared" si="14"/>
        <v>111</v>
      </c>
      <c r="R38" s="705" t="s">
        <v>14</v>
      </c>
      <c r="S38" s="706">
        <f t="shared" si="10"/>
        <v>100</v>
      </c>
      <c r="T38" s="705" t="s">
        <v>14</v>
      </c>
      <c r="U38" s="706">
        <f t="shared" si="11"/>
        <v>100</v>
      </c>
      <c r="V38" s="705" t="s">
        <v>14</v>
      </c>
      <c r="W38" s="706">
        <f t="shared" si="12"/>
        <v>100</v>
      </c>
      <c r="X38" s="1354"/>
      <c r="Y38" s="368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89"/>
      <c r="Q39" s="1351">
        <f t="shared" si="14"/>
        <v>111</v>
      </c>
      <c r="R39" s="705" t="s">
        <v>14</v>
      </c>
      <c r="S39" s="706">
        <f t="shared" si="10"/>
        <v>100</v>
      </c>
      <c r="T39" s="705" t="s">
        <v>14</v>
      </c>
      <c r="U39" s="706">
        <f t="shared" si="11"/>
        <v>100</v>
      </c>
      <c r="V39" s="705" t="s">
        <v>14</v>
      </c>
      <c r="W39" s="706">
        <f t="shared" si="12"/>
        <v>100</v>
      </c>
      <c r="X39" s="1354"/>
      <c r="Y39" s="3689"/>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89"/>
      <c r="Q40" s="1351">
        <f t="shared" si="14"/>
        <v>111</v>
      </c>
      <c r="R40" s="708" t="s">
        <v>14</v>
      </c>
      <c r="S40" s="709">
        <f t="shared" si="10"/>
        <v>100</v>
      </c>
      <c r="T40" s="708" t="s">
        <v>14</v>
      </c>
      <c r="U40" s="709">
        <f t="shared" si="11"/>
        <v>100</v>
      </c>
      <c r="V40" s="708" t="s">
        <v>14</v>
      </c>
      <c r="W40" s="709">
        <f t="shared" si="12"/>
        <v>100</v>
      </c>
      <c r="X40" s="710"/>
      <c r="Y40" s="3689"/>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21"/>
      <c r="M41" s="2713"/>
      <c r="N41" s="2713"/>
      <c r="O41" s="2722"/>
      <c r="P41" s="3682" t="str">
        <f>A41</f>
        <v>成交单价</v>
      </c>
      <c r="Q41" s="3682"/>
      <c r="R41" s="3677">
        <f>E41</f>
        <v>0</v>
      </c>
      <c r="S41" s="3677"/>
      <c r="T41" s="3677">
        <f>G41</f>
        <v>0</v>
      </c>
      <c r="U41" s="3677"/>
      <c r="V41" s="3677">
        <f>I41</f>
        <v>0</v>
      </c>
      <c r="W41" s="3677"/>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1"/>
      <c r="M42" s="2713"/>
      <c r="N42" s="2713"/>
      <c r="O42" s="2722"/>
      <c r="P42" s="3682" t="str">
        <f>A42</f>
        <v>比较价值（元/平方米）</v>
      </c>
      <c r="Q42" s="3682"/>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679" t="str">
        <f>A43</f>
        <v>估价对象XX用房的比较价值（楼面单价，元/平方米）</v>
      </c>
      <c r="Q43" s="3680"/>
      <c r="R43" s="3738" t="e">
        <f>ROUND(IF(D42="简单平均",AVERAGE(R42:W42),R42*F42+T42*H42+V42*J42),0)</f>
        <v>#DIV/0!</v>
      </c>
      <c r="S43" s="3738"/>
      <c r="T43" s="3738"/>
      <c r="U43" s="3738"/>
      <c r="V43" s="3738"/>
      <c r="W43" s="373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2" t="s">
        <v>1883</v>
      </c>
      <c r="D50" s="1983" t="s">
        <v>1884</v>
      </c>
      <c r="E50" s="634" t="s">
        <v>1885</v>
      </c>
      <c r="F50" s="635" t="s">
        <v>1886</v>
      </c>
      <c r="G50" s="3665" t="s">
        <v>1887</v>
      </c>
      <c r="H50" s="3739"/>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375.87</v>
      </c>
      <c r="F51" s="639" t="e">
        <f t="shared" ref="F51:F60" si="15">ROUND(B51*E51/10000,0)</f>
        <v>#DIV/0!</v>
      </c>
      <c r="G51" s="3664"/>
      <c r="H51" s="3682"/>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8" t="s">
        <v>1904</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0"/>
      <c r="G1" s="2790"/>
      <c r="H1" s="2790"/>
      <c r="I1" s="2790"/>
      <c r="J1" s="2790"/>
      <c r="K1" s="2790"/>
      <c r="L1" s="2790"/>
      <c r="M1" s="2790"/>
      <c r="N1" s="2790"/>
      <c r="O1" s="2790"/>
      <c r="P1" s="2790"/>
    </row>
    <row r="2" spans="1:16" ht="15.6">
      <c r="A2" s="2144" t="s">
        <v>2073</v>
      </c>
      <c r="B2" s="2599">
        <f ca="1">SUMIF(B6:B13,"&lt;&gt;#ref!",B6:B13)</f>
        <v>1251</v>
      </c>
      <c r="C2" s="2144" t="s">
        <v>2074</v>
      </c>
      <c r="D2" s="2144" t="s">
        <v>2075</v>
      </c>
      <c r="E2" s="2609">
        <f ca="1">SUMIF(E6:E13,"&lt;&gt;#ref!",E6:E13)</f>
        <v>375.87</v>
      </c>
      <c r="F2" s="2790"/>
      <c r="G2" s="2790"/>
      <c r="H2" s="2790"/>
      <c r="I2" s="2790"/>
      <c r="J2" s="2790"/>
      <c r="K2" s="2790"/>
      <c r="L2" s="2790"/>
      <c r="M2" s="2790"/>
      <c r="N2" s="2790"/>
      <c r="O2" s="2790"/>
      <c r="P2" s="2790"/>
    </row>
    <row r="3" spans="1:16" ht="15.6">
      <c r="A3" s="2144" t="s">
        <v>2076</v>
      </c>
      <c r="B3" s="2599">
        <f ca="1">ROUND(B2*10000/E2,0)</f>
        <v>33283</v>
      </c>
      <c r="C3" s="2144"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5"/>
      <c r="D5" s="2790"/>
      <c r="E5" s="2608" t="s">
        <v>2079</v>
      </c>
      <c r="F5" s="2790"/>
      <c r="G5" s="2790"/>
      <c r="H5" s="2790"/>
      <c r="I5" s="2790"/>
      <c r="J5" s="2790"/>
      <c r="K5" s="2790"/>
      <c r="L5" s="2790"/>
      <c r="M5" s="2790"/>
      <c r="N5" s="2790"/>
      <c r="O5" s="2790"/>
      <c r="P5" s="2790"/>
    </row>
    <row r="6" spans="1:16" ht="15.6">
      <c r="A6" s="2606" t="s">
        <v>2080</v>
      </c>
      <c r="B6" s="2599">
        <f ca="1">SUMIF(INDIRECT("'"&amp;A6&amp;"'"&amp;"!A:A"),"总价",INDIRECT("'"&amp;A6&amp;"'"&amp;"!B:B"))</f>
        <v>1251</v>
      </c>
      <c r="C6" s="2144" t="s">
        <v>2074</v>
      </c>
      <c r="D6" s="2790"/>
      <c r="E6" s="2609">
        <f ca="1">SUMIF(INDIRECT("'"&amp;A6&amp;"'"&amp;"!C:C"),"建筑面积",INDIRECT("'"&amp;A6&amp;"'"&amp;"!D:D"))</f>
        <v>375.87</v>
      </c>
      <c r="F6" s="2790"/>
      <c r="G6" s="2790"/>
      <c r="H6" s="2790"/>
      <c r="I6" s="2790"/>
      <c r="J6" s="2790"/>
      <c r="K6" s="2790"/>
      <c r="L6" s="2790"/>
      <c r="M6" s="2790"/>
      <c r="N6" s="2790"/>
      <c r="O6" s="2790"/>
      <c r="P6" s="2790"/>
    </row>
    <row r="7" spans="1:16" ht="15.6">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6" sqref="C16"/>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375.87</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f>C30</f>
        <v>1251</v>
      </c>
      <c r="C2" s="1998" t="s">
        <v>1935</v>
      </c>
      <c r="D2" s="1999" t="s">
        <v>1936</v>
      </c>
      <c r="E2" s="3419" t="s">
        <v>3394</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Ⅱ—18</v>
      </c>
      <c r="J2" s="2001"/>
      <c r="K2" s="1119"/>
      <c r="L2" s="2002" t="s">
        <v>1939</v>
      </c>
      <c r="M2" s="864">
        <f>SUMPRODUCT((区片价!B10:B29=I2)*(区片价!C3:G3=E2)*(区片价!C10:G29))</f>
        <v>28300</v>
      </c>
      <c r="N2" s="866">
        <f>SUMPRODUCT((因素修正幅度!B10:B29=I2)*(因素修正幅度!C3:G3=E2)*(因素修正幅度!C10:G29))</f>
        <v>6.4000000000000001E-2</v>
      </c>
      <c r="O2" s="1119"/>
      <c r="P2" s="1119"/>
      <c r="Q2" s="1119"/>
      <c r="R2" s="1211">
        <v>1</v>
      </c>
      <c r="S2" s="3358">
        <f>ROUND(SUMPRODUCT((B106:B110=R2)*(C105:N105=G2)*(C106:N110)),4)</f>
        <v>1.5206</v>
      </c>
      <c r="T2" s="3358">
        <f t="shared" ref="T2:T16" si="0">ROUND($C$5*$C$22*$C$23*$C$24*S2*$C$28,0)</f>
        <v>50630</v>
      </c>
      <c r="U2" s="1212"/>
      <c r="V2" s="3358">
        <f>ROUND(T2*U2/10000,0)</f>
        <v>0</v>
      </c>
      <c r="W2" s="1215"/>
      <c r="X2" s="1215"/>
      <c r="Y2" s="1215"/>
      <c r="Z2" s="1215"/>
      <c r="AA2" s="1215"/>
      <c r="AB2" s="1215"/>
      <c r="AC2" s="1216"/>
      <c r="AD2" s="1217"/>
      <c r="AE2" s="1217"/>
      <c r="AF2" s="1217"/>
      <c r="AG2" s="1217"/>
      <c r="AH2" s="1217"/>
      <c r="AI2" s="1217"/>
      <c r="AJ2" s="1218"/>
    </row>
    <row r="3" spans="1:36" ht="15.6">
      <c r="A3" s="203" t="s">
        <v>1940</v>
      </c>
      <c r="B3" s="204">
        <f>ROUND(B2*10000/D1,0)</f>
        <v>33283</v>
      </c>
      <c r="C3" s="1998" t="s">
        <v>1941</v>
      </c>
      <c r="D3" s="1999" t="s">
        <v>1942</v>
      </c>
      <c r="E3" s="3417" t="s">
        <v>3398</v>
      </c>
      <c r="F3" s="2003" t="s">
        <v>3399</v>
      </c>
      <c r="G3" s="752">
        <f>IF(F3="宗地容积率",'数据-汇总表'!I4,IF(F3="估价对象容积率",'数据-汇总表'!I6,'数据-汇总表'!I7))</f>
        <v>2.5</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1.2072000000000001</v>
      </c>
      <c r="T3" s="3358">
        <f t="shared" si="0"/>
        <v>40195</v>
      </c>
      <c r="U3" s="1212"/>
      <c r="V3" s="3358">
        <f t="shared" ref="V3:V16" si="1">ROUND(T3*U3/10000,0)</f>
        <v>0</v>
      </c>
      <c r="W3" s="1215"/>
      <c r="X3" s="1215"/>
      <c r="Y3" s="1215"/>
      <c r="Z3" s="1215"/>
      <c r="AA3" s="1215"/>
      <c r="AB3" s="1215"/>
      <c r="AC3" s="1216"/>
      <c r="AD3" s="1217"/>
      <c r="AE3" s="1217"/>
      <c r="AF3" s="1217"/>
      <c r="AG3" s="1217"/>
      <c r="AH3" s="1217"/>
      <c r="AI3" s="1217"/>
      <c r="AJ3" s="1218"/>
    </row>
    <row r="4" spans="1:36" ht="15.6">
      <c r="A4" s="3757"/>
      <c r="B4" s="3758"/>
      <c r="C4" s="3758"/>
      <c r="D4" s="3759"/>
      <c r="E4" s="3759"/>
      <c r="F4" s="3759"/>
      <c r="G4" s="3759"/>
      <c r="H4" s="3759"/>
      <c r="I4" s="3759"/>
      <c r="J4" s="3760"/>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1.0430999999999999</v>
      </c>
      <c r="T4" s="3358">
        <f t="shared" si="0"/>
        <v>34731</v>
      </c>
      <c r="U4" s="1212"/>
      <c r="V4" s="3358">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3">
        <f>ROUND(IF(E2="商业",C6*C7*C17+C20,(IF(E2="住宅",C6*C13*C17+C20,IF(E2="办公",C6*C12*C17+C20,C6+C20)))),0)</f>
        <v>32687</v>
      </c>
      <c r="D5" s="1338">
        <f>ROUND(C6*C17+C20,0)</f>
        <v>28300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0.94389999999999996</v>
      </c>
      <c r="T5" s="3358">
        <f t="shared" si="0"/>
        <v>31428</v>
      </c>
      <c r="U5" s="1212"/>
      <c r="V5" s="3358">
        <f t="shared" si="1"/>
        <v>0</v>
      </c>
      <c r="W5" s="1215"/>
      <c r="X5" s="1215"/>
      <c r="Y5" s="1215"/>
      <c r="Z5" s="1215"/>
      <c r="AA5" s="1215"/>
      <c r="AB5" s="1215"/>
      <c r="AC5" s="2010"/>
      <c r="AD5" s="2011"/>
      <c r="AE5" s="2011"/>
      <c r="AF5" s="2011"/>
      <c r="AG5" s="2011"/>
      <c r="AH5" s="2011"/>
      <c r="AI5" s="2011"/>
      <c r="AJ5" s="2012"/>
    </row>
    <row r="6" spans="1:36" ht="15.6" thickBot="1">
      <c r="A6" s="2014" t="s">
        <v>1949</v>
      </c>
      <c r="B6" s="2015" t="s">
        <v>1950</v>
      </c>
      <c r="C6" s="754">
        <f>SUMIF(L1:L12,G2,M1:M12)</f>
        <v>28300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0.89959999999999996</v>
      </c>
      <c r="T6" s="3358">
        <f t="shared" si="0"/>
        <v>29953</v>
      </c>
      <c r="U6" s="1212"/>
      <c r="V6" s="3358">
        <f t="shared" si="1"/>
        <v>0</v>
      </c>
      <c r="W6" s="1215"/>
      <c r="X6" s="1215"/>
      <c r="Y6" s="1215"/>
      <c r="Z6" s="1215"/>
      <c r="AA6" s="1215"/>
      <c r="AB6" s="1215"/>
      <c r="AC6" s="2010"/>
      <c r="AD6" s="2011"/>
      <c r="AE6" s="2011"/>
      <c r="AF6" s="2011"/>
      <c r="AG6" s="2011"/>
      <c r="AH6" s="2011"/>
      <c r="AI6" s="2011"/>
      <c r="AJ6" s="2012"/>
    </row>
    <row r="7" spans="1:36" ht="24.6" thickBot="1">
      <c r="A7" s="3301" t="s">
        <v>3236</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f t="shared" si="0"/>
        <v>0</v>
      </c>
      <c r="U7" s="1212"/>
      <c r="V7" s="3358">
        <f t="shared" si="1"/>
        <v>0</v>
      </c>
      <c r="W7" s="1357" t="s">
        <v>1955</v>
      </c>
      <c r="X7" s="1213" t="str">
        <f>G2</f>
        <v>二级</v>
      </c>
      <c r="Y7" s="1213" t="s">
        <v>1956</v>
      </c>
      <c r="Z7" s="1214">
        <f>G3</f>
        <v>2.5</v>
      </c>
      <c r="AA7" s="1215"/>
      <c r="AB7" s="1215"/>
      <c r="AC7" s="1216"/>
      <c r="AD7" s="1217"/>
      <c r="AE7" s="1217"/>
      <c r="AF7" s="1217"/>
      <c r="AG7" s="1217"/>
      <c r="AH7" s="1217"/>
      <c r="AI7" s="1217"/>
      <c r="AJ7" s="1218"/>
    </row>
    <row r="8" spans="1:36" ht="26.4">
      <c r="A8" s="3296"/>
      <c r="B8" s="170" t="s">
        <v>1957</v>
      </c>
      <c r="C8" s="2025" t="s">
        <v>3480</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f t="shared" si="0"/>
        <v>0</v>
      </c>
      <c r="U8" s="1212"/>
      <c r="V8" s="3358">
        <f t="shared" si="1"/>
        <v>0</v>
      </c>
      <c r="W8" s="3754" t="s">
        <v>1960</v>
      </c>
      <c r="X8" s="375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f t="shared" si="0"/>
        <v>0</v>
      </c>
      <c r="U9" s="1212"/>
      <c r="V9" s="3358">
        <f t="shared" si="1"/>
        <v>0</v>
      </c>
      <c r="W9" s="3756"/>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f t="shared" si="0"/>
        <v>0</v>
      </c>
      <c r="U10" s="1212"/>
      <c r="V10" s="3358">
        <f t="shared" si="1"/>
        <v>0</v>
      </c>
      <c r="W10" s="3756"/>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8" thickBot="1">
      <c r="A12" s="3301" t="s">
        <v>3237</v>
      </c>
      <c r="B12" s="3302" t="s">
        <v>3238</v>
      </c>
      <c r="C12" s="3303">
        <v>1</v>
      </c>
      <c r="D12" s="3304" t="s">
        <v>3239</v>
      </c>
      <c r="E12" s="3305" t="s">
        <v>3240</v>
      </c>
      <c r="F12" s="3306"/>
      <c r="G12" s="3307"/>
      <c r="H12" s="3307"/>
      <c r="I12" s="3307"/>
      <c r="J12" s="3308"/>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24.6" thickBot="1">
      <c r="A13" s="3301" t="s">
        <v>3241</v>
      </c>
      <c r="B13" s="2033" t="s">
        <v>1982</v>
      </c>
      <c r="C13" s="755">
        <f>ROUND(C16*D16*E16*F16*G16*H16*I16*J16,4)</f>
        <v>1.155</v>
      </c>
      <c r="D13" s="2034" t="s">
        <v>1983</v>
      </c>
      <c r="E13" s="2035"/>
      <c r="F13" s="2035"/>
      <c r="G13" s="2036"/>
      <c r="H13" s="2036"/>
      <c r="I13" s="2036"/>
      <c r="J13" s="2037"/>
      <c r="K13" s="1119"/>
      <c r="L13" s="3297"/>
      <c r="M13" s="3298"/>
      <c r="N13" s="3299"/>
      <c r="O13" s="1119"/>
      <c r="P13" s="1119"/>
      <c r="Q13" s="1119"/>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24">
      <c r="A14" s="3295"/>
      <c r="B14" s="2039" t="s">
        <v>1985</v>
      </c>
      <c r="C14" s="2040" t="s">
        <v>1986</v>
      </c>
      <c r="D14" s="1349" t="s">
        <v>1987</v>
      </c>
      <c r="E14" s="27" t="s">
        <v>1988</v>
      </c>
      <c r="F14" s="3309" t="s">
        <v>3242</v>
      </c>
      <c r="G14" s="3309" t="s">
        <v>3242</v>
      </c>
      <c r="H14" s="3309" t="s">
        <v>3242</v>
      </c>
      <c r="I14" s="3309" t="s">
        <v>3242</v>
      </c>
      <c r="J14" s="3309" t="s">
        <v>3242</v>
      </c>
      <c r="K14" s="1119"/>
      <c r="L14" s="1119"/>
      <c r="M14" s="1119"/>
      <c r="N14" s="1119"/>
      <c r="O14" s="1119"/>
      <c r="P14" s="1119"/>
      <c r="Q14" s="1119"/>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t="s">
        <v>3481</v>
      </c>
      <c r="E15" s="2044"/>
      <c r="F15" s="3310" t="s">
        <v>3243</v>
      </c>
      <c r="G15" s="3311"/>
      <c r="H15" s="3312"/>
      <c r="I15" s="3313"/>
      <c r="J15" s="3314"/>
      <c r="K15" s="1119"/>
      <c r="L15" s="1119"/>
      <c r="M15" s="1119"/>
      <c r="N15" s="1119"/>
      <c r="O15" s="1119"/>
      <c r="P15" s="1119"/>
      <c r="Q15" s="1119"/>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6" thickBot="1">
      <c r="A16" s="3295"/>
      <c r="B16" s="3317" t="s">
        <v>1989</v>
      </c>
      <c r="C16" s="3315">
        <v>1</v>
      </c>
      <c r="D16" s="3315">
        <v>1.1000000000000001</v>
      </c>
      <c r="E16" s="3315">
        <v>1.05</v>
      </c>
      <c r="F16" s="3315">
        <v>1</v>
      </c>
      <c r="G16" s="3315">
        <v>1</v>
      </c>
      <c r="H16" s="3315">
        <v>1</v>
      </c>
      <c r="I16" s="3315">
        <v>1</v>
      </c>
      <c r="J16" s="3316">
        <v>1</v>
      </c>
      <c r="K16" s="1119"/>
      <c r="L16" s="1996"/>
      <c r="M16" s="1996"/>
      <c r="N16" s="1996"/>
      <c r="O16" s="1996"/>
      <c r="P16" s="1996"/>
      <c r="Q16" s="1119"/>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0"/>
      <c r="B18" s="3007"/>
      <c r="C18" s="3325"/>
      <c r="D18" s="3320" t="s">
        <v>3247</v>
      </c>
      <c r="E18" s="3326"/>
      <c r="F18" s="3321" t="s">
        <v>3250</v>
      </c>
      <c r="G18" s="3325">
        <f>ROUND(1-(1/(POWER(1+G24,E18))),4)</f>
        <v>0</v>
      </c>
      <c r="H18" s="3321" t="s">
        <v>3252</v>
      </c>
      <c r="I18" s="3325">
        <f>ROUND(1-(1/(POWER(1+G24,J24))),4)</f>
        <v>0.96709999999999996</v>
      </c>
      <c r="J18" s="333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4.4" thickBot="1">
      <c r="A19" s="3332"/>
      <c r="B19" s="3333"/>
      <c r="C19" s="3334"/>
      <c r="D19" s="3334" t="s">
        <v>3248</v>
      </c>
      <c r="E19" s="3335"/>
      <c r="F19" s="3336" t="s">
        <v>3251</v>
      </c>
      <c r="G19" s="3335"/>
      <c r="H19" s="3334"/>
      <c r="I19" s="3334"/>
      <c r="J19" s="333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3.8">
      <c r="A20" s="3761" t="s">
        <v>3253</v>
      </c>
      <c r="B20" s="167" t="s">
        <v>1994</v>
      </c>
      <c r="C20" s="3322">
        <f>ROUND(IF(F21="与级别开发程度一致",0,(G21-E21)/C21),0)</f>
        <v>0</v>
      </c>
      <c r="D20" s="3338" t="s">
        <v>1998</v>
      </c>
      <c r="E20" s="3339"/>
      <c r="F20" s="3767" t="s">
        <v>1995</v>
      </c>
      <c r="G20" s="3768"/>
      <c r="H20" s="3323"/>
      <c r="I20" s="3323"/>
      <c r="J20" s="3324"/>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7" thickBot="1">
      <c r="A21" s="3762"/>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3482</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 thickBot="1">
      <c r="A22" s="2157" t="s">
        <v>363</v>
      </c>
      <c r="B22" s="2158" t="s">
        <v>2000</v>
      </c>
      <c r="C22" s="2159">
        <f>SUMIF(修正!C20:C51,E3,修正!E20:E51)</f>
        <v>1</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2053" t="s">
        <v>2002</v>
      </c>
      <c r="E23" s="761">
        <v>44197</v>
      </c>
      <c r="F23" s="2053" t="s">
        <v>2003</v>
      </c>
      <c r="G23" s="762">
        <f>'数据-取费表'!B2</f>
        <v>45538</v>
      </c>
      <c r="H23" s="3340" t="s">
        <v>3255</v>
      </c>
      <c r="I23" s="3341" t="str">
        <f>IF(H23="季度增幅（自定义）",SUMIF(N25:N28,E2,O25:O28),"")</f>
        <v/>
      </c>
      <c r="J23" s="3443" t="s">
        <v>3254</v>
      </c>
      <c r="K23" s="1125"/>
      <c r="L23" s="2054" t="s">
        <v>2004</v>
      </c>
      <c r="M23" s="1327">
        <f>ROUND(SUMIF(地价!B2:G2,E2,地价!B16:G16),0)</f>
        <v>687</v>
      </c>
      <c r="N23" s="2055" t="s">
        <v>2005</v>
      </c>
      <c r="O23" s="763">
        <f>ROUNDDOWN(DATEDIF(E23,G23,"M")/3,0)</f>
        <v>14</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0.92310000000000003</v>
      </c>
      <c r="D24" s="2059" t="s">
        <v>2007</v>
      </c>
      <c r="E24" s="1334">
        <f>存贷款利率!E27/100</f>
        <v>4.3499999999999997E-2</v>
      </c>
      <c r="F24" s="2059" t="s">
        <v>1999</v>
      </c>
      <c r="G24" s="768">
        <f>SUMIF(M30:Q30,E2,M33:Q33)</f>
        <v>0.05</v>
      </c>
      <c r="H24" s="2059" t="s">
        <v>2008</v>
      </c>
      <c r="I24" s="769">
        <f>SUMIF('数据-取费表'!C6:C15,E2,'数据-取费表'!F6:F15)/COUNTIF('数据-取费表'!C6:C15,E2)</f>
        <v>45.76</v>
      </c>
      <c r="J24" s="770">
        <f>IF(E2="住宅",70,IF(E2="商业",40,50))</f>
        <v>70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4" t="s">
        <v>366</v>
      </c>
      <c r="B25" s="2065" t="s">
        <v>3334</v>
      </c>
      <c r="C25" s="771">
        <f>IF(B25="容积率修正",IF(G3&lt;10,D26,J26),C27)</f>
        <v>1</v>
      </c>
      <c r="D25" s="2066"/>
      <c r="E25" s="2066"/>
      <c r="F25" s="2066"/>
      <c r="G25" s="2066"/>
      <c r="H25" s="2066"/>
      <c r="I25" s="2066"/>
      <c r="J25" s="2067"/>
      <c r="K25" s="1125"/>
      <c r="L25" s="2785"/>
      <c r="M25" s="2785"/>
      <c r="N25" s="2068"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2" t="s">
        <v>3256</v>
      </c>
      <c r="D26" s="1351">
        <f>IF(E26=G26,F26,IF(G3&lt;10,ROUND(F26+(H26-F26)*(G3-E26)/(G26-E26),4),"——"))</f>
        <v>1</v>
      </c>
      <c r="E26" s="752">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3257</v>
      </c>
      <c r="J26" s="772" t="str">
        <f>IF(G3&gt;=10,D115,"——")</f>
        <v>——</v>
      </c>
      <c r="K26" s="1125"/>
      <c r="L26" s="2785"/>
      <c r="M26" s="2785"/>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1.0339</v>
      </c>
      <c r="D28" s="2051"/>
      <c r="E28" s="2076"/>
      <c r="F28" s="2076"/>
      <c r="G28" s="2076"/>
      <c r="H28" s="2076"/>
      <c r="I28" s="2076"/>
      <c r="J28" s="2077"/>
      <c r="K28" s="1125"/>
      <c r="L28" s="2785"/>
      <c r="M28" s="2785"/>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f>IF(B25="容积率修正",E33+SUM(E37:E42),SUM(V2:V16)+SUM(E37:E42))</f>
        <v>1251</v>
      </c>
      <c r="D30" s="2082"/>
      <c r="E30" s="2045"/>
      <c r="F30" s="2083"/>
      <c r="G30" s="2045"/>
      <c r="H30" s="2045"/>
      <c r="I30" s="2045"/>
      <c r="J30" s="2084"/>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f>E34+SUM(I37:I42)</f>
        <v>0</v>
      </c>
      <c r="D31" s="2086"/>
      <c r="E31" s="2087"/>
      <c r="F31" s="2088"/>
      <c r="G31" s="2087"/>
      <c r="H31" s="2087"/>
      <c r="I31" s="2087"/>
      <c r="J31" s="2089"/>
      <c r="K31" s="1119"/>
      <c r="L31" s="3350" t="s">
        <v>1996</v>
      </c>
      <c r="M31" s="1999">
        <v>0.25</v>
      </c>
      <c r="N31" s="1999">
        <v>0.2</v>
      </c>
      <c r="O31" s="1999">
        <v>0.15</v>
      </c>
      <c r="P31" s="1999">
        <v>0.1</v>
      </c>
      <c r="Q31" s="334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f>ROUND(C5*C22*C23*C24*C25*C28,0)</f>
        <v>33296</v>
      </c>
      <c r="D33" s="2097">
        <f>'数据-汇总表'!F19</f>
        <v>375.87</v>
      </c>
      <c r="E33" s="773">
        <f>ROUND(C33*D33/10000,0)</f>
        <v>1251</v>
      </c>
      <c r="F33" s="3343" t="s">
        <v>3259</v>
      </c>
      <c r="G33" s="2098"/>
      <c r="H33" s="2098"/>
      <c r="I33" s="2098"/>
      <c r="J33" s="2099"/>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f>ROUND(IF(E2="工业",C33*M42,IF(B25="楼层修正",SUM(V2:V16)*M41*10000/D34,C33*M41)),0)</f>
        <v>8324</v>
      </c>
      <c r="D34" s="2102"/>
      <c r="E34" s="773">
        <f>ROUND(IF(B25="楼层修正",SUM(V2:V16)*M40,C34*D34/10000),0)</f>
        <v>0</v>
      </c>
      <c r="F34" s="2103" t="s">
        <v>2032</v>
      </c>
      <c r="G34" s="2104"/>
      <c r="H34" s="2104"/>
      <c r="I34" s="2104"/>
      <c r="J34" s="2105"/>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4" t="s">
        <v>3260</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4" t="s">
        <v>3264</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65"/>
      <c r="B37" s="2112" t="s">
        <v>2036</v>
      </c>
      <c r="C37" s="175">
        <f>ROUND(D5*C22*C23*C24*C28*F37,0)</f>
        <v>20179</v>
      </c>
      <c r="D37" s="2097"/>
      <c r="E37" s="171">
        <f>ROUND(C37*D37/10000,0)</f>
        <v>0</v>
      </c>
      <c r="F37" s="171">
        <f>SUMIF(修正!A57:A68,G2,修正!B57:B68)</f>
        <v>0.7</v>
      </c>
      <c r="G37" s="171">
        <f>ROUND(IF(E2="工业",C37*$M$42,C37*$M$41),0)</f>
        <v>5045</v>
      </c>
      <c r="H37" s="171">
        <f>D37</f>
        <v>0</v>
      </c>
      <c r="I37" s="171">
        <f>ROUND(G37*H37/10000,0)</f>
        <v>0</v>
      </c>
      <c r="J37" s="3009"/>
      <c r="K37" s="3356" t="s">
        <v>3265</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6"/>
      <c r="B38" s="2040" t="s">
        <v>2037</v>
      </c>
      <c r="C38" s="175">
        <f>ROUND(D5*C22*C23*C24*C28*F38,0)</f>
        <v>11531</v>
      </c>
      <c r="D38" s="2097"/>
      <c r="E38" s="171">
        <f t="shared" ref="E38:E42" si="4">ROUND(C38*D38/10000,0)</f>
        <v>0</v>
      </c>
      <c r="F38" s="171">
        <f>SUMIF(修正!A57:A68,G2,修正!C57:C68)</f>
        <v>0.4</v>
      </c>
      <c r="G38" s="171">
        <f>ROUND(IF(E2="工业",C38*$M$42,C38*$M$41),0)</f>
        <v>2883</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66"/>
      <c r="B39" s="2040" t="s">
        <v>3258</v>
      </c>
      <c r="C39" s="175">
        <f>ROUND(D5*C22*C23*C24*C28*F39,0)</f>
        <v>8648</v>
      </c>
      <c r="D39" s="2097"/>
      <c r="E39" s="171">
        <f t="shared" si="4"/>
        <v>0</v>
      </c>
      <c r="F39" s="171">
        <f>SUMIF(修正!A57:A68,G2,修正!D57:D68)</f>
        <v>0.3</v>
      </c>
      <c r="G39" s="171">
        <f>ROUND(IF(E2="工业",C39*$M$42,C39*$M$41),0)</f>
        <v>2162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8648</v>
      </c>
      <c r="D40" s="2097"/>
      <c r="E40" s="171">
        <f t="shared" si="4"/>
        <v>0</v>
      </c>
      <c r="F40" s="175">
        <f>SUMIF(修正!A57:A68,G2,修正!E57:E68)</f>
        <v>0.3</v>
      </c>
      <c r="G40" s="171">
        <f>ROUND(IF(E2="工业",C40*$M$42,C40*$M$41),0)</f>
        <v>2162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7" t="s">
        <v>3266</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hidden="1">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5.6" hidden="1">
      <c r="A51" s="2129" t="s">
        <v>2053</v>
      </c>
      <c r="B51" s="2133" t="str">
        <f>估价对象房地状况!C18</f>
        <v>估价对象周边有24路、117路、123路、132路、135路、413路、515路等多条公交线路，地铁2号线及13号线换乘站（东直门站），东直门长途汽车站等，综合评价交通便捷度较好</v>
      </c>
      <c r="C51" s="2043"/>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6" t="s">
        <v>3268</v>
      </c>
      <c r="B52" s="2133">
        <f>估价对象房地状况!C19</f>
        <v>0</v>
      </c>
      <c r="C52" s="2043"/>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29" t="s">
        <v>2054</v>
      </c>
      <c r="B53" s="2134" t="s">
        <v>2055</v>
      </c>
      <c r="C53" s="2043"/>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2056</v>
      </c>
      <c r="B54" s="2133" t="str">
        <f>估价对象房地状况!C24</f>
        <v>城市次干道——胡家园路</v>
      </c>
      <c r="C54" s="2043"/>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29" t="s">
        <v>2057</v>
      </c>
      <c r="B55" s="2135" t="s">
        <v>2058</v>
      </c>
      <c r="C55" s="2043"/>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6" t="s">
        <v>2059</v>
      </c>
      <c r="B56" s="1325" t="str">
        <f>估价对象房地状况!C21</f>
        <v>估价对象所在区域公共配套设施齐备情况</v>
      </c>
      <c r="C56" s="2043"/>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6" t="s">
        <v>2060</v>
      </c>
      <c r="B57" s="2133" t="str">
        <f>估价对象房地状况!C22</f>
        <v>七通</v>
      </c>
      <c r="C57" s="2043"/>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6.599999999999994" hidden="1" thickBot="1">
      <c r="A58" s="2137" t="s">
        <v>2061</v>
      </c>
      <c r="B58" s="2138" t="str">
        <f>估价对象房地状况!C20</f>
        <v>区域自然环境：亮马河、东城区亮马河公园；人文环境：工人体育场、东直门外清真寺；综合评价环境状况较好</v>
      </c>
      <c r="C58" s="2043"/>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5.6" hidden="1">
      <c r="A62" s="2129" t="s">
        <v>2053</v>
      </c>
      <c r="B62" s="2133" t="str">
        <f>估价对象房地状况!C18</f>
        <v>估价对象周边有24路、117路、123路、132路、135路、413路、515路等多条公交线路，地铁2号线及13号线换乘站（东直门站），东直门长途汽车站等，综合评价交通便捷度较好</v>
      </c>
      <c r="C62" s="2043"/>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6" t="s">
        <v>3268</v>
      </c>
      <c r="B63" s="2133">
        <f>估价对象房地状况!C19</f>
        <v>0</v>
      </c>
      <c r="C63" s="2043"/>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29" t="s">
        <v>2054</v>
      </c>
      <c r="B64" s="2134" t="s">
        <v>2055</v>
      </c>
      <c r="C64" s="2043"/>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2056</v>
      </c>
      <c r="B65" s="2133" t="str">
        <f>估价对象房地状况!C24</f>
        <v>城市次干道——胡家园路</v>
      </c>
      <c r="C65" s="2043"/>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29" t="s">
        <v>2057</v>
      </c>
      <c r="B66" s="2135" t="s">
        <v>2058</v>
      </c>
      <c r="C66" s="2043"/>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29" t="s">
        <v>2059</v>
      </c>
      <c r="B67" s="1325" t="str">
        <f>估价对象房地状况!C21</f>
        <v>估价对象所在区域公共配套设施齐备情况</v>
      </c>
      <c r="C67" s="2043"/>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9" t="s">
        <v>2060</v>
      </c>
      <c r="B68" s="1325" t="str">
        <f>估价对象房地状况!C22</f>
        <v>七通</v>
      </c>
      <c r="C68" s="2043"/>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6.599999999999994" hidden="1" thickBot="1">
      <c r="A69" s="2137" t="s">
        <v>2061</v>
      </c>
      <c r="B69" s="2139" t="str">
        <f>估价对象房地状况!C20</f>
        <v>区域自然环境：亮马河、东城区亮马河公园；人文环境：工人体育场、东直门外清真寺；综合评价环境状况较好</v>
      </c>
      <c r="C69" s="2043"/>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1.0339</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66">
      <c r="A72" s="2129" t="s">
        <v>2066</v>
      </c>
      <c r="B72" s="2132" t="str">
        <f>估价对象房地状况!C15</f>
        <v>估价对象周边有梵悦108、使馆壹号院、海晟名苑、万国城MOMA等住宅小区，综合评价居住社区成熟度较好</v>
      </c>
      <c r="C72" s="2043" t="s">
        <v>3489</v>
      </c>
      <c r="D72" s="1065">
        <f t="shared" ref="D72:D80" si="17">SUMIF($J$71:$N$71,C72,J72:N72)</f>
        <v>6.4000000000000003E-3</v>
      </c>
      <c r="E72" s="744">
        <f>ROUND(SUM(D72:D80),4)</f>
        <v>3.39E-2</v>
      </c>
      <c r="F72" s="1813">
        <f>IF(E2="住宅",SUMIF(L1:L12,G2,N1:N12),"——")</f>
        <v>6.4000000000000001E-2</v>
      </c>
      <c r="G72" s="1063">
        <v>6.4000000000000003E-3</v>
      </c>
      <c r="H72" s="1066">
        <f t="shared" ref="H72:H80" si="18">IFERROR(ROUNDDOWN($F$72*I72/2,4),"——")</f>
        <v>6.4000000000000003E-3</v>
      </c>
      <c r="I72" s="3364">
        <v>0.2</v>
      </c>
      <c r="J72" s="1064">
        <f t="shared" ref="J72:J80" si="19">K72+$G72</f>
        <v>1.2800000000000001E-2</v>
      </c>
      <c r="K72" s="1064">
        <f t="shared" ref="K72:K80" si="20">$L72+$G72</f>
        <v>6.4000000000000003E-3</v>
      </c>
      <c r="L72" s="1064">
        <v>0</v>
      </c>
      <c r="M72" s="1064">
        <f t="shared" ref="M72:N80" si="21">L72-$G72</f>
        <v>-6.4000000000000003E-3</v>
      </c>
      <c r="N72" s="1064">
        <f t="shared" si="21"/>
        <v>-1.2800000000000001E-2</v>
      </c>
      <c r="AA72" s="1120"/>
      <c r="AB72" s="1120"/>
      <c r="AC72" s="1120"/>
      <c r="AD72" s="1120"/>
      <c r="AE72" s="1120"/>
      <c r="AF72" s="1120"/>
      <c r="AG72" s="1120"/>
      <c r="AH72" s="1120"/>
      <c r="AI72" s="1120"/>
      <c r="AJ72" s="1120"/>
      <c r="AK72" s="1120"/>
    </row>
    <row r="73" spans="1:37" s="1119" customFormat="1" ht="105.6">
      <c r="A73" s="2129" t="s">
        <v>2053</v>
      </c>
      <c r="B73" s="2133" t="str">
        <f>估价对象房地状况!C18</f>
        <v>估价对象周边有24路、117路、123路、132路、135路、413路、515路等多条公交线路，地铁2号线及13号线换乘站（东直门站），东直门长途汽车站等，综合评价交通便捷度较好</v>
      </c>
      <c r="C73" s="2043" t="s">
        <v>3489</v>
      </c>
      <c r="D73" s="1065">
        <f t="shared" si="17"/>
        <v>8.3000000000000001E-3</v>
      </c>
      <c r="E73" s="747"/>
      <c r="F73" s="1813"/>
      <c r="G73" s="1063">
        <v>8.3000000000000001E-3</v>
      </c>
      <c r="H73" s="1066">
        <f t="shared" si="18"/>
        <v>8.3000000000000001E-3</v>
      </c>
      <c r="I73" s="3364">
        <v>0.26</v>
      </c>
      <c r="J73" s="1064">
        <f t="shared" si="19"/>
        <v>1.66E-2</v>
      </c>
      <c r="K73" s="1064">
        <f t="shared" si="20"/>
        <v>8.3000000000000001E-3</v>
      </c>
      <c r="L73" s="1064">
        <v>0</v>
      </c>
      <c r="M73" s="1064">
        <f t="shared" si="21"/>
        <v>-8.3000000000000001E-3</v>
      </c>
      <c r="N73" s="1064">
        <f t="shared" si="21"/>
        <v>-1.66E-2</v>
      </c>
      <c r="AA73" s="1120"/>
      <c r="AB73" s="1120"/>
      <c r="AC73" s="1120"/>
      <c r="AD73" s="1120"/>
      <c r="AE73" s="1120"/>
      <c r="AF73" s="1120"/>
      <c r="AG73" s="1120"/>
      <c r="AH73" s="1120"/>
      <c r="AI73" s="1120"/>
      <c r="AJ73" s="1120"/>
      <c r="AK73" s="1120"/>
    </row>
    <row r="74" spans="1:37" s="1996" customFormat="1" ht="48">
      <c r="A74" s="3366" t="s">
        <v>3268</v>
      </c>
      <c r="B74" s="2133">
        <f>估价对象房地状况!C19</f>
        <v>0</v>
      </c>
      <c r="C74" s="2043" t="s">
        <v>3489</v>
      </c>
      <c r="D74" s="1065">
        <f t="shared" si="17"/>
        <v>3.2000000000000002E-3</v>
      </c>
      <c r="E74" s="747"/>
      <c r="F74" s="1813"/>
      <c r="G74" s="1063">
        <v>3.2000000000000002E-3</v>
      </c>
      <c r="H74" s="1066">
        <f t="shared" si="18"/>
        <v>3.2000000000000002E-3</v>
      </c>
      <c r="I74" s="3364">
        <v>0.1</v>
      </c>
      <c r="J74" s="1064">
        <f t="shared" si="19"/>
        <v>6.4000000000000003E-3</v>
      </c>
      <c r="K74" s="1064">
        <f t="shared" si="20"/>
        <v>3.2000000000000002E-3</v>
      </c>
      <c r="L74" s="1064">
        <v>0</v>
      </c>
      <c r="M74" s="1064">
        <f t="shared" si="21"/>
        <v>-3.2000000000000002E-3</v>
      </c>
      <c r="N74" s="1064">
        <f t="shared" si="21"/>
        <v>-6.4000000000000003E-3</v>
      </c>
      <c r="O74" s="1119"/>
      <c r="P74" s="1119"/>
      <c r="Q74" s="1119"/>
      <c r="AA74" s="2140"/>
      <c r="AB74" s="1120"/>
      <c r="AC74" s="1120"/>
      <c r="AD74" s="1120"/>
      <c r="AE74" s="1120"/>
      <c r="AF74" s="1120"/>
      <c r="AG74" s="1120"/>
      <c r="AH74" s="2140"/>
      <c r="AI74" s="2140"/>
      <c r="AJ74" s="2140"/>
      <c r="AK74" s="2140"/>
    </row>
    <row r="75" spans="1:37" ht="13.8">
      <c r="A75" s="2129" t="s">
        <v>2067</v>
      </c>
      <c r="B75" s="2133" t="str">
        <f>估价对象房地状况!C24</f>
        <v>城市次干道——胡家园路</v>
      </c>
      <c r="C75" s="2043" t="s">
        <v>3490</v>
      </c>
      <c r="D75" s="1065">
        <f t="shared" si="17"/>
        <v>0</v>
      </c>
      <c r="E75" s="747"/>
      <c r="F75" s="1813"/>
      <c r="G75" s="1063">
        <v>1.6000000000000001E-3</v>
      </c>
      <c r="H75" s="1066">
        <f t="shared" si="18"/>
        <v>1.6000000000000001E-3</v>
      </c>
      <c r="I75" s="3364">
        <v>0.05</v>
      </c>
      <c r="J75" s="1064">
        <f t="shared" si="19"/>
        <v>3.2000000000000002E-3</v>
      </c>
      <c r="K75" s="1064">
        <f t="shared" si="20"/>
        <v>1.6000000000000001E-3</v>
      </c>
      <c r="L75" s="1064">
        <v>0</v>
      </c>
      <c r="M75" s="1064">
        <f t="shared" si="21"/>
        <v>-1.6000000000000001E-3</v>
      </c>
      <c r="N75" s="1064">
        <f t="shared" si="21"/>
        <v>-3.2000000000000002E-3</v>
      </c>
      <c r="O75" s="1119"/>
      <c r="P75" s="1119"/>
      <c r="Q75" s="1996"/>
      <c r="Z75" s="1997"/>
      <c r="AA75" s="2052"/>
      <c r="AG75" s="1121"/>
      <c r="AK75" s="2052"/>
    </row>
    <row r="76" spans="1:37" ht="26.4">
      <c r="A76" s="2129" t="s">
        <v>2059</v>
      </c>
      <c r="B76" s="1325" t="str">
        <f>估价对象房地状况!C21</f>
        <v>估价对象所在区域公共配套设施齐备情况</v>
      </c>
      <c r="C76" s="2043" t="s">
        <v>3488</v>
      </c>
      <c r="D76" s="1065">
        <f t="shared" si="17"/>
        <v>5.0000000000000001E-3</v>
      </c>
      <c r="E76" s="747"/>
      <c r="F76" s="1813"/>
      <c r="G76" s="1063">
        <v>2.5000000000000001E-3</v>
      </c>
      <c r="H76" s="1066">
        <f t="shared" si="18"/>
        <v>2.5000000000000001E-3</v>
      </c>
      <c r="I76" s="3364">
        <v>0.08</v>
      </c>
      <c r="J76" s="1064">
        <f t="shared" si="19"/>
        <v>5.0000000000000001E-3</v>
      </c>
      <c r="K76" s="1064">
        <f t="shared" si="20"/>
        <v>2.5000000000000001E-3</v>
      </c>
      <c r="L76" s="1064">
        <v>0</v>
      </c>
      <c r="M76" s="1064">
        <f t="shared" si="21"/>
        <v>-2.5000000000000001E-3</v>
      </c>
      <c r="N76" s="1064">
        <f t="shared" si="21"/>
        <v>-5.0000000000000001E-3</v>
      </c>
      <c r="O76" s="1119"/>
      <c r="P76" s="1119"/>
      <c r="Z76" s="1997"/>
      <c r="AA76" s="2052"/>
      <c r="AG76" s="1121"/>
      <c r="AK76" s="2052"/>
    </row>
    <row r="77" spans="1:37" ht="24">
      <c r="A77" s="2129" t="s">
        <v>2060</v>
      </c>
      <c r="B77" s="1325" t="str">
        <f>估价对象房地状况!C22</f>
        <v>七通</v>
      </c>
      <c r="C77" s="2043" t="s">
        <v>3488</v>
      </c>
      <c r="D77" s="1065">
        <f t="shared" si="17"/>
        <v>5.5999999999999999E-3</v>
      </c>
      <c r="E77" s="747"/>
      <c r="F77" s="1813"/>
      <c r="G77" s="1063">
        <v>2.8E-3</v>
      </c>
      <c r="H77" s="1066">
        <f t="shared" si="18"/>
        <v>2.8E-3</v>
      </c>
      <c r="I77" s="3364">
        <v>0.09</v>
      </c>
      <c r="J77" s="1064">
        <f t="shared" si="19"/>
        <v>5.5999999999999999E-3</v>
      </c>
      <c r="K77" s="1064">
        <f t="shared" si="20"/>
        <v>2.8E-3</v>
      </c>
      <c r="L77" s="1064">
        <v>0</v>
      </c>
      <c r="M77" s="1064">
        <f t="shared" si="21"/>
        <v>-2.8E-3</v>
      </c>
      <c r="N77" s="1064">
        <f t="shared" si="21"/>
        <v>-5.5999999999999999E-3</v>
      </c>
      <c r="O77" s="1119"/>
      <c r="P77" s="1119"/>
      <c r="Z77" s="1997"/>
      <c r="AA77" s="2052"/>
      <c r="AG77" s="1121"/>
      <c r="AK77" s="2052"/>
    </row>
    <row r="78" spans="1:37" ht="36">
      <c r="A78" s="2129" t="s">
        <v>2057</v>
      </c>
      <c r="B78" s="2135" t="s">
        <v>2058</v>
      </c>
      <c r="C78" s="2043" t="s">
        <v>3490</v>
      </c>
      <c r="D78" s="1065">
        <f t="shared" si="17"/>
        <v>0</v>
      </c>
      <c r="E78" s="747"/>
      <c r="F78" s="1813"/>
      <c r="G78" s="1063">
        <v>1.6000000000000001E-3</v>
      </c>
      <c r="H78" s="1066">
        <f t="shared" si="18"/>
        <v>1.6000000000000001E-3</v>
      </c>
      <c r="I78" s="3364">
        <v>0.05</v>
      </c>
      <c r="J78" s="1064">
        <f t="shared" si="19"/>
        <v>3.2000000000000002E-3</v>
      </c>
      <c r="K78" s="1064">
        <f t="shared" si="20"/>
        <v>1.6000000000000001E-3</v>
      </c>
      <c r="L78" s="1064">
        <v>0</v>
      </c>
      <c r="M78" s="1064">
        <f t="shared" si="21"/>
        <v>-1.6000000000000001E-3</v>
      </c>
      <c r="N78" s="1064">
        <f t="shared" si="21"/>
        <v>-3.2000000000000002E-3</v>
      </c>
      <c r="O78" s="1996"/>
      <c r="P78" s="1996"/>
      <c r="Z78" s="1997"/>
      <c r="AA78" s="2052"/>
      <c r="AG78" s="1121"/>
      <c r="AK78" s="2052"/>
    </row>
    <row r="79" spans="1:37" ht="66">
      <c r="A79" s="2129" t="s">
        <v>2061</v>
      </c>
      <c r="B79" s="2132" t="str">
        <f>估价对象房地状况!C20</f>
        <v>区域自然环境：亮马河、东城区亮马河公园；人文环境：工人体育场、东直门外清真寺；综合评价环境状况较好</v>
      </c>
      <c r="C79" s="2043" t="s">
        <v>3489</v>
      </c>
      <c r="D79" s="1065">
        <f t="shared" si="17"/>
        <v>3.8E-3</v>
      </c>
      <c r="E79" s="747"/>
      <c r="F79" s="1813"/>
      <c r="G79" s="1063">
        <v>3.8E-3</v>
      </c>
      <c r="H79" s="1066">
        <f t="shared" si="18"/>
        <v>3.8E-3</v>
      </c>
      <c r="I79" s="3364">
        <v>0.12</v>
      </c>
      <c r="J79" s="1064">
        <f t="shared" si="19"/>
        <v>7.6E-3</v>
      </c>
      <c r="K79" s="1064">
        <f t="shared" si="20"/>
        <v>3.8E-3</v>
      </c>
      <c r="L79" s="1064">
        <v>0</v>
      </c>
      <c r="M79" s="1064">
        <f t="shared" si="21"/>
        <v>-3.8E-3</v>
      </c>
      <c r="N79" s="1064">
        <f t="shared" si="21"/>
        <v>-7.6E-3</v>
      </c>
      <c r="Z79" s="1997"/>
      <c r="AA79" s="2052"/>
      <c r="AG79" s="1121"/>
      <c r="AK79" s="2052"/>
    </row>
    <row r="80" spans="1:37" ht="36.6" thickBot="1">
      <c r="A80" s="2137" t="s">
        <v>2068</v>
      </c>
      <c r="B80" s="2141"/>
      <c r="C80" s="2043" t="s">
        <v>3489</v>
      </c>
      <c r="D80" s="1065">
        <f t="shared" si="17"/>
        <v>1.6000000000000001E-3</v>
      </c>
      <c r="E80" s="748"/>
      <c r="F80" s="1813"/>
      <c r="G80" s="1063">
        <v>1.6000000000000001E-3</v>
      </c>
      <c r="H80" s="1066">
        <f t="shared" si="18"/>
        <v>1.6000000000000001E-3</v>
      </c>
      <c r="I80" s="3365">
        <v>0.05</v>
      </c>
      <c r="J80" s="1064">
        <f t="shared" si="19"/>
        <v>3.2000000000000002E-3</v>
      </c>
      <c r="K80" s="1064">
        <f t="shared" si="20"/>
        <v>1.6000000000000001E-3</v>
      </c>
      <c r="L80" s="1064">
        <v>0</v>
      </c>
      <c r="M80" s="1064">
        <f t="shared" si="21"/>
        <v>-1.6000000000000001E-3</v>
      </c>
      <c r="N80" s="1064">
        <f t="shared" si="21"/>
        <v>-3.2000000000000002E-3</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7"/>
      <c r="AA84" s="2052"/>
      <c r="AG84" s="1121"/>
      <c r="AK84" s="2052"/>
    </row>
    <row r="85" spans="1:37" ht="48">
      <c r="A85" s="3366" t="s">
        <v>3269</v>
      </c>
      <c r="B85" s="2133">
        <f>估价对象房地状况!G17</f>
        <v>0</v>
      </c>
      <c r="C85" s="2043"/>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5" t="str">
        <f>估价对象房地状况!G19</f>
        <v>估价对象所在区域公共配套设施齐备情况</v>
      </c>
      <c r="C87" s="2043"/>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6.4">
      <c r="A88" s="2129" t="s">
        <v>2060</v>
      </c>
      <c r="B88" s="1325" t="str">
        <f>估价对象房地状况!G20</f>
        <v>估价对象所在区域基础设施水平</v>
      </c>
      <c r="C88" s="2043"/>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3.8">
      <c r="A91" s="3374" t="s">
        <v>2611</v>
      </c>
      <c r="B91" s="3375">
        <f>1+E93</f>
        <v>1</v>
      </c>
      <c r="C91" s="3368"/>
      <c r="D91" s="3369"/>
      <c r="E91" s="1813"/>
      <c r="F91" s="1813"/>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05.6">
      <c r="A94" s="3376" t="s">
        <v>3272</v>
      </c>
      <c r="B94" s="3367" t="str">
        <f>估价对象房地状况!C18</f>
        <v>估价对象周边有24路、117路、123路、132路、135路、413路、515路等多条公交线路，地铁2号线及13号线换乘站（东直门站），东直门长途汽车站等，综合评价交通便捷度较好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3268</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3273</v>
      </c>
      <c r="B96" s="3382" t="s">
        <v>3284</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t="str">
        <f>估价对象房地状况!C24</f>
        <v>城市次干道——胡家园路</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36">
      <c r="A98" s="3376" t="s">
        <v>3275</v>
      </c>
      <c r="B98" s="3383" t="s">
        <v>3285</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6.4">
      <c r="A99" s="3376" t="s">
        <v>3276</v>
      </c>
      <c r="B99" s="3367" t="str">
        <f>估价对象房地状况!C21</f>
        <v>估价对象所在区域公共配套设施齐备情况</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t="str">
        <f>估价对象房地状况!C22</f>
        <v>七通</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66.599999999999994" thickBot="1">
      <c r="A101" s="3377" t="s">
        <v>3278</v>
      </c>
      <c r="B101" s="3384" t="str">
        <f>估价对象房地状况!C20</f>
        <v>区域自然环境：亮马河、东城区亮马河公园；人文环境：工人体育场、东直门外清真寺；综合评价环境状况较好</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3" t="s">
        <v>3293</v>
      </c>
      <c r="B103" s="3763"/>
      <c r="C103" s="3763"/>
      <c r="D103" s="3763"/>
      <c r="E103" s="3763"/>
      <c r="F103" s="3763"/>
      <c r="G103" s="3763"/>
      <c r="H103" s="3763"/>
      <c r="I103" s="3763"/>
      <c r="J103" s="3763"/>
      <c r="K103" s="3387"/>
      <c r="L103" s="3387"/>
      <c r="M103" s="3387"/>
      <c r="N103" s="3387"/>
    </row>
    <row r="104" spans="1:14">
      <c r="A104" s="3764" t="s">
        <v>3294</v>
      </c>
      <c r="B104" s="3764" t="s">
        <v>3295</v>
      </c>
      <c r="C104" s="3388" t="s">
        <v>3296</v>
      </c>
      <c r="D104" s="3389"/>
      <c r="E104" s="3389"/>
      <c r="F104" s="3389"/>
      <c r="G104" s="3389"/>
      <c r="H104" s="3389"/>
      <c r="I104" s="3389"/>
      <c r="J104" s="3390"/>
      <c r="K104" s="3391"/>
      <c r="L104" s="3391"/>
      <c r="M104" s="3391"/>
      <c r="N104" s="3391"/>
    </row>
    <row r="105" spans="1:14">
      <c r="A105" s="3764"/>
      <c r="B105" s="3764"/>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50"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1"/>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1"/>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1"/>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1"/>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1"/>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2"/>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3" t="s">
        <v>3310</v>
      </c>
      <c r="B113" s="3753"/>
      <c r="C113" s="3753"/>
      <c r="D113" s="3753"/>
      <c r="E113" s="3753"/>
      <c r="F113" s="3753"/>
      <c r="G113" s="3753"/>
      <c r="H113" s="3753"/>
      <c r="I113" s="3753"/>
      <c r="J113" s="3753"/>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2.5</v>
      </c>
      <c r="C116" s="3397" t="s">
        <v>3312</v>
      </c>
      <c r="D116" s="3398">
        <f>SUMPRODUCT((A118:A122=F116)*(B117:M117=H116)*B118:M122)</f>
        <v>0.91610000000000003</v>
      </c>
      <c r="E116" s="1999" t="s">
        <v>3313</v>
      </c>
      <c r="F116" s="3399" t="str">
        <f>E2</f>
        <v>住宅</v>
      </c>
      <c r="G116" s="1999" t="s">
        <v>3314</v>
      </c>
      <c r="H116" s="3399" t="str">
        <f>G2</f>
        <v>二级</v>
      </c>
      <c r="I116" s="1999"/>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3328</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3329</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8" thickBot="1">
      <c r="A121" s="3409" t="s">
        <v>3330</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76" t="s">
        <v>2606</v>
      </c>
      <c r="B20" s="3769" t="s">
        <v>2627</v>
      </c>
      <c r="C20" s="3100" t="s">
        <v>2438</v>
      </c>
      <c r="D20" s="3101"/>
      <c r="E20" s="3102">
        <v>1</v>
      </c>
      <c r="F20" s="3103" t="s">
        <v>2439</v>
      </c>
      <c r="G20" s="3103"/>
    </row>
    <row r="21" spans="1:13" ht="19.5" customHeight="1">
      <c r="A21" s="3777"/>
      <c r="B21" s="3770"/>
      <c r="C21" s="3104" t="s">
        <v>2440</v>
      </c>
      <c r="D21" s="3105"/>
      <c r="E21" s="3106">
        <v>1</v>
      </c>
      <c r="F21" s="3103" t="s">
        <v>2441</v>
      </c>
      <c r="G21" s="3103"/>
    </row>
    <row r="22" spans="1:13" ht="19.5" customHeight="1">
      <c r="A22" s="3777"/>
      <c r="B22" s="3770"/>
      <c r="C22" s="3104" t="s">
        <v>2442</v>
      </c>
      <c r="D22" s="3105"/>
      <c r="E22" s="3106">
        <v>0.9</v>
      </c>
      <c r="F22" s="3103" t="s">
        <v>2443</v>
      </c>
      <c r="G22" s="3103"/>
    </row>
    <row r="23" spans="1:13" ht="19.5" customHeight="1">
      <c r="A23" s="3777"/>
      <c r="B23" s="3770"/>
      <c r="C23" s="3104" t="s">
        <v>2444</v>
      </c>
      <c r="D23" s="3105"/>
      <c r="E23" s="3106">
        <v>0.9</v>
      </c>
      <c r="F23" s="3103" t="s">
        <v>2445</v>
      </c>
      <c r="G23" s="3103"/>
    </row>
    <row r="24" spans="1:13" ht="19.5" customHeight="1">
      <c r="A24" s="3777"/>
      <c r="B24" s="3770"/>
      <c r="C24" s="3104" t="s">
        <v>2446</v>
      </c>
      <c r="D24" s="3105"/>
      <c r="E24" s="3106">
        <v>0.8</v>
      </c>
      <c r="F24" s="3103" t="s">
        <v>2447</v>
      </c>
      <c r="G24" s="3103"/>
    </row>
    <row r="25" spans="1:13" ht="19.5" customHeight="1" thickBot="1">
      <c r="A25" s="3778"/>
      <c r="B25" s="3771"/>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72" t="s">
        <v>2630</v>
      </c>
      <c r="B27" s="3769" t="s">
        <v>2611</v>
      </c>
      <c r="C27" s="3100" t="s">
        <v>2451</v>
      </c>
      <c r="D27" s="3101"/>
      <c r="E27" s="3102">
        <v>1</v>
      </c>
      <c r="F27" s="3103" t="s">
        <v>2452</v>
      </c>
      <c r="G27" s="3103"/>
    </row>
    <row r="28" spans="1:13" ht="19.5" customHeight="1">
      <c r="A28" s="3773"/>
      <c r="B28" s="3770"/>
      <c r="C28" s="3104" t="s">
        <v>2453</v>
      </c>
      <c r="D28" s="3105"/>
      <c r="E28" s="3106">
        <v>1</v>
      </c>
      <c r="F28" s="3103" t="s">
        <v>2454</v>
      </c>
      <c r="G28" s="3103"/>
    </row>
    <row r="29" spans="1:13" ht="19.5" customHeight="1">
      <c r="A29" s="3773"/>
      <c r="B29" s="3770"/>
      <c r="C29" s="3104" t="s">
        <v>2455</v>
      </c>
      <c r="D29" s="3105"/>
      <c r="E29" s="3106">
        <v>0.8</v>
      </c>
      <c r="F29" s="3103" t="s">
        <v>2456</v>
      </c>
      <c r="G29" s="3103"/>
    </row>
    <row r="30" spans="1:13" ht="19.5" customHeight="1">
      <c r="A30" s="3773"/>
      <c r="B30" s="3770"/>
      <c r="C30" s="3104" t="s">
        <v>2457</v>
      </c>
      <c r="D30" s="3105"/>
      <c r="E30" s="3106">
        <v>0.8</v>
      </c>
      <c r="F30" s="3103" t="s">
        <v>2458</v>
      </c>
      <c r="G30" s="3103"/>
    </row>
    <row r="31" spans="1:13" ht="19.5" customHeight="1">
      <c r="A31" s="3773"/>
      <c r="B31" s="3770"/>
      <c r="C31" s="3104" t="s">
        <v>2459</v>
      </c>
      <c r="D31" s="3105"/>
      <c r="E31" s="3106">
        <v>0.8</v>
      </c>
      <c r="F31" s="3103" t="s">
        <v>2460</v>
      </c>
      <c r="G31" s="3103"/>
    </row>
    <row r="32" spans="1:13" ht="19.5" customHeight="1">
      <c r="A32" s="3773"/>
      <c r="B32" s="3770"/>
      <c r="C32" s="3104" t="s">
        <v>2461</v>
      </c>
      <c r="D32" s="3105"/>
      <c r="E32" s="3106">
        <v>0.7</v>
      </c>
      <c r="F32" s="3103" t="s">
        <v>2462</v>
      </c>
      <c r="G32" s="3103"/>
    </row>
    <row r="33" spans="1:7" ht="19.5" customHeight="1">
      <c r="A33" s="3773"/>
      <c r="B33" s="3770"/>
      <c r="C33" s="3104" t="s">
        <v>2463</v>
      </c>
      <c r="D33" s="3105"/>
      <c r="E33" s="3106">
        <v>0.8</v>
      </c>
      <c r="F33" s="3103" t="s">
        <v>2464</v>
      </c>
      <c r="G33" s="3103"/>
    </row>
    <row r="34" spans="1:7" ht="19.5" customHeight="1">
      <c r="A34" s="3773"/>
      <c r="B34" s="3770"/>
      <c r="C34" s="3104" t="s">
        <v>2465</v>
      </c>
      <c r="D34" s="3105"/>
      <c r="E34" s="3106">
        <v>0.6</v>
      </c>
      <c r="F34" s="3103" t="s">
        <v>2466</v>
      </c>
      <c r="G34" s="3103"/>
    </row>
    <row r="35" spans="1:7" ht="19.5" customHeight="1">
      <c r="A35" s="3773"/>
      <c r="B35" s="3770"/>
      <c r="C35" s="3104" t="s">
        <v>2467</v>
      </c>
      <c r="D35" s="3105"/>
      <c r="E35" s="3106">
        <v>0.2</v>
      </c>
      <c r="F35" s="3103" t="s">
        <v>2468</v>
      </c>
      <c r="G35" s="3103"/>
    </row>
    <row r="36" spans="1:7" ht="19.5" customHeight="1">
      <c r="A36" s="3773"/>
      <c r="B36" s="3770"/>
      <c r="C36" s="3104" t="s">
        <v>2469</v>
      </c>
      <c r="D36" s="3105"/>
      <c r="E36" s="3106">
        <v>0.2</v>
      </c>
      <c r="F36" s="3103" t="s">
        <v>2470</v>
      </c>
      <c r="G36" s="3103"/>
    </row>
    <row r="37" spans="1:7" ht="19.5" customHeight="1">
      <c r="A37" s="3773"/>
      <c r="B37" s="3775" t="s">
        <v>2631</v>
      </c>
      <c r="C37" s="3104" t="s">
        <v>2471</v>
      </c>
      <c r="D37" s="3105"/>
      <c r="E37" s="3106">
        <v>0.6</v>
      </c>
      <c r="F37" s="3103" t="s">
        <v>2472</v>
      </c>
      <c r="G37" s="3103"/>
    </row>
    <row r="38" spans="1:7" ht="19.5" customHeight="1">
      <c r="A38" s="3773"/>
      <c r="B38" s="3770"/>
      <c r="C38" s="3104" t="s">
        <v>2473</v>
      </c>
      <c r="D38" s="3105"/>
      <c r="E38" s="3106">
        <v>0.6</v>
      </c>
      <c r="F38" s="3103" t="s">
        <v>2474</v>
      </c>
      <c r="G38" s="3103"/>
    </row>
    <row r="39" spans="1:7" ht="19.5" customHeight="1" thickBot="1">
      <c r="A39" s="3774"/>
      <c r="B39" s="3771"/>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76" t="s">
        <v>2609</v>
      </c>
      <c r="B41" s="3769" t="s">
        <v>2633</v>
      </c>
      <c r="C41" s="3100" t="s">
        <v>2478</v>
      </c>
      <c r="D41" s="3101"/>
      <c r="E41" s="3102">
        <v>1</v>
      </c>
      <c r="F41" s="3103" t="s">
        <v>2479</v>
      </c>
      <c r="G41" s="3103"/>
    </row>
    <row r="42" spans="1:7" ht="19.5" customHeight="1">
      <c r="A42" s="3777"/>
      <c r="B42" s="3770"/>
      <c r="C42" s="3104" t="s">
        <v>2480</v>
      </c>
      <c r="D42" s="3105"/>
      <c r="E42" s="3106">
        <v>1</v>
      </c>
      <c r="F42" s="3103" t="s">
        <v>2481</v>
      </c>
      <c r="G42" s="3103"/>
    </row>
    <row r="43" spans="1:7" ht="19.5" customHeight="1">
      <c r="A43" s="3777"/>
      <c r="B43" s="3779"/>
      <c r="C43" s="3104" t="s">
        <v>2482</v>
      </c>
      <c r="D43" s="3105"/>
      <c r="E43" s="3106">
        <v>1.5</v>
      </c>
      <c r="F43" s="3103" t="s">
        <v>2483</v>
      </c>
      <c r="G43" s="3103"/>
    </row>
    <row r="44" spans="1:7" ht="19.5" customHeight="1">
      <c r="A44" s="3777"/>
      <c r="B44" s="3115" t="s">
        <v>2634</v>
      </c>
      <c r="C44" s="3104" t="s">
        <v>2635</v>
      </c>
      <c r="D44" s="3105"/>
      <c r="E44" s="3106">
        <v>2</v>
      </c>
      <c r="F44" s="3103" t="s">
        <v>2484</v>
      </c>
      <c r="G44" s="3103"/>
    </row>
    <row r="45" spans="1:7" ht="19.5" customHeight="1">
      <c r="A45" s="3777"/>
      <c r="B45" s="3775" t="s">
        <v>2636</v>
      </c>
      <c r="C45" s="3104" t="s">
        <v>2485</v>
      </c>
      <c r="D45" s="3105"/>
      <c r="E45" s="3106">
        <v>1</v>
      </c>
      <c r="F45" s="3103" t="s">
        <v>2486</v>
      </c>
      <c r="G45" s="3103"/>
    </row>
    <row r="46" spans="1:7" ht="19.5" customHeight="1">
      <c r="A46" s="3777"/>
      <c r="B46" s="3770"/>
      <c r="C46" s="3104" t="s">
        <v>2487</v>
      </c>
      <c r="D46" s="3105"/>
      <c r="E46" s="3106">
        <v>1</v>
      </c>
      <c r="F46" s="3103" t="s">
        <v>2488</v>
      </c>
      <c r="G46" s="3103"/>
    </row>
    <row r="47" spans="1:7" ht="19.5" customHeight="1">
      <c r="A47" s="3777"/>
      <c r="B47" s="3770"/>
      <c r="C47" s="3104" t="s">
        <v>2489</v>
      </c>
      <c r="D47" s="3105"/>
      <c r="E47" s="3106">
        <v>1</v>
      </c>
      <c r="F47" s="3103" t="s">
        <v>2490</v>
      </c>
      <c r="G47" s="3103"/>
    </row>
    <row r="48" spans="1:7" ht="19.5" customHeight="1">
      <c r="A48" s="3777"/>
      <c r="B48" s="3770"/>
      <c r="C48" s="3104" t="s">
        <v>2491</v>
      </c>
      <c r="D48" s="3105"/>
      <c r="E48" s="3106">
        <v>1</v>
      </c>
      <c r="F48" s="3103" t="s">
        <v>2492</v>
      </c>
      <c r="G48" s="3103"/>
    </row>
    <row r="49" spans="1:7" ht="19.5" customHeight="1">
      <c r="A49" s="3777"/>
      <c r="B49" s="3770"/>
      <c r="C49" s="3104" t="s">
        <v>2493</v>
      </c>
      <c r="D49" s="3105"/>
      <c r="E49" s="3106">
        <v>1</v>
      </c>
      <c r="F49" s="3103" t="s">
        <v>2494</v>
      </c>
      <c r="G49" s="3103"/>
    </row>
    <row r="50" spans="1:7" ht="19.5" customHeight="1">
      <c r="A50" s="3777"/>
      <c r="B50" s="3770"/>
      <c r="C50" s="3104" t="s">
        <v>2495</v>
      </c>
      <c r="D50" s="3105"/>
      <c r="E50" s="3106">
        <v>1</v>
      </c>
      <c r="F50" s="3103" t="s">
        <v>2496</v>
      </c>
      <c r="G50" s="3103"/>
    </row>
    <row r="51" spans="1:7" ht="19.5" customHeight="1" thickBot="1">
      <c r="A51" s="3778"/>
      <c r="B51" s="3771"/>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775" t="s">
        <v>2650</v>
      </c>
      <c r="C73" s="3089" t="s">
        <v>2651</v>
      </c>
      <c r="D73" s="3089" t="s">
        <v>2652</v>
      </c>
      <c r="E73" s="3115">
        <v>0.2</v>
      </c>
      <c r="F73" s="3115">
        <v>25</v>
      </c>
    </row>
    <row r="74" spans="1:7" ht="24">
      <c r="A74" s="3115">
        <v>2</v>
      </c>
      <c r="B74" s="3770"/>
      <c r="C74" s="3089" t="s">
        <v>2653</v>
      </c>
      <c r="D74" s="3089" t="s">
        <v>2654</v>
      </c>
      <c r="E74" s="3115">
        <v>0.2</v>
      </c>
      <c r="F74" s="3115">
        <v>25</v>
      </c>
    </row>
    <row r="75" spans="1:7" ht="24">
      <c r="A75" s="3115">
        <v>3</v>
      </c>
      <c r="B75" s="3770"/>
      <c r="C75" s="3089" t="s">
        <v>2655</v>
      </c>
      <c r="D75" s="3089" t="s">
        <v>2656</v>
      </c>
      <c r="E75" s="3115">
        <v>0.2</v>
      </c>
      <c r="F75" s="3115">
        <v>25</v>
      </c>
    </row>
    <row r="76" spans="1:7" ht="14.4">
      <c r="A76" s="3115">
        <v>4</v>
      </c>
      <c r="B76" s="3770"/>
      <c r="C76" s="3089" t="s">
        <v>2657</v>
      </c>
      <c r="D76" s="3089" t="s">
        <v>2658</v>
      </c>
      <c r="E76" s="3115">
        <v>0.15</v>
      </c>
      <c r="F76" s="3115">
        <v>20</v>
      </c>
    </row>
    <row r="77" spans="1:7" ht="24">
      <c r="A77" s="3115">
        <v>5</v>
      </c>
      <c r="B77" s="3770"/>
      <c r="C77" s="3089" t="s">
        <v>2659</v>
      </c>
      <c r="D77" s="3089" t="s">
        <v>2660</v>
      </c>
      <c r="E77" s="3115">
        <v>0.15</v>
      </c>
      <c r="F77" s="3115">
        <v>20</v>
      </c>
    </row>
    <row r="78" spans="1:7" ht="24">
      <c r="A78" s="3115">
        <v>6</v>
      </c>
      <c r="B78" s="3770"/>
      <c r="C78" s="3089" t="s">
        <v>2661</v>
      </c>
      <c r="D78" s="3089" t="s">
        <v>2662</v>
      </c>
      <c r="E78" s="3115">
        <v>0.15</v>
      </c>
      <c r="F78" s="3115">
        <v>20</v>
      </c>
    </row>
    <row r="79" spans="1:7" ht="24">
      <c r="A79" s="3115">
        <v>7</v>
      </c>
      <c r="B79" s="3770"/>
      <c r="C79" s="3089" t="s">
        <v>2663</v>
      </c>
      <c r="D79" s="3089" t="s">
        <v>2664</v>
      </c>
      <c r="E79" s="3115">
        <v>0.15</v>
      </c>
      <c r="F79" s="3115">
        <v>20</v>
      </c>
    </row>
    <row r="80" spans="1:7" ht="24">
      <c r="A80" s="3115">
        <v>8</v>
      </c>
      <c r="B80" s="3770"/>
      <c r="C80" s="3089" t="s">
        <v>2665</v>
      </c>
      <c r="D80" s="3089" t="s">
        <v>2666</v>
      </c>
      <c r="E80" s="3115">
        <v>0.1</v>
      </c>
      <c r="F80" s="3115">
        <v>15</v>
      </c>
    </row>
    <row r="81" spans="1:6" ht="24">
      <c r="A81" s="3115">
        <v>9</v>
      </c>
      <c r="B81" s="3770"/>
      <c r="C81" s="3089" t="s">
        <v>2667</v>
      </c>
      <c r="D81" s="3089" t="s">
        <v>2668</v>
      </c>
      <c r="E81" s="3115">
        <v>0.1</v>
      </c>
      <c r="F81" s="3115">
        <v>15</v>
      </c>
    </row>
    <row r="82" spans="1:6" ht="24">
      <c r="A82" s="3115">
        <v>10</v>
      </c>
      <c r="B82" s="3770"/>
      <c r="C82" s="3089" t="s">
        <v>2669</v>
      </c>
      <c r="D82" s="3089" t="s">
        <v>2670</v>
      </c>
      <c r="E82" s="3115">
        <v>0.1</v>
      </c>
      <c r="F82" s="3115">
        <v>15</v>
      </c>
    </row>
    <row r="83" spans="1:6" ht="24">
      <c r="A83" s="3115">
        <v>11</v>
      </c>
      <c r="B83" s="3770"/>
      <c r="C83" s="3089" t="s">
        <v>2671</v>
      </c>
      <c r="D83" s="3089" t="s">
        <v>2672</v>
      </c>
      <c r="E83" s="3115">
        <v>0.1</v>
      </c>
      <c r="F83" s="3115">
        <v>15</v>
      </c>
    </row>
    <row r="84" spans="1:6" ht="24">
      <c r="A84" s="3115">
        <v>12</v>
      </c>
      <c r="B84" s="3770"/>
      <c r="C84" s="3089" t="s">
        <v>2673</v>
      </c>
      <c r="D84" s="3089" t="s">
        <v>2674</v>
      </c>
      <c r="E84" s="3115">
        <v>0.1</v>
      </c>
      <c r="F84" s="3115">
        <v>15</v>
      </c>
    </row>
    <row r="85" spans="1:6" ht="24">
      <c r="A85" s="3115">
        <v>13</v>
      </c>
      <c r="B85" s="3770"/>
      <c r="C85" s="3089" t="s">
        <v>2675</v>
      </c>
      <c r="D85" s="3089" t="s">
        <v>2676</v>
      </c>
      <c r="E85" s="3115">
        <v>0.1</v>
      </c>
      <c r="F85" s="3115">
        <v>15</v>
      </c>
    </row>
    <row r="86" spans="1:6" ht="24">
      <c r="A86" s="3115">
        <v>14</v>
      </c>
      <c r="B86" s="3770"/>
      <c r="C86" s="3089" t="s">
        <v>2677</v>
      </c>
      <c r="D86" s="3089" t="s">
        <v>2678</v>
      </c>
      <c r="E86" s="3115">
        <v>0.1</v>
      </c>
      <c r="F86" s="3115">
        <v>15</v>
      </c>
    </row>
    <row r="87" spans="1:6" ht="24">
      <c r="A87" s="3115">
        <v>15</v>
      </c>
      <c r="B87" s="3770"/>
      <c r="C87" s="3089" t="s">
        <v>2679</v>
      </c>
      <c r="D87" s="3089" t="s">
        <v>2680</v>
      </c>
      <c r="E87" s="3115">
        <v>0.1</v>
      </c>
      <c r="F87" s="3115">
        <v>15</v>
      </c>
    </row>
    <row r="88" spans="1:6" ht="24">
      <c r="A88" s="3115">
        <v>16</v>
      </c>
      <c r="B88" s="3770"/>
      <c r="C88" s="3089" t="s">
        <v>2681</v>
      </c>
      <c r="D88" s="3089" t="s">
        <v>2682</v>
      </c>
      <c r="E88" s="3115">
        <v>0.1</v>
      </c>
      <c r="F88" s="3115">
        <v>15</v>
      </c>
    </row>
    <row r="89" spans="1:6" ht="24">
      <c r="A89" s="3115">
        <v>17</v>
      </c>
      <c r="B89" s="3779"/>
      <c r="C89" s="3089" t="s">
        <v>2683</v>
      </c>
      <c r="D89" s="3089" t="s">
        <v>2684</v>
      </c>
      <c r="E89" s="3115">
        <v>0.1</v>
      </c>
      <c r="F89" s="3115">
        <v>15</v>
      </c>
    </row>
    <row r="90" spans="1:6" ht="14.4">
      <c r="A90" s="3115">
        <v>18</v>
      </c>
      <c r="B90" s="3775" t="s">
        <v>2685</v>
      </c>
      <c r="C90" s="3089" t="s">
        <v>2686</v>
      </c>
      <c r="D90" s="3089" t="s">
        <v>2687</v>
      </c>
      <c r="E90" s="3115">
        <v>0.2</v>
      </c>
      <c r="F90" s="3115">
        <v>25</v>
      </c>
    </row>
    <row r="91" spans="1:6" ht="24">
      <c r="A91" s="3115">
        <v>19</v>
      </c>
      <c r="B91" s="3770"/>
      <c r="C91" s="3089" t="s">
        <v>2688</v>
      </c>
      <c r="D91" s="3089" t="s">
        <v>2689</v>
      </c>
      <c r="E91" s="3115">
        <v>0.2</v>
      </c>
      <c r="F91" s="3115">
        <v>25</v>
      </c>
    </row>
    <row r="92" spans="1:6" ht="14.4">
      <c r="A92" s="3115">
        <v>20</v>
      </c>
      <c r="B92" s="3770"/>
      <c r="C92" s="3089" t="s">
        <v>2690</v>
      </c>
      <c r="D92" s="3089" t="s">
        <v>2691</v>
      </c>
      <c r="E92" s="3115">
        <v>0.15</v>
      </c>
      <c r="F92" s="3115">
        <v>20</v>
      </c>
    </row>
    <row r="93" spans="1:6" ht="24">
      <c r="A93" s="3115">
        <v>21</v>
      </c>
      <c r="B93" s="3770"/>
      <c r="C93" s="3089" t="s">
        <v>2692</v>
      </c>
      <c r="D93" s="3089" t="s">
        <v>2693</v>
      </c>
      <c r="E93" s="3115">
        <v>0.15</v>
      </c>
      <c r="F93" s="3115">
        <v>20</v>
      </c>
    </row>
    <row r="94" spans="1:6" ht="24">
      <c r="A94" s="3115">
        <v>22</v>
      </c>
      <c r="B94" s="3770"/>
      <c r="C94" s="3089" t="s">
        <v>2694</v>
      </c>
      <c r="D94" s="3089" t="s">
        <v>2695</v>
      </c>
      <c r="E94" s="3115">
        <v>0.15</v>
      </c>
      <c r="F94" s="3115">
        <v>20</v>
      </c>
    </row>
    <row r="95" spans="1:6" ht="36">
      <c r="A95" s="3115">
        <v>23</v>
      </c>
      <c r="B95" s="3770"/>
      <c r="C95" s="3089" t="s">
        <v>2696</v>
      </c>
      <c r="D95" s="3089" t="s">
        <v>2697</v>
      </c>
      <c r="E95" s="3115">
        <v>0.15</v>
      </c>
      <c r="F95" s="3115">
        <v>20</v>
      </c>
    </row>
    <row r="96" spans="1:6" ht="24">
      <c r="A96" s="3115">
        <v>24</v>
      </c>
      <c r="B96" s="3770"/>
      <c r="C96" s="3089" t="s">
        <v>2698</v>
      </c>
      <c r="D96" s="3089" t="s">
        <v>2699</v>
      </c>
      <c r="E96" s="3115">
        <v>0.1</v>
      </c>
      <c r="F96" s="3115">
        <v>15</v>
      </c>
    </row>
    <row r="97" spans="1:6" ht="24">
      <c r="A97" s="3115">
        <v>25</v>
      </c>
      <c r="B97" s="3770"/>
      <c r="C97" s="3089" t="s">
        <v>2700</v>
      </c>
      <c r="D97" s="3089" t="s">
        <v>2701</v>
      </c>
      <c r="E97" s="3115">
        <v>0.1</v>
      </c>
      <c r="F97" s="3115">
        <v>15</v>
      </c>
    </row>
    <row r="98" spans="1:6" ht="24">
      <c r="A98" s="3115">
        <v>26</v>
      </c>
      <c r="B98" s="3770"/>
      <c r="C98" s="3089" t="s">
        <v>2702</v>
      </c>
      <c r="D98" s="3089" t="s">
        <v>2703</v>
      </c>
      <c r="E98" s="3115">
        <v>0.1</v>
      </c>
      <c r="F98" s="3115">
        <v>15</v>
      </c>
    </row>
    <row r="99" spans="1:6" ht="24">
      <c r="A99" s="3115">
        <v>27</v>
      </c>
      <c r="B99" s="3770"/>
      <c r="C99" s="3089" t="s">
        <v>2704</v>
      </c>
      <c r="D99" s="3089" t="s">
        <v>2705</v>
      </c>
      <c r="E99" s="3115">
        <v>0.1</v>
      </c>
      <c r="F99" s="3115">
        <v>15</v>
      </c>
    </row>
    <row r="100" spans="1:6" ht="24">
      <c r="A100" s="3115">
        <v>28</v>
      </c>
      <c r="B100" s="3770"/>
      <c r="C100" s="3089" t="s">
        <v>2706</v>
      </c>
      <c r="D100" s="3089" t="s">
        <v>2707</v>
      </c>
      <c r="E100" s="3115">
        <v>0.1</v>
      </c>
      <c r="F100" s="3115">
        <v>15</v>
      </c>
    </row>
    <row r="101" spans="1:6" ht="24">
      <c r="A101" s="3115">
        <v>29</v>
      </c>
      <c r="B101" s="3770"/>
      <c r="C101" s="3089" t="s">
        <v>2708</v>
      </c>
      <c r="D101" s="3089" t="s">
        <v>2709</v>
      </c>
      <c r="E101" s="3115">
        <v>0.1</v>
      </c>
      <c r="F101" s="3115">
        <v>15</v>
      </c>
    </row>
    <row r="102" spans="1:6" ht="24">
      <c r="A102" s="3115">
        <v>30</v>
      </c>
      <c r="B102" s="3770"/>
      <c r="C102" s="3089" t="s">
        <v>2710</v>
      </c>
      <c r="D102" s="3089" t="s">
        <v>2711</v>
      </c>
      <c r="E102" s="3115">
        <v>0.1</v>
      </c>
      <c r="F102" s="3115">
        <v>15</v>
      </c>
    </row>
    <row r="103" spans="1:6" ht="24">
      <c r="A103" s="3115">
        <v>31</v>
      </c>
      <c r="B103" s="3770"/>
      <c r="C103" s="3089" t="s">
        <v>2712</v>
      </c>
      <c r="D103" s="3089" t="s">
        <v>2713</v>
      </c>
      <c r="E103" s="3115">
        <v>0.1</v>
      </c>
      <c r="F103" s="3115">
        <v>15</v>
      </c>
    </row>
    <row r="104" spans="1:6" ht="24">
      <c r="A104" s="3115">
        <v>32</v>
      </c>
      <c r="B104" s="3770"/>
      <c r="C104" s="3089" t="s">
        <v>2714</v>
      </c>
      <c r="D104" s="3089" t="s">
        <v>2715</v>
      </c>
      <c r="E104" s="3115">
        <v>0.1</v>
      </c>
      <c r="F104" s="3115">
        <v>15</v>
      </c>
    </row>
    <row r="105" spans="1:6" ht="24">
      <c r="A105" s="3115">
        <v>33</v>
      </c>
      <c r="B105" s="3770"/>
      <c r="C105" s="3089" t="s">
        <v>2716</v>
      </c>
      <c r="D105" s="3089" t="s">
        <v>2717</v>
      </c>
      <c r="E105" s="3115">
        <v>0.1</v>
      </c>
      <c r="F105" s="3115">
        <v>15</v>
      </c>
    </row>
    <row r="106" spans="1:6" ht="24">
      <c r="A106" s="3115">
        <v>34</v>
      </c>
      <c r="B106" s="3779"/>
      <c r="C106" s="3089" t="s">
        <v>2718</v>
      </c>
      <c r="D106" s="3089" t="s">
        <v>2719</v>
      </c>
      <c r="E106" s="3115">
        <v>0.1</v>
      </c>
      <c r="F106" s="3115">
        <v>15</v>
      </c>
    </row>
    <row r="107" spans="1:6" ht="36">
      <c r="A107" s="3115">
        <v>35</v>
      </c>
      <c r="B107" s="3775" t="s">
        <v>2720</v>
      </c>
      <c r="C107" s="3115" t="s">
        <v>2721</v>
      </c>
      <c r="D107" s="3089" t="s">
        <v>2722</v>
      </c>
      <c r="E107" s="3115">
        <v>0.15</v>
      </c>
      <c r="F107" s="3115">
        <v>20</v>
      </c>
    </row>
    <row r="108" spans="1:6" ht="24">
      <c r="A108" s="3115">
        <v>36</v>
      </c>
      <c r="B108" s="3770"/>
      <c r="C108" s="3115" t="s">
        <v>2723</v>
      </c>
      <c r="D108" s="3089" t="s">
        <v>2724</v>
      </c>
      <c r="E108" s="3115">
        <v>0.15</v>
      </c>
      <c r="F108" s="3115">
        <v>20</v>
      </c>
    </row>
    <row r="109" spans="1:6" ht="24">
      <c r="A109" s="3115">
        <v>37</v>
      </c>
      <c r="B109" s="3770"/>
      <c r="C109" s="3115" t="s">
        <v>2725</v>
      </c>
      <c r="D109" s="3089" t="s">
        <v>2726</v>
      </c>
      <c r="E109" s="3115">
        <v>0.15</v>
      </c>
      <c r="F109" s="3115">
        <v>20</v>
      </c>
    </row>
    <row r="110" spans="1:6" ht="24">
      <c r="A110" s="3115">
        <v>38</v>
      </c>
      <c r="B110" s="3770"/>
      <c r="C110" s="3115" t="s">
        <v>2727</v>
      </c>
      <c r="D110" s="3089" t="s">
        <v>2728</v>
      </c>
      <c r="E110" s="3115">
        <v>0.1</v>
      </c>
      <c r="F110" s="3115">
        <v>15</v>
      </c>
    </row>
    <row r="111" spans="1:6" ht="24">
      <c r="A111" s="3115">
        <v>39</v>
      </c>
      <c r="B111" s="3770"/>
      <c r="C111" s="3115" t="s">
        <v>2729</v>
      </c>
      <c r="D111" s="3089" t="s">
        <v>2730</v>
      </c>
      <c r="E111" s="3115">
        <v>0.1</v>
      </c>
      <c r="F111" s="3115">
        <v>15</v>
      </c>
    </row>
    <row r="112" spans="1:6" ht="24">
      <c r="A112" s="3115">
        <v>40</v>
      </c>
      <c r="B112" s="3779"/>
      <c r="C112" s="3115" t="s">
        <v>2731</v>
      </c>
      <c r="D112" s="3089" t="s">
        <v>2732</v>
      </c>
      <c r="E112" s="3115">
        <v>0.1</v>
      </c>
      <c r="F112" s="3115">
        <v>15</v>
      </c>
    </row>
    <row r="113" spans="1:6" ht="24">
      <c r="A113" s="3115">
        <v>41</v>
      </c>
      <c r="B113" s="3780" t="s">
        <v>2733</v>
      </c>
      <c r="C113" s="3115" t="s">
        <v>2734</v>
      </c>
      <c r="D113" s="3089" t="s">
        <v>2735</v>
      </c>
      <c r="E113" s="3115">
        <v>0.1</v>
      </c>
      <c r="F113" s="3115">
        <v>15</v>
      </c>
    </row>
    <row r="114" spans="1:6" ht="24">
      <c r="A114" s="3115">
        <v>42</v>
      </c>
      <c r="B114" s="3780"/>
      <c r="C114" s="3115" t="s">
        <v>2736</v>
      </c>
      <c r="D114" s="3089" t="s">
        <v>2737</v>
      </c>
      <c r="E114" s="3115">
        <v>0.1</v>
      </c>
      <c r="F114" s="3115">
        <v>15</v>
      </c>
    </row>
    <row r="115" spans="1:6" ht="24">
      <c r="A115" s="3115">
        <v>43</v>
      </c>
      <c r="B115" s="3780"/>
      <c r="C115" s="3115" t="s">
        <v>2738</v>
      </c>
      <c r="D115" s="3089" t="s">
        <v>2739</v>
      </c>
      <c r="E115" s="3115">
        <v>0.1</v>
      </c>
      <c r="F115" s="3115">
        <v>15</v>
      </c>
    </row>
    <row r="116" spans="1:6" ht="24">
      <c r="A116" s="3115">
        <v>44</v>
      </c>
      <c r="B116" s="3775" t="s">
        <v>2740</v>
      </c>
      <c r="C116" s="3115" t="s">
        <v>2741</v>
      </c>
      <c r="D116" s="3089" t="s">
        <v>2742</v>
      </c>
      <c r="E116" s="3115">
        <v>0.1</v>
      </c>
      <c r="F116" s="3115">
        <v>15</v>
      </c>
    </row>
    <row r="117" spans="1:6" ht="24">
      <c r="A117" s="3115">
        <v>45</v>
      </c>
      <c r="B117" s="3779"/>
      <c r="C117" s="3089" t="s">
        <v>2743</v>
      </c>
      <c r="D117" s="3089" t="s">
        <v>2744</v>
      </c>
      <c r="E117" s="3115">
        <v>0.1</v>
      </c>
      <c r="F117" s="3115">
        <v>15</v>
      </c>
    </row>
    <row r="118" spans="1:6" ht="24">
      <c r="A118" s="3115">
        <v>46</v>
      </c>
      <c r="B118" s="3775" t="s">
        <v>2745</v>
      </c>
      <c r="C118" s="3115" t="s">
        <v>2746</v>
      </c>
      <c r="D118" s="3089" t="s">
        <v>2747</v>
      </c>
      <c r="E118" s="3115">
        <v>0.1</v>
      </c>
      <c r="F118" s="3115">
        <v>15</v>
      </c>
    </row>
    <row r="119" spans="1:6" ht="24">
      <c r="A119" s="3115">
        <v>47</v>
      </c>
      <c r="B119" s="3779"/>
      <c r="C119" s="3115" t="s">
        <v>2748</v>
      </c>
      <c r="D119" s="3089" t="s">
        <v>2749</v>
      </c>
      <c r="E119" s="3115">
        <v>0.1</v>
      </c>
      <c r="F119" s="3115">
        <v>15</v>
      </c>
    </row>
    <row r="120" spans="1:6" ht="24">
      <c r="A120" s="3115">
        <v>48</v>
      </c>
      <c r="B120" s="3775" t="s">
        <v>2750</v>
      </c>
      <c r="C120" s="3115" t="s">
        <v>2751</v>
      </c>
      <c r="D120" s="3089" t="s">
        <v>2752</v>
      </c>
      <c r="E120" s="3115">
        <v>0.1</v>
      </c>
      <c r="F120" s="3115">
        <v>15</v>
      </c>
    </row>
    <row r="121" spans="1:6" ht="24">
      <c r="A121" s="3115">
        <v>49</v>
      </c>
      <c r="B121" s="3779"/>
      <c r="C121" s="3115" t="s">
        <v>2753</v>
      </c>
      <c r="D121" s="3089" t="s">
        <v>2754</v>
      </c>
      <c r="E121" s="3115">
        <v>0.1</v>
      </c>
      <c r="F121" s="3115">
        <v>15</v>
      </c>
    </row>
    <row r="122" spans="1:6" ht="24">
      <c r="A122" s="3115">
        <v>50</v>
      </c>
      <c r="B122" s="3780" t="s">
        <v>2755</v>
      </c>
      <c r="C122" s="3115" t="s">
        <v>2756</v>
      </c>
      <c r="D122" s="3089" t="s">
        <v>2757</v>
      </c>
      <c r="E122" s="3115">
        <v>0.1</v>
      </c>
      <c r="F122" s="3115">
        <v>15</v>
      </c>
    </row>
    <row r="123" spans="1:6" ht="24">
      <c r="A123" s="3115">
        <v>51</v>
      </c>
      <c r="B123" s="3780"/>
      <c r="C123" s="3115" t="s">
        <v>2758</v>
      </c>
      <c r="D123" s="3089" t="s">
        <v>2759</v>
      </c>
      <c r="E123" s="3115">
        <v>0.1</v>
      </c>
      <c r="F123" s="3115">
        <v>15</v>
      </c>
    </row>
    <row r="124" spans="1:6" ht="24">
      <c r="A124" s="3115">
        <v>52</v>
      </c>
      <c r="B124" s="3780" t="s">
        <v>2760</v>
      </c>
      <c r="C124" s="3115" t="s">
        <v>2761</v>
      </c>
      <c r="D124" s="3089" t="s">
        <v>2762</v>
      </c>
      <c r="E124" s="3115">
        <v>0.1</v>
      </c>
      <c r="F124" s="3115">
        <v>15</v>
      </c>
    </row>
    <row r="125" spans="1:6" ht="24">
      <c r="A125" s="3115">
        <v>53</v>
      </c>
      <c r="B125" s="3780"/>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780" t="s">
        <v>2768</v>
      </c>
      <c r="C127" s="3115" t="s">
        <v>2769</v>
      </c>
      <c r="D127" s="3089" t="s">
        <v>2770</v>
      </c>
      <c r="E127" s="3115">
        <v>0.1</v>
      </c>
      <c r="F127" s="3115">
        <v>15</v>
      </c>
    </row>
    <row r="128" spans="1:6" ht="24">
      <c r="A128" s="3115">
        <v>56</v>
      </c>
      <c r="B128" s="3780"/>
      <c r="C128" s="3115" t="s">
        <v>2771</v>
      </c>
      <c r="D128" s="3089" t="s">
        <v>2772</v>
      </c>
      <c r="E128" s="3115">
        <v>0.1</v>
      </c>
      <c r="F128" s="3115">
        <v>15</v>
      </c>
    </row>
    <row r="129" spans="1:6" ht="24">
      <c r="A129" s="3115">
        <v>57</v>
      </c>
      <c r="B129" s="3780"/>
      <c r="C129" s="3115" t="s">
        <v>2773</v>
      </c>
      <c r="D129" s="3089" t="s">
        <v>2774</v>
      </c>
      <c r="E129" s="3115">
        <v>0.1</v>
      </c>
      <c r="F129" s="3115">
        <v>15</v>
      </c>
    </row>
    <row r="130" spans="1:6" ht="24">
      <c r="A130" s="3115">
        <v>58</v>
      </c>
      <c r="B130" s="3780" t="s">
        <v>2775</v>
      </c>
      <c r="C130" s="3115" t="s">
        <v>2776</v>
      </c>
      <c r="D130" s="3089" t="s">
        <v>2777</v>
      </c>
      <c r="E130" s="3115">
        <v>0.1</v>
      </c>
      <c r="F130" s="3115">
        <v>15</v>
      </c>
    </row>
    <row r="131" spans="1:6" ht="24">
      <c r="A131" s="3115">
        <v>59</v>
      </c>
      <c r="B131" s="3780"/>
      <c r="C131" s="3115" t="s">
        <v>2778</v>
      </c>
      <c r="D131" s="3089" t="s">
        <v>2779</v>
      </c>
      <c r="E131" s="3115">
        <v>0.1</v>
      </c>
      <c r="F131" s="3115">
        <v>15</v>
      </c>
    </row>
    <row r="132" spans="1:6" ht="24">
      <c r="A132" s="3115">
        <v>60</v>
      </c>
      <c r="B132" s="3775" t="s">
        <v>2780</v>
      </c>
      <c r="C132" s="3115" t="s">
        <v>2781</v>
      </c>
      <c r="D132" s="3089" t="s">
        <v>2782</v>
      </c>
      <c r="E132" s="3115">
        <v>0.1</v>
      </c>
      <c r="F132" s="3115">
        <v>15</v>
      </c>
    </row>
    <row r="133" spans="1:6" ht="24">
      <c r="A133" s="3115">
        <v>61</v>
      </c>
      <c r="B133" s="3779"/>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780" t="s">
        <v>2788</v>
      </c>
      <c r="C135" s="3115" t="s">
        <v>2789</v>
      </c>
      <c r="D135" s="3089" t="s">
        <v>2790</v>
      </c>
      <c r="E135" s="3115">
        <v>0.1</v>
      </c>
      <c r="F135" s="3115">
        <v>15</v>
      </c>
    </row>
    <row r="136" spans="1:6" ht="24">
      <c r="A136" s="3115">
        <v>64</v>
      </c>
      <c r="B136" s="3780"/>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7.399999999999999">
      <c r="A3" s="3466" t="str">
        <f>IF(项目基本情况!B9="房地产市场价值","估价结果一览表（市场价值不需“结果表-1”）","估价结果一览表")</f>
        <v>估价结果一览表（市场价值不需“结果表-1”）</v>
      </c>
      <c r="B3" s="3466"/>
      <c r="C3" s="3466"/>
      <c r="D3" s="3466"/>
      <c r="E3" s="3466"/>
    </row>
    <row r="4" spans="1:5" ht="18" thickBot="1">
      <c r="A4" s="1492"/>
      <c r="B4" s="3464" t="s">
        <v>917</v>
      </c>
      <c r="C4" s="3464"/>
      <c r="D4" s="3464"/>
      <c r="E4" s="1492"/>
    </row>
    <row r="5" spans="1:5" ht="16.2" thickTop="1">
      <c r="A5" s="1490"/>
      <c r="B5" s="3462" t="s">
        <v>909</v>
      </c>
      <c r="C5" s="1493" t="s">
        <v>910</v>
      </c>
      <c r="D5" s="850" t="e">
        <f ca="1">结果表!H101</f>
        <v>#REF!</v>
      </c>
      <c r="E5" s="1490"/>
    </row>
    <row r="6" spans="1:5" ht="15.6">
      <c r="A6" s="1490"/>
      <c r="B6" s="3462"/>
      <c r="C6" s="1493" t="s">
        <v>911</v>
      </c>
      <c r="D6" s="850" t="e">
        <f ca="1">NUMBERSTRING(INT(D5*10000),2)&amp;"元整"</f>
        <v>#REF!</v>
      </c>
      <c r="E6" s="1490"/>
    </row>
    <row r="7" spans="1:5" ht="15.6">
      <c r="A7" s="1490"/>
      <c r="B7" s="3467"/>
      <c r="C7" s="1494" t="s">
        <v>912</v>
      </c>
      <c r="D7" s="851" t="e">
        <f ca="1">结果表!H102</f>
        <v>#REF!</v>
      </c>
      <c r="E7" s="1490"/>
    </row>
    <row r="8" spans="1:5" ht="15.6">
      <c r="A8" s="1490"/>
      <c r="B8" s="3468" t="str">
        <f>结果表!E103</f>
        <v>2.估价师知悉的法定优先受偿款</v>
      </c>
      <c r="C8" s="1495" t="s">
        <v>913</v>
      </c>
      <c r="D8" s="851">
        <f>结果表!H103</f>
        <v>0</v>
      </c>
      <c r="E8" s="1490"/>
    </row>
    <row r="9" spans="1:5" ht="15.6">
      <c r="A9" s="1490"/>
      <c r="B9" s="3470"/>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61" t="str">
        <f>结果表!E107</f>
        <v>3.房地产抵押价值</v>
      </c>
      <c r="C13" s="1498" t="s">
        <v>910</v>
      </c>
      <c r="D13" s="853" t="e">
        <f ca="1">结果表!H107</f>
        <v>#REF!</v>
      </c>
      <c r="E13" s="1490"/>
    </row>
    <row r="14" spans="1:5" ht="15.6">
      <c r="A14" s="1490"/>
      <c r="B14" s="3462"/>
      <c r="C14" s="1493" t="s">
        <v>911</v>
      </c>
      <c r="D14" s="850" t="e">
        <f ca="1">NUMBERSTRING(INT(D13*10000),2)&amp;"元整"</f>
        <v>#REF!</v>
      </c>
      <c r="E14" s="1490"/>
    </row>
    <row r="15" spans="1:5" ht="15.6">
      <c r="A15" s="1490"/>
      <c r="B15" s="3467"/>
      <c r="C15" s="1494" t="s">
        <v>921</v>
      </c>
      <c r="D15" s="859" t="e">
        <f ca="1">结果表!H108</f>
        <v>#REF!</v>
      </c>
      <c r="E15" s="1490"/>
    </row>
    <row r="16" spans="1:5" ht="15.6">
      <c r="A16" s="1490"/>
      <c r="B16" s="3468" t="str">
        <f>结果表!E109</f>
        <v>——</v>
      </c>
      <c r="C16" s="1498" t="s">
        <v>922</v>
      </c>
      <c r="D16" s="1499" t="str">
        <f>结果表!H109</f>
        <v>——</v>
      </c>
      <c r="E16" s="1490"/>
    </row>
    <row r="17" spans="1:5" ht="15.6">
      <c r="A17" s="1490"/>
      <c r="B17" s="3469"/>
      <c r="C17" s="1493" t="s">
        <v>923</v>
      </c>
      <c r="D17" s="850" t="e">
        <f>NUMBERSTRING(INT(D16*10000),2)&amp;"元整"</f>
        <v>#VALUE!</v>
      </c>
      <c r="E17" s="1490"/>
    </row>
    <row r="18" spans="1:5" ht="15.6">
      <c r="A18" s="1490"/>
      <c r="B18" s="3470"/>
      <c r="C18" s="1494" t="s">
        <v>912</v>
      </c>
      <c r="D18" s="859" t="str">
        <f>结果表!H110</f>
        <v>——</v>
      </c>
      <c r="E18" s="1490"/>
    </row>
    <row r="19" spans="1:5" ht="15.6">
      <c r="A19" s="1490"/>
      <c r="B19" s="3461" t="str">
        <f>结果表!E111</f>
        <v>——</v>
      </c>
      <c r="C19" s="1498" t="s">
        <v>910</v>
      </c>
      <c r="D19" s="851" t="str">
        <f>结果表!H111</f>
        <v>——</v>
      </c>
      <c r="E19" s="1490"/>
    </row>
    <row r="20" spans="1:5" ht="15.6">
      <c r="A20" s="1490"/>
      <c r="B20" s="3462"/>
      <c r="C20" s="1493" t="s">
        <v>923</v>
      </c>
      <c r="D20" s="850" t="e">
        <f>NUMBERSTRING(INT(D19*10000),2)&amp;"元整"</f>
        <v>#VALUE!</v>
      </c>
      <c r="E20" s="1490"/>
    </row>
    <row r="21" spans="1:5" ht="16.2" thickBot="1">
      <c r="A21" s="1490"/>
      <c r="B21" s="3463"/>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1.0558000000000001</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1</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28618</v>
      </c>
      <c r="C2" s="2" t="s">
        <v>106</v>
      </c>
      <c r="D2" s="199"/>
      <c r="E2" s="199"/>
      <c r="F2" s="199"/>
      <c r="G2" s="199"/>
    </row>
    <row r="3" spans="1:7" s="200" customFormat="1" ht="18" customHeight="1" thickBot="1">
      <c r="A3" s="203" t="s">
        <v>58</v>
      </c>
      <c r="B3" s="204">
        <f ca="1">ROUND(B2*10000/'数据-汇总表'!E3,0)</f>
        <v>761380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6</v>
      </c>
      <c r="D9" s="845">
        <f>'数据-汇总表'!E5</f>
        <v>375.87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375.87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2025</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28407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19</v>
      </c>
      <c r="D36" s="220"/>
      <c r="E36" s="220"/>
      <c r="F36" s="259">
        <f>'数据-取费表'!B34</f>
        <v>0.1</v>
      </c>
      <c r="G36" s="260" t="s">
        <v>35</v>
      </c>
    </row>
    <row r="37" spans="1:7" s="258" customFormat="1" ht="13.5" customHeight="1">
      <c r="A37" s="780" t="s">
        <v>353</v>
      </c>
      <c r="B37" s="215" t="s">
        <v>91</v>
      </c>
      <c r="C37" s="249">
        <f>ROUND(E37*D37*F34/10000,0)</f>
        <v>8</v>
      </c>
      <c r="D37" s="217">
        <f>'数据-汇总表'!E3</f>
        <v>375.87</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35</v>
      </c>
      <c r="D45" s="235">
        <f>C47</f>
        <v>3.0000000000000001E-3</v>
      </c>
      <c r="E45" s="236" t="s">
        <v>102</v>
      </c>
      <c r="F45" s="246"/>
      <c r="G45" s="247" t="s">
        <v>434</v>
      </c>
    </row>
    <row r="46" spans="1:7" s="214" customFormat="1" ht="13.5" customHeight="1">
      <c r="A46" s="780" t="s">
        <v>349</v>
      </c>
      <c r="B46" s="248" t="s">
        <v>427</v>
      </c>
      <c r="C46" s="249">
        <f>ROUND((C33+C39)*F27,0)</f>
        <v>35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301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211</v>
      </c>
      <c r="D51" s="232"/>
      <c r="E51" s="232"/>
      <c r="F51" s="264"/>
      <c r="G51" s="234" t="s">
        <v>37</v>
      </c>
    </row>
    <row r="52" spans="1:7" s="208" customFormat="1" ht="16.8" thickBot="1">
      <c r="A52" s="265" t="s">
        <v>38</v>
      </c>
      <c r="B52" s="266"/>
      <c r="C52" s="267">
        <f ca="1">C31+C51</f>
        <v>28618</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783" t="s">
        <v>2838</v>
      </c>
      <c r="B1" s="3783"/>
      <c r="C1" s="3783"/>
      <c r="D1" s="3783"/>
      <c r="E1" s="3783"/>
      <c r="F1" s="3783"/>
      <c r="G1" s="3784"/>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781"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782"/>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785" t="s">
        <v>3180</v>
      </c>
      <c r="B1" s="3785"/>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786" t="s">
        <v>3231</v>
      </c>
      <c r="B1" s="3786"/>
      <c r="C1" s="3786"/>
      <c r="D1" s="3786"/>
      <c r="E1" s="3786"/>
      <c r="F1" s="3787"/>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3218">
        <f>基准地价修正!G23</f>
        <v>45538</v>
      </c>
      <c r="B1" s="3207" t="s">
        <v>3381</v>
      </c>
      <c r="C1" s="3208"/>
      <c r="D1" s="3208"/>
      <c r="E1" s="3208"/>
      <c r="F1" s="3208"/>
      <c r="G1" s="3208"/>
      <c r="H1" s="3208"/>
      <c r="I1" s="3208"/>
      <c r="J1" s="3162"/>
      <c r="K1" s="3208" t="s">
        <v>454</v>
      </c>
      <c r="L1" s="3208"/>
      <c r="M1" s="3208"/>
      <c r="N1" s="3208"/>
      <c r="O1" s="3208"/>
      <c r="P1" s="3208"/>
      <c r="Q1" s="3162"/>
      <c r="R1" s="3788" t="s">
        <v>456</v>
      </c>
      <c r="S1" s="3789"/>
      <c r="T1" s="3789"/>
      <c r="U1" s="3789"/>
      <c r="V1" s="3789"/>
      <c r="W1" s="3789"/>
      <c r="X1" s="3162"/>
      <c r="Y1" s="3788" t="s">
        <v>457</v>
      </c>
      <c r="Z1" s="3789"/>
      <c r="AA1" s="3789"/>
      <c r="AB1" s="3789"/>
      <c r="AC1" s="3789"/>
      <c r="AD1" s="3789"/>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ROUND(AVERAGEIF(D4:D21,"&lt;&gt;0"),2)</f>
        <v>0.47</v>
      </c>
      <c r="E3" s="3148">
        <f t="shared" ref="E3:H3" si="0">ROUND(AVERAGEIF(E4:E21,"&lt;&gt;0"),2)</f>
        <v>0.3</v>
      </c>
      <c r="F3" s="3148">
        <f t="shared" si="0"/>
        <v>0.04</v>
      </c>
      <c r="G3" s="3148">
        <f t="shared" si="0"/>
        <v>0.51</v>
      </c>
      <c r="H3" s="3148">
        <f t="shared" si="0"/>
        <v>0.55000000000000004</v>
      </c>
      <c r="I3" s="3148">
        <f>F3</f>
        <v>0.04</v>
      </c>
      <c r="J3" s="3149"/>
      <c r="K3" s="3150">
        <f>ROUND(AVERAGEIF(K4:K21,"&lt;&gt;0"),4)</f>
        <v>4.7000000000000002E-3</v>
      </c>
      <c r="L3" s="3151">
        <f t="shared" ref="L3:O3" si="1">ROUND(AVERAGEIF(L4:L21,"&lt;&gt;0"),4)</f>
        <v>3.0000000000000001E-3</v>
      </c>
      <c r="M3" s="3151">
        <f t="shared" si="1"/>
        <v>4.0000000000000002E-4</v>
      </c>
      <c r="N3" s="3151">
        <f t="shared" si="1"/>
        <v>5.1000000000000004E-3</v>
      </c>
      <c r="O3" s="3151">
        <f t="shared" si="1"/>
        <v>5.4999999999999997E-3</v>
      </c>
      <c r="P3" s="3151">
        <f>M3</f>
        <v>4.0000000000000002E-4</v>
      </c>
      <c r="Q3" s="3149"/>
      <c r="R3" s="3152">
        <f>ROUND(SUMPRODUCT(PRODUCT(1+K4:K21)),4)</f>
        <v>1.0723</v>
      </c>
      <c r="S3" s="3153">
        <f t="shared" ref="S3:V3" si="2">ROUND(SUMPRODUCT(PRODUCT(1+L4:L21)),4)</f>
        <v>1.0465</v>
      </c>
      <c r="T3" s="3153">
        <f t="shared" si="2"/>
        <v>1.0054000000000001</v>
      </c>
      <c r="U3" s="3153">
        <f t="shared" si="2"/>
        <v>1.0790999999999999</v>
      </c>
      <c r="V3" s="3153">
        <f t="shared" si="2"/>
        <v>1.0857000000000001</v>
      </c>
      <c r="W3" s="3152">
        <f>T3</f>
        <v>1.0054000000000001</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4" t="s">
        <v>3377</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1.0620000000000001</v>
      </c>
      <c r="S5" s="3180">
        <f>ROUND(IF(项目基本情况!$B$8="出让",SUMPRODUCT(PRODUCT(1+L5:$L$21)),SUMPRODUCT(PRODUCT(1+L5:$L$20))),4)</f>
        <v>1.0448</v>
      </c>
      <c r="T5" s="3180">
        <f>ROUND(IF(项目基本情况!$B$8="出让",SUMPRODUCT(PRODUCT(1+M5:$M$21)),SUMPRODUCT(PRODUCT(1+M5:$M$20))),4)</f>
        <v>1.0079</v>
      </c>
      <c r="U5" s="3180">
        <f>ROUND(IF(项目基本情况!$B$8="出让",SUMPRODUCT(PRODUCT(1+N5:$N$21)),SUMPRODUCT(PRODUCT(1+N5:$N$20))),4)</f>
        <v>1.0672999999999999</v>
      </c>
      <c r="V5" s="3180">
        <f>ROUND(IF(项目基本情况!$B$8="出让",SUMPRODUCT(PRODUCT(1+O5:$O$21)),SUMPRODUCT(PRODUCT(1+O5:$O$20))),4)</f>
        <v>1.0818000000000001</v>
      </c>
      <c r="W5" s="3180">
        <f>T5</f>
        <v>1.0079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3386</v>
      </c>
      <c r="B6" s="3184">
        <v>2024</v>
      </c>
      <c r="C6" s="3185">
        <v>4</v>
      </c>
      <c r="D6" s="3186">
        <v>0</v>
      </c>
      <c r="E6" s="3186">
        <v>0</v>
      </c>
      <c r="F6" s="3186">
        <v>0</v>
      </c>
      <c r="G6" s="3186">
        <v>0</v>
      </c>
      <c r="H6" s="3187">
        <v>0</v>
      </c>
      <c r="I6" s="3188">
        <f t="shared" ref="I6" si="15">F6</f>
        <v>0</v>
      </c>
      <c r="J6" s="3189"/>
      <c r="K6" s="3190">
        <f t="shared" ref="K6" si="16">D6/100</f>
        <v>0</v>
      </c>
      <c r="L6" s="3191">
        <f t="shared" ref="L6" si="17">E6/100</f>
        <v>0</v>
      </c>
      <c r="M6" s="3191">
        <f t="shared" ref="M6" si="18">F6/100</f>
        <v>0</v>
      </c>
      <c r="N6" s="3191">
        <f t="shared" ref="N6" si="19">G6/100</f>
        <v>0</v>
      </c>
      <c r="O6" s="3191">
        <f t="shared" ref="O6" si="20">H6/100</f>
        <v>0</v>
      </c>
      <c r="P6" s="3191">
        <f>M6</f>
        <v>0</v>
      </c>
      <c r="Q6" s="3189"/>
      <c r="R6" s="3189">
        <f>ROUND(IF(项目基本情况!$B$8="出让",SUMPRODUCT(PRODUCT(1+K6:$K$21)),SUMPRODUCT(PRODUCT(1+K6:$K$20))),4)</f>
        <v>1.0620000000000001</v>
      </c>
      <c r="S6" s="3189">
        <f>ROUND(IF(项目基本情况!$B$8="出让",SUMPRODUCT(PRODUCT(1+L6:$L$21)),SUMPRODUCT(PRODUCT(1+L6:$L$20))),4)</f>
        <v>1.0448</v>
      </c>
      <c r="T6" s="3189">
        <f>ROUND(IF(项目基本情况!$B$8="出让",SUMPRODUCT(PRODUCT(1+M6:$M$21)),SUMPRODUCT(PRODUCT(1+M6:$M$20))),4)</f>
        <v>1.0079</v>
      </c>
      <c r="U6" s="3189">
        <f>ROUND(IF(项目基本情况!$B$8="出让",SUMPRODUCT(PRODUCT(1+N6:$N$21)),SUMPRODUCT(PRODUCT(1+N6:$N$20))),4)</f>
        <v>1.0672999999999999</v>
      </c>
      <c r="V6" s="3189">
        <f>ROUND(IF(项目基本情况!$B$8="出让",SUMPRODUCT(PRODUCT(1+O6:$O$21)),SUMPRODUCT(PRODUCT(1+O6:$O$20))),4)</f>
        <v>1.0818000000000001</v>
      </c>
      <c r="W6" s="3189">
        <f>T6</f>
        <v>1.0079</v>
      </c>
      <c r="X6" s="3189"/>
      <c r="Y6" s="3191">
        <f>IF(D6=0,0,ROUND(AVERAGE(D6:D19)/100,4))</f>
        <v>0</v>
      </c>
      <c r="Z6" s="3191">
        <f t="shared" ref="Z6" si="21">IF(E6=0,0,ROUND(AVERAGE(E6:E19)/100,4))</f>
        <v>0</v>
      </c>
      <c r="AA6" s="3191">
        <f t="shared" ref="AA6" si="22">IF(F6=0,0,ROUND(AVERAGE(F6:F19)/100,4))</f>
        <v>0</v>
      </c>
      <c r="AB6" s="3191">
        <f t="shared" ref="AB6" si="23">IF(G6=0,0,ROUND(AVERAGE(G6:G19)/100,4))</f>
        <v>0</v>
      </c>
      <c r="AC6" s="3191">
        <f t="shared" ref="AC6" si="24">IF(H6=0,0,ROUND(AVERAGE(H6:H19)/100,4))</f>
        <v>0</v>
      </c>
      <c r="AD6" s="3191">
        <f t="shared" ref="AD6" si="25">AA6</f>
        <v>0</v>
      </c>
    </row>
    <row r="7" spans="1:30" s="3182" customFormat="1" ht="13.2">
      <c r="A7" s="2204" t="s">
        <v>3385</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2">
      <c r="A8" s="3173" t="s">
        <v>3378</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2">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2">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2">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2">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2">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2">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2">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2">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2">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2">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2">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2">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8"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5" thickTop="1"/>
    <row r="23" spans="1:30" s="3006" customFormat="1">
      <c r="A23" s="3445" t="s">
        <v>3384</v>
      </c>
    </row>
    <row r="24" spans="1:30" s="3006" customFormat="1">
      <c r="I24" s="3205" t="s">
        <v>2824</v>
      </c>
    </row>
    <row r="25" spans="1:30" s="3006" customFormat="1"/>
    <row r="26" spans="1:30" s="3206" customFormat="1" ht="13.2">
      <c r="B26" s="3207" t="s">
        <v>3382</v>
      </c>
      <c r="C26" s="3208"/>
      <c r="D26" s="3208"/>
      <c r="E26" s="3208"/>
      <c r="F26" s="3208"/>
      <c r="G26" s="3208"/>
      <c r="H26" s="3208"/>
      <c r="I26" s="3208"/>
      <c r="J26" s="3162"/>
      <c r="K26" s="3208" t="s">
        <v>2825</v>
      </c>
      <c r="L26" s="3208"/>
      <c r="M26" s="3208"/>
      <c r="N26" s="3208"/>
      <c r="O26" s="3208"/>
      <c r="P26" s="3208"/>
      <c r="Q26" s="3162"/>
      <c r="R26" s="3788" t="s">
        <v>2826</v>
      </c>
      <c r="S26" s="3789"/>
      <c r="T26" s="3789"/>
      <c r="U26" s="3789"/>
      <c r="V26" s="3789"/>
      <c r="W26" s="3789"/>
      <c r="X26" s="3162"/>
      <c r="Y26" s="3788" t="s">
        <v>2827</v>
      </c>
      <c r="Z26" s="3789"/>
      <c r="AA26" s="3789"/>
      <c r="AB26" s="3789"/>
      <c r="AC26" s="3789"/>
      <c r="AD26" s="3789"/>
    </row>
    <row r="27" spans="1:30" s="3140" customFormat="1" ht="1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3.2">
      <c r="A28" s="3146" t="s">
        <v>2833</v>
      </c>
      <c r="B28" s="3147"/>
      <c r="C28" s="3148"/>
      <c r="D28" s="3148"/>
      <c r="E28" s="3148">
        <f t="shared" ref="E28:G28" si="65">ROUND(AVERAGEIF(E29:E46,"&lt;&gt;0"),2)</f>
        <v>0.26</v>
      </c>
      <c r="F28" s="3148">
        <f t="shared" si="65"/>
        <v>0.19</v>
      </c>
      <c r="G28" s="3148">
        <f t="shared" si="65"/>
        <v>0.38</v>
      </c>
      <c r="H28" s="3148"/>
      <c r="I28" s="3148">
        <f>F28</f>
        <v>0.19</v>
      </c>
      <c r="J28" s="3149"/>
      <c r="K28" s="3150"/>
      <c r="L28" s="3151">
        <f t="shared" ref="L28:N28" si="66">ROUND(AVERAGEIF(L29:L46,"&lt;&gt;0"),4)</f>
        <v>2.5999999999999999E-3</v>
      </c>
      <c r="M28" s="3151">
        <f t="shared" si="66"/>
        <v>1.9E-3</v>
      </c>
      <c r="N28" s="3151">
        <f t="shared" si="66"/>
        <v>3.8E-3</v>
      </c>
      <c r="O28" s="3151"/>
      <c r="P28" s="3151">
        <f>M28</f>
        <v>1.9E-3</v>
      </c>
      <c r="Q28" s="3149"/>
      <c r="R28" s="3152"/>
      <c r="S28" s="3153">
        <f>ROUND(SUMPRODUCT(PRODUCT(1+L29:L46)),4)</f>
        <v>1.04</v>
      </c>
      <c r="T28" s="3153">
        <f t="shared" ref="T28:U28" si="67">ROUND(SUMPRODUCT(PRODUCT(1+M29:M46)),4)</f>
        <v>1.0293000000000001</v>
      </c>
      <c r="U28" s="3153">
        <f t="shared" si="67"/>
        <v>1.0583</v>
      </c>
      <c r="V28" s="3153"/>
      <c r="W28" s="3152">
        <f>T28</f>
        <v>1.0293000000000001</v>
      </c>
      <c r="X28" s="3149"/>
      <c r="Y28" s="3154"/>
      <c r="Z28" s="3155">
        <f t="shared" ref="Z28:AB28" si="68">ROUND(AVERAGEIF(Z29:Z46,"&lt;&gt;0"),4)</f>
        <v>4.1000000000000003E-3</v>
      </c>
      <c r="AA28" s="3156">
        <f t="shared" si="68"/>
        <v>3.3E-3</v>
      </c>
      <c r="AB28" s="3154">
        <f t="shared" si="68"/>
        <v>8.0999999999999996E-3</v>
      </c>
      <c r="AC28" s="3157"/>
      <c r="AD28" s="3154">
        <f>AA28</f>
        <v>3.3E-3</v>
      </c>
    </row>
    <row r="29" spans="1:30" s="3159" customFormat="1" ht="13.2">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2">
      <c r="A30" s="2204" t="s">
        <v>3377</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1.0364</v>
      </c>
      <c r="T30" s="3180">
        <f>ROUND(IF(项目基本情况!$B$8="出让",SUMPRODUCT(PRODUCT(1+M30:M$46)),SUMPRODUCT(PRODUCT(1+M30:M$45))),4)</f>
        <v>1.0244</v>
      </c>
      <c r="U30" s="3180">
        <f>ROUND(IF(项目基本情况!$B$8="出让",SUMPRODUCT(PRODUCT(1+N30:N$46)),SUMPRODUCT(PRODUCT(1+N30:N$45))),4)</f>
        <v>1.048</v>
      </c>
      <c r="V30" s="3180"/>
      <c r="W30" s="3180">
        <f>T30</f>
        <v>1.0244</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2">
      <c r="A31" s="3183" t="s">
        <v>3379</v>
      </c>
      <c r="B31" s="3184">
        <v>2024</v>
      </c>
      <c r="C31" s="3185">
        <v>4</v>
      </c>
      <c r="D31" s="3186"/>
      <c r="E31" s="3186">
        <v>0</v>
      </c>
      <c r="F31" s="3186">
        <v>0</v>
      </c>
      <c r="G31" s="3186">
        <v>0</v>
      </c>
      <c r="H31" s="3187"/>
      <c r="I31" s="3188">
        <f t="shared" ref="I31" si="76">F31</f>
        <v>0</v>
      </c>
      <c r="J31" s="3189"/>
      <c r="K31" s="3190"/>
      <c r="L31" s="3191">
        <f t="shared" ref="L31" si="77">E31/100</f>
        <v>0</v>
      </c>
      <c r="M31" s="3191">
        <f t="shared" ref="M31" si="78">F31/100</f>
        <v>0</v>
      </c>
      <c r="N31" s="3191">
        <f t="shared" ref="N31" si="79">G31/100</f>
        <v>0</v>
      </c>
      <c r="O31" s="3191"/>
      <c r="P31" s="3191">
        <f>M31</f>
        <v>0</v>
      </c>
      <c r="Q31" s="3189"/>
      <c r="R31" s="3189"/>
      <c r="S31" s="3189">
        <f>ROUND(IF(项目基本情况!$B$8="出让",SUMPRODUCT(PRODUCT(1+L31:L$46)),SUMPRODUCT(PRODUCT(1+L31:L$45))),4)</f>
        <v>1.0364</v>
      </c>
      <c r="T31" s="3189">
        <f>ROUND(IF(项目基本情况!$B$8="出让",SUMPRODUCT(PRODUCT(1+M31:M$46)),SUMPRODUCT(PRODUCT(1+M31:M$45))),4)</f>
        <v>1.0244</v>
      </c>
      <c r="U31" s="3189">
        <f>ROUND(IF(项目基本情况!$B$8="出让",SUMPRODUCT(PRODUCT(1+N31:N$46)),SUMPRODUCT(PRODUCT(1+N31:N$45))),4)</f>
        <v>1.048</v>
      </c>
      <c r="V31" s="3189"/>
      <c r="W31" s="3189">
        <f>T31</f>
        <v>1.0244</v>
      </c>
      <c r="X31" s="3189"/>
      <c r="Y31" s="3191"/>
      <c r="Z31" s="3212">
        <f t="shared" ref="Z31" si="80">IF(E31=0,0,ROUND(AVERAGE(E31:E44)/100,4))</f>
        <v>0</v>
      </c>
      <c r="AA31" s="3213">
        <f t="shared" ref="AA31" si="81">IF(F31=0,0,ROUND(AVERAGE(F31:F44)/100,4))</f>
        <v>0</v>
      </c>
      <c r="AB31" s="3191">
        <f t="shared" ref="AB31" si="82">IF(G31=0,0,ROUND(AVERAGE(G31:G44)/100,4))</f>
        <v>0</v>
      </c>
      <c r="AC31" s="3214"/>
      <c r="AD31" s="3191">
        <f>IF(I31=0,0,ROUND(AVERAGE(I31:I44)/100,4))</f>
        <v>0</v>
      </c>
    </row>
    <row r="32" spans="1:30" s="3182" customFormat="1" ht="13.2">
      <c r="A32" s="2204"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2">
      <c r="A33" s="3173" t="s">
        <v>3380</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2">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2">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2">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2">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2">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2">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2">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2">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2">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2">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2">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2">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8"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5" thickTop="1"/>
    <row r="48" spans="1:30">
      <c r="A48" s="3445"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9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9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9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9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9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9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9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9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9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9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9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9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9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9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3">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94">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9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3">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94">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45538</v>
      </c>
      <c r="D1" s="1301" t="s">
        <v>603</v>
      </c>
      <c r="E1" s="1296">
        <f>'数据-取费表'!B22</f>
        <v>2</v>
      </c>
      <c r="F1" s="1301" t="s">
        <v>604</v>
      </c>
      <c r="G1" s="1297">
        <f ca="1">INDIRECT("d"&amp;$K$1)/100</f>
        <v>3.3500000000000002E-2</v>
      </c>
      <c r="H1" s="1301" t="s">
        <v>634</v>
      </c>
      <c r="I1" s="1297">
        <f ca="1">F4/100</f>
        <v>1.4999999999999999E-2</v>
      </c>
      <c r="J1" s="1302">
        <f>IF(C1&gt;C13,0,MATCH(C1,C$13:C$114,-1))+IF(SUMIF(C13:C114,C1,D13:D114)=0,13,12)</f>
        <v>14</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5.6">
      <c r="B26" s="2813" t="s">
        <v>2309</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5.6">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
  <sheetViews>
    <sheetView workbookViewId="0">
      <selection activeCell="D8" sqref="D8"/>
    </sheetView>
  </sheetViews>
  <sheetFormatPr defaultRowHeight="15.6"/>
  <cols>
    <col min="1" max="54" width="22.21875" style="3447" customWidth="1"/>
    <col min="55" max="16384" width="8.88671875" style="3447"/>
  </cols>
  <sheetData>
    <row r="1" spans="1:21">
      <c r="A1" s="3802" t="s">
        <v>3496</v>
      </c>
      <c r="B1" s="3801">
        <v>45566.333831018521</v>
      </c>
      <c r="C1" s="3802"/>
      <c r="D1" s="3801">
        <v>45536.333831018521</v>
      </c>
      <c r="E1" s="3802"/>
      <c r="F1" s="3801">
        <v>45505.333831018521</v>
      </c>
      <c r="G1" s="3802"/>
      <c r="H1" s="3801">
        <v>45474.333831018521</v>
      </c>
      <c r="I1" s="3802"/>
      <c r="J1" s="3801">
        <v>45444.333831018521</v>
      </c>
      <c r="K1" s="3802"/>
      <c r="L1" s="3801">
        <v>45413.333831018521</v>
      </c>
      <c r="M1" s="3802"/>
      <c r="N1" s="3801">
        <v>45383.333831018521</v>
      </c>
      <c r="O1" s="3802"/>
      <c r="P1" s="3801">
        <v>45352.333831018521</v>
      </c>
      <c r="Q1" s="3802"/>
      <c r="R1" s="3801">
        <v>45323.333831018521</v>
      </c>
      <c r="S1" s="3802"/>
      <c r="T1" s="3801">
        <v>45292.333831018521</v>
      </c>
      <c r="U1" s="3802"/>
    </row>
    <row r="2" spans="1:21">
      <c r="A2" s="3802"/>
      <c r="B2" s="3447" t="s">
        <v>3497</v>
      </c>
      <c r="C2" s="3447" t="s">
        <v>3498</v>
      </c>
      <c r="D2" s="3447" t="s">
        <v>3497</v>
      </c>
      <c r="E2" s="3447" t="s">
        <v>3498</v>
      </c>
      <c r="F2" s="3447" t="s">
        <v>3497</v>
      </c>
      <c r="G2" s="3447" t="s">
        <v>3498</v>
      </c>
      <c r="H2" s="3447" t="s">
        <v>3497</v>
      </c>
      <c r="I2" s="3447" t="s">
        <v>3498</v>
      </c>
      <c r="J2" s="3447" t="s">
        <v>3497</v>
      </c>
      <c r="K2" s="3447" t="s">
        <v>3498</v>
      </c>
      <c r="L2" s="3447" t="s">
        <v>3497</v>
      </c>
      <c r="M2" s="3447" t="s">
        <v>3498</v>
      </c>
      <c r="N2" s="3447" t="s">
        <v>3497</v>
      </c>
      <c r="O2" s="3447" t="s">
        <v>3498</v>
      </c>
      <c r="P2" s="3447" t="s">
        <v>3497</v>
      </c>
      <c r="Q2" s="3447" t="s">
        <v>3498</v>
      </c>
      <c r="R2" s="3447" t="s">
        <v>3497</v>
      </c>
      <c r="S2" s="3447" t="s">
        <v>3498</v>
      </c>
      <c r="T2" s="3447" t="s">
        <v>3497</v>
      </c>
      <c r="U2" s="3447" t="s">
        <v>3498</v>
      </c>
    </row>
    <row r="3" spans="1:21">
      <c r="A3" s="3447" t="s">
        <v>3476</v>
      </c>
      <c r="B3" s="3447">
        <v>268.49</v>
      </c>
      <c r="C3" s="3447">
        <v>127676</v>
      </c>
      <c r="D3" s="3447">
        <v>269.99</v>
      </c>
      <c r="E3" s="3447">
        <v>130257</v>
      </c>
      <c r="F3" s="3447">
        <v>268.35000000000002</v>
      </c>
      <c r="G3" s="3447">
        <v>130770</v>
      </c>
      <c r="H3" s="3447">
        <v>271.02999999999997</v>
      </c>
      <c r="I3" s="3447">
        <v>130724</v>
      </c>
      <c r="J3" s="3447">
        <v>265.51</v>
      </c>
      <c r="K3" s="3447">
        <v>136732</v>
      </c>
      <c r="L3" s="3447">
        <v>259.45</v>
      </c>
      <c r="M3" s="3447">
        <v>137086</v>
      </c>
      <c r="N3" s="3447">
        <v>257.37</v>
      </c>
      <c r="O3" s="3447">
        <v>139609</v>
      </c>
      <c r="P3" s="3447">
        <v>254.47</v>
      </c>
      <c r="Q3" s="3447">
        <v>140161</v>
      </c>
      <c r="R3" s="3447">
        <v>253.33</v>
      </c>
      <c r="S3" s="3447">
        <v>139869</v>
      </c>
      <c r="T3" s="3447">
        <v>250.28</v>
      </c>
      <c r="U3" s="3447">
        <v>139452</v>
      </c>
    </row>
  </sheetData>
  <mergeCells count="11">
    <mergeCell ref="J1:K1"/>
    <mergeCell ref="A1:A2"/>
    <mergeCell ref="B1:C1"/>
    <mergeCell ref="D1:E1"/>
    <mergeCell ref="F1:G1"/>
    <mergeCell ref="H1:I1"/>
    <mergeCell ref="L1:M1"/>
    <mergeCell ref="N1:O1"/>
    <mergeCell ref="P1:Q1"/>
    <mergeCell ref="R1:S1"/>
    <mergeCell ref="T1:U1"/>
  </mergeCells>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6">
      <c r="A3" s="3473"/>
      <c r="B3" s="3473"/>
      <c r="C3" s="3473"/>
      <c r="D3" s="854" t="s">
        <v>925</v>
      </c>
      <c r="E3" s="854" t="s">
        <v>931</v>
      </c>
      <c r="F3" s="854" t="s">
        <v>925</v>
      </c>
      <c r="G3" s="854" t="s">
        <v>926</v>
      </c>
      <c r="H3" s="854" t="s">
        <v>925</v>
      </c>
      <c r="I3" s="854" t="s">
        <v>926</v>
      </c>
    </row>
    <row r="4" spans="1:9" ht="15">
      <c r="A4" s="1504" t="str">
        <f>项目基本情况!S2</f>
        <v>北京市房地产</v>
      </c>
      <c r="B4" s="854">
        <f>项目基本情况!C17</f>
        <v>375.87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6">
      <c r="A6" s="3474" t="str">
        <f>结果表!A120</f>
        <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6">
      <c r="A8" s="3474" t="str">
        <f>结果表!A122</f>
        <v/>
      </c>
      <c r="B8" s="3474"/>
      <c r="C8" s="3474"/>
      <c r="D8" s="3474" t="e">
        <f ca="1">结果表!D122</f>
        <v>#REF!</v>
      </c>
      <c r="E8" s="3474"/>
      <c r="F8" s="3474"/>
      <c r="G8" s="3474"/>
      <c r="H8" s="3474"/>
      <c r="I8" s="3474"/>
    </row>
    <row r="9" spans="1:9" ht="15">
      <c r="A9" s="3473" t="s">
        <v>927</v>
      </c>
      <c r="B9" s="3473"/>
      <c r="C9" s="3473"/>
      <c r="D9" s="3473" t="e">
        <f ca="1">结果表!D123</f>
        <v>#REF!</v>
      </c>
      <c r="E9" s="3473"/>
      <c r="F9" s="3473"/>
      <c r="G9" s="3473"/>
      <c r="H9" s="3473"/>
      <c r="I9" s="3473"/>
    </row>
    <row r="10" spans="1:9" ht="15.6">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6">
      <c r="A12" s="3474" t="str">
        <f>结果表!A126</f>
        <v/>
      </c>
      <c r="B12" s="3474"/>
      <c r="C12" s="3474"/>
      <c r="D12" s="3474" t="str">
        <f>结果表!D126</f>
        <v>——</v>
      </c>
      <c r="E12" s="3474"/>
      <c r="F12" s="3474"/>
      <c r="G12" s="3474"/>
      <c r="H12" s="3474"/>
      <c r="I12" s="3474"/>
    </row>
    <row r="13" spans="1:9" ht="15.6" thickBot="1">
      <c r="A13" s="3478" t="s">
        <v>927</v>
      </c>
      <c r="B13" s="3478"/>
      <c r="C13" s="3478"/>
      <c r="D13" s="3478" t="e">
        <f>结果表!D127</f>
        <v>#VALUE!</v>
      </c>
      <c r="E13" s="3478"/>
      <c r="F13" s="3478"/>
      <c r="G13" s="3478"/>
      <c r="H13" s="3478"/>
      <c r="I13" s="3478"/>
    </row>
    <row r="14" spans="1:9" ht="14.4" thickTop="1">
      <c r="A14" s="3479" t="s">
        <v>932</v>
      </c>
      <c r="B14" s="3479"/>
      <c r="C14" s="3479"/>
      <c r="D14" s="3479"/>
      <c r="E14" s="3479"/>
      <c r="F14" s="3479"/>
      <c r="G14" s="3479"/>
      <c r="H14" s="3479"/>
      <c r="I14" s="3479"/>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80" t="s">
        <v>949</v>
      </c>
      <c r="B1" s="3480"/>
      <c r="C1" s="3480"/>
      <c r="D1" s="3480"/>
    </row>
    <row r="2" spans="1:4" ht="17.399999999999999">
      <c r="A2" s="3481" t="s">
        <v>933</v>
      </c>
      <c r="B2" s="3481"/>
      <c r="C2" s="3481"/>
      <c r="D2" s="3481"/>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481" t="s">
        <v>939</v>
      </c>
      <c r="B6" s="3481"/>
      <c r="C6" s="3481"/>
      <c r="D6" s="3481"/>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482" t="s">
        <v>942</v>
      </c>
      <c r="B11" s="3483"/>
      <c r="C11" s="3483"/>
      <c r="D11" s="3483"/>
    </row>
    <row r="12" spans="1:4" ht="15.6">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94" t="s">
        <v>956</v>
      </c>
      <c r="B15" s="3489" t="s">
        <v>109</v>
      </c>
      <c r="C15" s="3490"/>
    </row>
    <row r="16" spans="1:7" ht="14.4">
      <c r="A16" s="3495"/>
      <c r="B16" s="3489" t="s">
        <v>42</v>
      </c>
      <c r="C16" s="3490"/>
    </row>
    <row r="17" spans="1:3" ht="14.4">
      <c r="A17" s="3495"/>
      <c r="B17" s="3492" t="s">
        <v>957</v>
      </c>
      <c r="C17" s="1531" t="s">
        <v>956</v>
      </c>
    </row>
    <row r="18" spans="1:3" ht="14.4">
      <c r="A18" s="3495"/>
      <c r="B18" s="3492"/>
      <c r="C18" s="1531" t="s">
        <v>958</v>
      </c>
    </row>
    <row r="19" spans="1:3" ht="14.4">
      <c r="A19" s="3495"/>
      <c r="B19" s="3492"/>
      <c r="C19" s="1531" t="s">
        <v>959</v>
      </c>
    </row>
    <row r="20" spans="1:3" ht="14.4">
      <c r="A20" s="3496"/>
      <c r="B20" s="3491" t="s">
        <v>960</v>
      </c>
      <c r="C20" s="3490"/>
    </row>
    <row r="21" spans="1:3" ht="14.4">
      <c r="A21" s="1532" t="s">
        <v>961</v>
      </c>
      <c r="B21" s="1533"/>
      <c r="C21" s="1534"/>
    </row>
    <row r="22" spans="1:3" ht="14.4">
      <c r="A22" s="3493" t="s">
        <v>962</v>
      </c>
      <c r="B22" s="3491" t="s">
        <v>963</v>
      </c>
      <c r="C22" s="3490"/>
    </row>
    <row r="23" spans="1:3" ht="14.4">
      <c r="A23" s="3493"/>
      <c r="B23" s="3491" t="s">
        <v>964</v>
      </c>
      <c r="C23" s="3490"/>
    </row>
    <row r="24" spans="1:3" ht="14.4">
      <c r="A24" s="3493"/>
      <c r="B24" s="3491" t="s">
        <v>965</v>
      </c>
      <c r="C24" s="3490"/>
    </row>
    <row r="25" spans="1:3" ht="14.4">
      <c r="A25" s="3493"/>
      <c r="B25" s="3492" t="s">
        <v>966</v>
      </c>
      <c r="C25" s="1531" t="s">
        <v>967</v>
      </c>
    </row>
    <row r="26" spans="1:3" ht="14.4">
      <c r="A26" s="3493"/>
      <c r="B26" s="3492"/>
      <c r="C26" s="1531" t="s">
        <v>968</v>
      </c>
    </row>
    <row r="27" spans="1:3" ht="14.4">
      <c r="A27" s="3493"/>
      <c r="B27" s="3492"/>
      <c r="C27" s="1531" t="s">
        <v>969</v>
      </c>
    </row>
    <row r="28" spans="1:3" ht="14.4">
      <c r="A28" s="3493"/>
      <c r="B28" s="3492"/>
      <c r="C28" s="1531" t="s">
        <v>970</v>
      </c>
    </row>
    <row r="29" spans="1:3" ht="14.4">
      <c r="A29" s="3493"/>
      <c r="B29" s="3492"/>
      <c r="C29" s="1531" t="s">
        <v>971</v>
      </c>
    </row>
    <row r="30" spans="1:3" ht="14.4">
      <c r="A30" s="3493"/>
      <c r="B30" s="3492"/>
      <c r="C30" s="1531" t="s">
        <v>972</v>
      </c>
    </row>
    <row r="31" spans="1:3" ht="14.4">
      <c r="A31" s="3493"/>
      <c r="B31" s="3492"/>
      <c r="C31" s="1531" t="s">
        <v>973</v>
      </c>
    </row>
    <row r="32" spans="1:3" ht="14.4">
      <c r="A32" s="3493"/>
      <c r="B32" s="3492"/>
      <c r="C32" s="1531" t="s">
        <v>974</v>
      </c>
    </row>
    <row r="33" spans="1:3" ht="14.4">
      <c r="A33" s="3493"/>
      <c r="B33" s="3492"/>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45597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2"/>
      <c r="E18" s="3499" t="s">
        <v>2162</v>
      </c>
      <c r="F18" s="3498"/>
      <c r="G18" s="349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假设开发法</vt:lpstr>
      <vt:lpstr>收益法</vt:lpstr>
      <vt:lpstr>案例</vt:lpstr>
      <vt:lpstr>中指成交</vt:lpstr>
      <vt:lpstr>收益法 (元)</vt:lpstr>
      <vt:lpstr>收益法-酒店模型</vt:lpstr>
      <vt:lpstr>收益法（汇总）</vt:lpstr>
      <vt:lpstr>成本法 (元)</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2024-11-01T09:26:38Z</dcterms:modified>
</cp:coreProperties>
</file>