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共享文件夹\电子版测算表\司法东直门外小街\3110\"/>
    </mc:Choice>
  </mc:AlternateContent>
  <xr:revisionPtr revIDLastSave="0" documentId="13_ncr:1_{E2CE394A-36B7-45D4-B31D-377EEE794409}" xr6:coauthVersionLast="47" xr6:coauthVersionMax="47" xr10:uidLastSave="{00000000-0000-0000-0000-000000000000}"/>
  <bookViews>
    <workbookView xWindow="-120" yWindow="-120" windowWidth="20730" windowHeight="11160" tabRatio="899" firstSheet="17"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新）" sheetId="83" r:id="rId20"/>
    <sheet name="成交建委" sheetId="84" r:id="rId21"/>
    <sheet name="比较法-住宅（二手）" sheetId="21" r:id="rId22"/>
    <sheet name="假设开发法" sheetId="12" state="hidden" r:id="rId23"/>
    <sheet name="收益法" sheetId="15" state="hidden" r:id="rId24"/>
    <sheet name="案例" sheetId="80" r:id="rId25"/>
    <sheet name="中指成交" sheetId="81" r:id="rId26"/>
    <sheet name="收益法 (元)" sheetId="67" r:id="rId27"/>
    <sheet name="收益法-酒店模型" sheetId="77" state="hidden" r:id="rId28"/>
    <sheet name="收益法（汇总）" sheetId="70" state="hidden" r:id="rId29"/>
    <sheet name="成本法 (元)" sheetId="6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 name="租金" sheetId="82"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'比较法-住宅（二手）'!$A$1:$L$49</definedName>
    <definedName name="_xlnm._FilterDatabase" localSheetId="19" hidden="1">'比较法-住宅（新）'!$A$1:$L$49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'比较法-住宅（二手）'!$A$1:$K$54,'比较法-住宅（二手）'!$A$57:$M$131</definedName>
    <definedName name="_xlnm.Print_Area" localSheetId="19">'比较法-住宅（新）'!$A$1:$K$54,'比较法-住宅（新）'!$A$57:$M$131</definedName>
    <definedName name="_xlnm.Print_Area" localSheetId="18">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19">'比较法-住宅（新）'!$B$88:$M$88</definedName>
    <definedName name="住宅朝向">'比较法-住宅（二手）'!$B$88:$M$88</definedName>
    <definedName name="住宅房型" localSheetId="19">'比较法-住宅（新）'!$B$118:$M$118</definedName>
    <definedName name="住宅房型">'比较法-住宅（二手）'!$B$118:$M$118</definedName>
    <definedName name="住宅公共部分装修" localSheetId="19">'比较法-住宅（新）'!$B$109:$M$109</definedName>
    <definedName name="住宅公共部分装修">'比较法-住宅（二手）'!$B$109:$M$109</definedName>
    <definedName name="住宅基础设施水平" localSheetId="19">'比较法-住宅（新）'!$B$116:$M$116</definedName>
    <definedName name="住宅基础设施水平">'比较法-住宅（二手）'!$B$116:$M$116</definedName>
    <definedName name="住宅建筑结构" localSheetId="19">'比较法-住宅（新）'!$B$105:$M$105</definedName>
    <definedName name="住宅建筑结构">'比较法-住宅（二手）'!$B$105:$M$105</definedName>
    <definedName name="住宅建筑类型" localSheetId="19">'比较法-住宅（新）'!$B$100:$M$100</definedName>
    <definedName name="住宅建筑类型">'比较法-住宅（二手）'!$B$100:$M$100</definedName>
    <definedName name="住宅建筑品质" localSheetId="19">'比较法-住宅（新）'!$B$107:$M$107</definedName>
    <definedName name="住宅建筑品质">'比较法-住宅（二手）'!$B$107:$M$107</definedName>
    <definedName name="住宅交易情况" localSheetId="19">'比较法-住宅（新）'!$A$61:$M$61</definedName>
    <definedName name="住宅交易情况">'比较法-住宅（二手）'!$A$61:$M$61</definedName>
    <definedName name="住宅楼层" localSheetId="19">'比较法-住宅（新）'!$B$86:$M$86</definedName>
    <definedName name="住宅楼层">'比较法-住宅（二手）'!$B$86:$M$86</definedName>
    <definedName name="住宅内部装修" localSheetId="19">'比较法-住宅（新）'!$B$122:$M$122</definedName>
    <definedName name="住宅内部装修">'比较法-住宅（二手）'!$B$122:$M$122</definedName>
    <definedName name="住宅物业管理" localSheetId="19">'比较法-住宅（新）'!$B$114:$M$114</definedName>
    <definedName name="住宅物业管理">'比较法-住宅（二手）'!$B$114:$M$114</definedName>
    <definedName name="住宅用途" localSheetId="19">'比较法-住宅（新）'!$B$63:$M$63</definedName>
    <definedName name="住宅用途">'比较法-住宅（二手）'!$B$63:$M$63</definedName>
    <definedName name="住宅主力户型面积" localSheetId="19">'比较法-住宅（新）'!$B$120:$M$120</definedName>
    <definedName name="住宅主力户型面积">'比较法-住宅（二手）'!$B$120:$M$120</definedName>
    <definedName name="注册房地产估价师">估价师及机构信息!$A$3:$A$16</definedName>
  </definedNames>
  <calcPr calcId="191029"/>
</workbook>
</file>

<file path=xl/calcChain.xml><?xml version="1.0" encoding="utf-8"?>
<calcChain xmlns="http://schemas.openxmlformats.org/spreadsheetml/2006/main">
  <c r="N19" i="1" l="1"/>
  <c r="C25" i="43"/>
  <c r="I11" i="83"/>
  <c r="G11" i="83"/>
  <c r="E11" i="83"/>
  <c r="U20" i="31" l="1"/>
  <c r="U22" i="31" s="1"/>
  <c r="C37" i="83"/>
  <c r="G37" i="83" s="1"/>
  <c r="I45" i="83"/>
  <c r="G45" i="83"/>
  <c r="E45" i="83"/>
  <c r="F90" i="83"/>
  <c r="E90" i="83"/>
  <c r="D90" i="83"/>
  <c r="C90" i="83"/>
  <c r="I5" i="83"/>
  <c r="G5" i="83"/>
  <c r="E5" i="83"/>
  <c r="I37" i="83" l="1"/>
  <c r="E37" i="83"/>
  <c r="F37" i="83" s="1"/>
  <c r="S37" i="83" s="1"/>
  <c r="C145" i="83"/>
  <c r="J142" i="83"/>
  <c r="J140" i="83"/>
  <c r="K139" i="83"/>
  <c r="K143" i="83" s="1"/>
  <c r="B130" i="83"/>
  <c r="B128" i="83"/>
  <c r="B126" i="83"/>
  <c r="D125" i="83"/>
  <c r="E125" i="83" s="1"/>
  <c r="F125" i="83" s="1"/>
  <c r="G125" i="83" s="1"/>
  <c r="E123" i="83"/>
  <c r="F123" i="83" s="1"/>
  <c r="G123" i="83" s="1"/>
  <c r="H123" i="83" s="1"/>
  <c r="I123" i="83" s="1"/>
  <c r="J123" i="83" s="1"/>
  <c r="K123" i="83" s="1"/>
  <c r="L123" i="83" s="1"/>
  <c r="M123" i="83" s="1"/>
  <c r="D123" i="83"/>
  <c r="D119" i="83"/>
  <c r="E119" i="83" s="1"/>
  <c r="F119" i="83" s="1"/>
  <c r="G119" i="83" s="1"/>
  <c r="H119" i="83" s="1"/>
  <c r="I119" i="83" s="1"/>
  <c r="J119" i="83" s="1"/>
  <c r="K119" i="83" s="1"/>
  <c r="L119" i="83" s="1"/>
  <c r="M119" i="83" s="1"/>
  <c r="D117" i="83"/>
  <c r="E117" i="83" s="1"/>
  <c r="F117" i="83" s="1"/>
  <c r="G117" i="83" s="1"/>
  <c r="E115" i="83"/>
  <c r="F115" i="83" s="1"/>
  <c r="G115" i="83" s="1"/>
  <c r="H115" i="83" s="1"/>
  <c r="I115" i="83" s="1"/>
  <c r="J115" i="83" s="1"/>
  <c r="K115" i="83" s="1"/>
  <c r="L115" i="83" s="1"/>
  <c r="M115" i="83" s="1"/>
  <c r="D115" i="83"/>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J28" i="83" s="1"/>
  <c r="AC28" i="83" s="1"/>
  <c r="B90" i="83"/>
  <c r="D89" i="83"/>
  <c r="E89" i="83" s="1"/>
  <c r="F89" i="83" s="1"/>
  <c r="G89" i="83" s="1"/>
  <c r="H89" i="83" s="1"/>
  <c r="I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F59" i="83"/>
  <c r="G59" i="83" s="1"/>
  <c r="H59" i="83" s="1"/>
  <c r="D59" i="83"/>
  <c r="I54" i="83"/>
  <c r="J54" i="83" s="1"/>
  <c r="P49" i="83"/>
  <c r="P48" i="83"/>
  <c r="K48" i="83"/>
  <c r="V47" i="83"/>
  <c r="T47" i="83"/>
  <c r="R47" i="83"/>
  <c r="P47" i="83"/>
  <c r="E54" i="83"/>
  <c r="F54"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H43" i="83"/>
  <c r="AB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W39" i="83" s="1"/>
  <c r="H39" i="83"/>
  <c r="AB39" i="83" s="1"/>
  <c r="F39" i="83"/>
  <c r="AA39" i="83" s="1"/>
  <c r="U38" i="83"/>
  <c r="Q38" i="83"/>
  <c r="Z38" i="83" s="1"/>
  <c r="J38" i="83"/>
  <c r="AC38" i="83" s="1"/>
  <c r="H38" i="83"/>
  <c r="AB38" i="83" s="1"/>
  <c r="F38" i="83"/>
  <c r="AA38" i="83" s="1"/>
  <c r="Q37" i="83"/>
  <c r="Z37" i="83" s="1"/>
  <c r="J37" i="83"/>
  <c r="AC37" i="83" s="1"/>
  <c r="H37" i="83"/>
  <c r="Z36" i="83"/>
  <c r="Q36" i="83"/>
  <c r="J36" i="83"/>
  <c r="AC36" i="83" s="1"/>
  <c r="H36" i="83"/>
  <c r="AB36" i="83" s="1"/>
  <c r="F36" i="83"/>
  <c r="S36" i="83" s="1"/>
  <c r="Z35" i="83"/>
  <c r="Q35" i="83"/>
  <c r="J35" i="83"/>
  <c r="AC35" i="83" s="1"/>
  <c r="H35" i="83"/>
  <c r="U35" i="83" s="1"/>
  <c r="F35" i="83"/>
  <c r="AA35" i="83" s="1"/>
  <c r="Q34" i="83"/>
  <c r="Z34" i="83" s="1"/>
  <c r="J34" i="83"/>
  <c r="W34" i="83" s="1"/>
  <c r="H34" i="83"/>
  <c r="U34" i="83" s="1"/>
  <c r="F34" i="83"/>
  <c r="S34" i="83" s="1"/>
  <c r="Q33" i="83"/>
  <c r="Z33" i="83" s="1"/>
  <c r="H33" i="83"/>
  <c r="AB33" i="83" s="1"/>
  <c r="C33" i="83"/>
  <c r="AA32" i="83"/>
  <c r="Z32" i="83"/>
  <c r="Q32" i="83"/>
  <c r="J32" i="83"/>
  <c r="AC32" i="83" s="1"/>
  <c r="H32" i="83"/>
  <c r="AB32" i="83" s="1"/>
  <c r="F32" i="83"/>
  <c r="S32" i="83" s="1"/>
  <c r="Q31" i="83"/>
  <c r="Z31" i="83" s="1"/>
  <c r="J31" i="83"/>
  <c r="W31" i="83" s="1"/>
  <c r="H31" i="83"/>
  <c r="AB31" i="83" s="1"/>
  <c r="F31" i="83"/>
  <c r="S31" i="83" s="1"/>
  <c r="Q30" i="83"/>
  <c r="Z30" i="83" s="1"/>
  <c r="J30" i="83"/>
  <c r="AC30" i="83" s="1"/>
  <c r="H30" i="83"/>
  <c r="AB30" i="83" s="1"/>
  <c r="F30" i="83"/>
  <c r="AA30" i="83" s="1"/>
  <c r="Q29" i="83"/>
  <c r="Z29" i="83" s="1"/>
  <c r="J29" i="83"/>
  <c r="W29" i="83" s="1"/>
  <c r="H29" i="83"/>
  <c r="AB29" i="83" s="1"/>
  <c r="F29" i="83"/>
  <c r="S29" i="83" s="1"/>
  <c r="Q28" i="83"/>
  <c r="Z28" i="83" s="1"/>
  <c r="H28" i="83"/>
  <c r="U28" i="83" s="1"/>
  <c r="Q27" i="83"/>
  <c r="Z27" i="83" s="1"/>
  <c r="J27" i="83"/>
  <c r="AC27" i="83" s="1"/>
  <c r="H27" i="83"/>
  <c r="AB27" i="83" s="1"/>
  <c r="F27" i="83"/>
  <c r="S27" i="83" s="1"/>
  <c r="Q26" i="83"/>
  <c r="Z26" i="83" s="1"/>
  <c r="J26" i="83"/>
  <c r="AC26" i="83" s="1"/>
  <c r="H26" i="83"/>
  <c r="AB26" i="83" s="1"/>
  <c r="Q25" i="83"/>
  <c r="Z25" i="83" s="1"/>
  <c r="J25" i="83"/>
  <c r="W25" i="83" s="1"/>
  <c r="H25" i="83"/>
  <c r="AB25" i="83" s="1"/>
  <c r="F25" i="83"/>
  <c r="S25" i="83" s="1"/>
  <c r="Q23" i="83"/>
  <c r="Z23" i="83" s="1"/>
  <c r="J23" i="83"/>
  <c r="H23" i="83"/>
  <c r="U23" i="83" s="1"/>
  <c r="F23" i="83"/>
  <c r="S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AB8" i="83" s="1"/>
  <c r="F8" i="83"/>
  <c r="S8" i="83" s="1"/>
  <c r="Y6" i="1"/>
  <c r="D2" i="83"/>
  <c r="F28" i="83" l="1"/>
  <c r="W30" i="83"/>
  <c r="F43" i="83"/>
  <c r="AA43" i="83" s="1"/>
  <c r="AB28" i="83"/>
  <c r="AA29" i="83"/>
  <c r="AA31" i="83"/>
  <c r="J33" i="83"/>
  <c r="AC33" i="83" s="1"/>
  <c r="B24" i="31"/>
  <c r="U23" i="31" s="1"/>
  <c r="AA36" i="83"/>
  <c r="J43" i="83"/>
  <c r="AC43" i="83" s="1"/>
  <c r="J59" i="83"/>
  <c r="K59" i="83" s="1"/>
  <c r="I59" i="83"/>
  <c r="K145" i="83"/>
  <c r="U8" i="83"/>
  <c r="AA25" i="83"/>
  <c r="U30" i="83"/>
  <c r="AC31" i="83"/>
  <c r="F33" i="83"/>
  <c r="AA33" i="83" s="1"/>
  <c r="AC34" i="83"/>
  <c r="U33" i="83"/>
  <c r="AA37" i="83"/>
  <c r="W27" i="83"/>
  <c r="W26" i="83"/>
  <c r="S9" i="83"/>
  <c r="AA8" i="83"/>
  <c r="U9" i="83"/>
  <c r="W10" i="83"/>
  <c r="S12" i="83"/>
  <c r="U13" i="83"/>
  <c r="W14" i="83"/>
  <c r="W17" i="83"/>
  <c r="W21" i="83"/>
  <c r="AC23" i="83"/>
  <c r="W23" i="83"/>
  <c r="U25" i="83"/>
  <c r="AC25" i="83"/>
  <c r="U26" i="83"/>
  <c r="AA27" i="83"/>
  <c r="U29" i="83"/>
  <c r="AC29" i="83"/>
  <c r="U32" i="83"/>
  <c r="W33" i="83"/>
  <c r="S33" i="83"/>
  <c r="AA34" i="83"/>
  <c r="W35" i="83"/>
  <c r="AB37" i="83"/>
  <c r="U37" i="83"/>
  <c r="AC39" i="83"/>
  <c r="U42" i="83"/>
  <c r="S10" i="83"/>
  <c r="U11" i="83"/>
  <c r="W12" i="83"/>
  <c r="S14" i="83"/>
  <c r="U10" i="83"/>
  <c r="W11" i="83"/>
  <c r="S13" i="83"/>
  <c r="U14" i="83"/>
  <c r="W15" i="83"/>
  <c r="W19" i="83"/>
  <c r="W9" i="83"/>
  <c r="S11" i="83"/>
  <c r="U12" i="83"/>
  <c r="W13" i="83"/>
  <c r="AA23" i="83"/>
  <c r="AB34" i="83"/>
  <c r="S15" i="83"/>
  <c r="S17" i="83"/>
  <c r="S19" i="83"/>
  <c r="S21" i="83"/>
  <c r="AB23" i="83"/>
  <c r="AB35" i="83"/>
  <c r="S41" i="83"/>
  <c r="F26" i="83"/>
  <c r="J89" i="83"/>
  <c r="K89" i="83" s="1"/>
  <c r="L89" i="83" s="1"/>
  <c r="M89" i="83" s="1"/>
  <c r="U15" i="83"/>
  <c r="U17" i="83"/>
  <c r="U19" i="83"/>
  <c r="U21" i="83"/>
  <c r="S45" i="83"/>
  <c r="U46" i="83"/>
  <c r="U27" i="83"/>
  <c r="W28" i="83"/>
  <c r="S30" i="83"/>
  <c r="U31" i="83"/>
  <c r="W32" i="83"/>
  <c r="S35" i="83"/>
  <c r="U36" i="83"/>
  <c r="W38" i="83"/>
  <c r="S40" i="83"/>
  <c r="U41" i="83"/>
  <c r="W42" i="83"/>
  <c r="S44" i="83"/>
  <c r="U45" i="83"/>
  <c r="W46" i="83"/>
  <c r="G54" i="83"/>
  <c r="H54" i="83" s="1"/>
  <c r="K144" i="83"/>
  <c r="W36" i="83"/>
  <c r="W37" i="83"/>
  <c r="S39" i="83"/>
  <c r="U40" i="83"/>
  <c r="W41" i="83"/>
  <c r="U44" i="83"/>
  <c r="W45" i="83"/>
  <c r="K141" i="83"/>
  <c r="S38" i="83"/>
  <c r="U39" i="83"/>
  <c r="W40" i="83"/>
  <c r="S42" i="83"/>
  <c r="U43" i="83"/>
  <c r="W44" i="83"/>
  <c r="S46" i="83"/>
  <c r="V427" i="80"/>
  <c r="M59" i="83" l="1"/>
  <c r="N59" i="83" s="1"/>
  <c r="L59" i="83"/>
  <c r="S43" i="83"/>
  <c r="W43" i="83"/>
  <c r="S28" i="83"/>
  <c r="AA28" i="83"/>
  <c r="AA26" i="83"/>
  <c r="S26" i="83"/>
  <c r="R464" i="80"/>
  <c r="P59" i="83" l="1"/>
  <c r="Q59" i="83" s="1"/>
  <c r="O59" i="83"/>
  <c r="G47" i="21"/>
  <c r="R59" i="83" l="1"/>
  <c r="S59" i="83"/>
  <c r="T59" i="83" s="1"/>
  <c r="B14" i="74"/>
  <c r="S15" i="80"/>
  <c r="V59" i="83" l="1"/>
  <c r="W59" i="83" s="1"/>
  <c r="U59" i="83"/>
  <c r="D5" i="9"/>
  <c r="G37" i="21"/>
  <c r="F59" i="21"/>
  <c r="G59" i="21" s="1"/>
  <c r="H59" i="21"/>
  <c r="E59" i="21"/>
  <c r="D59" i="21"/>
  <c r="C33" i="21"/>
  <c r="N18" i="1"/>
  <c r="Y59" i="83" l="1"/>
  <c r="X59" i="83"/>
  <c r="I59" i="21"/>
  <c r="J59" i="21" l="1"/>
  <c r="K59" i="21"/>
  <c r="L59" i="21"/>
  <c r="M59" i="21" l="1"/>
  <c r="N59" i="21"/>
  <c r="O59" i="21"/>
  <c r="Q59" i="21" l="1"/>
  <c r="P59" i="21"/>
  <c r="R59" i="21"/>
  <c r="U59" i="21" l="1"/>
  <c r="V59" i="21" s="1"/>
  <c r="S59" i="21"/>
  <c r="T59" i="21"/>
  <c r="F19" i="6" l="1"/>
  <c r="O357" i="80"/>
  <c r="D33" i="43" l="1"/>
  <c r="AH6" i="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T34" i="79"/>
  <c r="W34" i="79" s="1"/>
  <c r="Z3" i="79"/>
  <c r="AA28" i="79"/>
  <c r="AD28" i="79" s="1"/>
  <c r="U40" i="79"/>
  <c r="AD41" i="79"/>
  <c r="U44" i="79"/>
  <c r="AD45"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B71" i="71" s="1"/>
  <c r="B70" i="71" s="1"/>
  <c r="S72" i="71"/>
  <c r="Q71" i="71"/>
  <c r="P71" i="71"/>
  <c r="O71" i="71"/>
  <c r="N71" i="71"/>
  <c r="Q70" i="71"/>
  <c r="P70" i="71"/>
  <c r="O70" i="71"/>
  <c r="N70" i="71"/>
  <c r="Q69" i="71"/>
  <c r="P69" i="71"/>
  <c r="O69" i="71"/>
  <c r="N69" i="71"/>
  <c r="D69" i="71"/>
  <c r="F68" i="71"/>
  <c r="F67" i="71" s="1"/>
  <c r="F66" i="71" s="1"/>
  <c r="V68" i="71"/>
  <c r="E68" i="71"/>
  <c r="P68" i="71" s="1"/>
  <c r="C68" i="71"/>
  <c r="C67" i="71" s="1"/>
  <c r="B68" i="71"/>
  <c r="S68" i="7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c r="B44" i="71" s="1"/>
  <c r="S44" i="71" s="1"/>
  <c r="D41" i="71"/>
  <c r="Q40" i="71"/>
  <c r="P40" i="71"/>
  <c r="O40" i="71"/>
  <c r="N40" i="71"/>
  <c r="Q39" i="71"/>
  <c r="AB39" i="71" s="1"/>
  <c r="P39" i="71"/>
  <c r="O39" i="71"/>
  <c r="N39" i="71"/>
  <c r="X39" i="71"/>
  <c r="Q38" i="71"/>
  <c r="AB38" i="71" s="1"/>
  <c r="P38" i="71"/>
  <c r="O38" i="71"/>
  <c r="N38" i="71"/>
  <c r="Q37" i="71"/>
  <c r="AB37" i="71" s="1"/>
  <c r="P37" i="71"/>
  <c r="O37" i="71"/>
  <c r="Y37" i="71" s="1"/>
  <c r="Z37" i="71" s="1"/>
  <c r="N37" i="71"/>
  <c r="B38" i="71" s="1"/>
  <c r="B39" i="71" s="1"/>
  <c r="B40" i="71" s="1"/>
  <c r="S40" i="71" s="1"/>
  <c r="D37" i="71"/>
  <c r="Q36" i="71"/>
  <c r="P36" i="71"/>
  <c r="O36" i="71"/>
  <c r="N36" i="71"/>
  <c r="X36" i="71" s="1"/>
  <c r="Q35" i="71"/>
  <c r="P35" i="71"/>
  <c r="O35" i="71"/>
  <c r="Y35" i="71" s="1"/>
  <c r="Z35" i="71" s="1"/>
  <c r="N35" i="71"/>
  <c r="Q34" i="71"/>
  <c r="P34" i="71"/>
  <c r="AA34" i="71" s="1"/>
  <c r="O34" i="71"/>
  <c r="N34" i="71"/>
  <c r="Q33" i="71"/>
  <c r="P33" i="71"/>
  <c r="E34" i="71" s="1"/>
  <c r="E35" i="71" s="1"/>
  <c r="E36" i="71" s="1"/>
  <c r="U36"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30" i="71"/>
  <c r="B31" i="71" s="1"/>
  <c r="B32" i="71" s="1"/>
  <c r="S32" i="71" s="1"/>
  <c r="B34" i="71"/>
  <c r="B35" i="71" s="1"/>
  <c r="B36" i="71" s="1"/>
  <c r="S36" i="71" s="1"/>
  <c r="E38" i="71"/>
  <c r="E39" i="71" s="1"/>
  <c r="E40" i="71" s="1"/>
  <c r="U40" i="71" s="1"/>
  <c r="N68" i="71"/>
  <c r="C38" i="71"/>
  <c r="P28" i="71"/>
  <c r="U68" i="71"/>
  <c r="E67" i="71"/>
  <c r="P67" i="71" s="1"/>
  <c r="Q28" i="71"/>
  <c r="F28" i="71" s="1"/>
  <c r="F27" i="71" s="1"/>
  <c r="F26" i="71" s="1"/>
  <c r="D54" i="71"/>
  <c r="D58" i="71"/>
  <c r="D62" i="71"/>
  <c r="N67" i="71"/>
  <c r="T68" i="71"/>
  <c r="O68" i="71"/>
  <c r="D68" i="71"/>
  <c r="E71" i="71"/>
  <c r="E70" i="71" s="1"/>
  <c r="D72" i="71"/>
  <c r="C75" i="71"/>
  <c r="D75" i="71" s="1"/>
  <c r="D80" i="71"/>
  <c r="C87" i="71"/>
  <c r="C86" i="71" s="1"/>
  <c r="D86" i="71" s="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S21" i="34"/>
  <c r="H25" i="40"/>
  <c r="AB25" i="40" s="1"/>
  <c r="J25" i="40"/>
  <c r="H29" i="39"/>
  <c r="AB29" i="39" s="1"/>
  <c r="J29" i="39"/>
  <c r="J18" i="36"/>
  <c r="AC18" i="36" s="1"/>
  <c r="H18" i="35"/>
  <c r="AB18" i="35" s="1"/>
  <c r="J18" i="35"/>
  <c r="H21" i="37"/>
  <c r="F21" i="37"/>
  <c r="AA21" i="37" s="1"/>
  <c r="H21" i="34"/>
  <c r="AB21" i="34" s="1"/>
  <c r="H21" i="33"/>
  <c r="U21" i="33" s="1"/>
  <c r="F21" i="33"/>
  <c r="AA21" i="33" s="1"/>
  <c r="H1" i="69"/>
  <c r="AC25" i="40"/>
  <c r="W25" i="40"/>
  <c r="U25" i="40"/>
  <c r="AB21" i="37"/>
  <c r="U21" i="37"/>
  <c r="AC18" i="35"/>
  <c r="W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C58" i="83"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S27" i="31" s="1"/>
  <c r="R28" i="31"/>
  <c r="S28" i="31" s="1"/>
  <c r="R29" i="31"/>
  <c r="R30" i="31"/>
  <c r="S30" i="31" s="1"/>
  <c r="R31" i="31"/>
  <c r="S31" i="31" s="1"/>
  <c r="R32" i="31"/>
  <c r="S32" i="31" s="1"/>
  <c r="R33" i="31"/>
  <c r="S33" i="31" s="1"/>
  <c r="R34" i="31"/>
  <c r="S34" i="31" s="1"/>
  <c r="R35" i="31"/>
  <c r="S35" i="31" s="1"/>
  <c r="R36" i="31"/>
  <c r="S36" i="31" s="1"/>
  <c r="R37" i="31"/>
  <c r="R38" i="31"/>
  <c r="S38" i="31" s="1"/>
  <c r="R39" i="31"/>
  <c r="S39" i="31" s="1"/>
  <c r="R40" i="31"/>
  <c r="S40" i="31" s="1"/>
  <c r="R41" i="31"/>
  <c r="R42" i="31"/>
  <c r="S42" i="31" s="1"/>
  <c r="R43" i="31"/>
  <c r="S43" i="31" s="1"/>
  <c r="R44" i="31"/>
  <c r="S44" i="31" s="1"/>
  <c r="R45" i="31"/>
  <c r="S45" i="31" s="1"/>
  <c r="R46" i="31"/>
  <c r="R47" i="31"/>
  <c r="S47" i="31" s="1"/>
  <c r="R48" i="31"/>
  <c r="S48" i="31" s="1"/>
  <c r="R49" i="31"/>
  <c r="S49" i="31" s="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S137" i="31" s="1"/>
  <c r="R138" i="31"/>
  <c r="R139" i="31"/>
  <c r="S139" i="31" s="1"/>
  <c r="R140" i="31"/>
  <c r="S140" i="31" s="1"/>
  <c r="R141" i="31"/>
  <c r="S141" i="31" s="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S169" i="31" s="1"/>
  <c r="R170" i="31"/>
  <c r="R171" i="31"/>
  <c r="S171" i="31" s="1"/>
  <c r="R172" i="31"/>
  <c r="S172" i="31" s="1"/>
  <c r="R173" i="31"/>
  <c r="S173" i="31" s="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S245" i="31" s="1"/>
  <c r="R246" i="3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R471" i="31"/>
  <c r="S471" i="31" s="1"/>
  <c r="R472" i="31"/>
  <c r="S472" i="31" s="1"/>
  <c r="R473" i="31"/>
  <c r="S473" i="31" s="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62" i="31"/>
  <c r="S330" i="31"/>
  <c r="S302" i="31"/>
  <c r="S253" i="31"/>
  <c r="S246" i="31"/>
  <c r="S241" i="31"/>
  <c r="S237" i="31"/>
  <c r="S230" i="31"/>
  <c r="S225" i="31"/>
  <c r="S425" i="31"/>
  <c r="S213" i="31"/>
  <c r="S209" i="31"/>
  <c r="S202" i="31"/>
  <c r="S197" i="31"/>
  <c r="S193" i="31"/>
  <c r="S186" i="31"/>
  <c r="S181" i="31"/>
  <c r="S177" i="31"/>
  <c r="S170" i="31"/>
  <c r="S165" i="31"/>
  <c r="S161" i="31"/>
  <c r="S149" i="31"/>
  <c r="S145" i="31"/>
  <c r="S138" i="31"/>
  <c r="S133" i="31"/>
  <c r="S129" i="31"/>
  <c r="S497" i="31"/>
  <c r="S493" i="31"/>
  <c r="S481" i="31"/>
  <c r="S477" i="31"/>
  <c r="S470" i="31"/>
  <c r="S437" i="31"/>
  <c r="S433" i="31"/>
  <c r="S113" i="31"/>
  <c r="S461" i="31"/>
  <c r="S453" i="31"/>
  <c r="S53" i="31"/>
  <c r="S46" i="31"/>
  <c r="S41" i="31"/>
  <c r="S37" i="31"/>
  <c r="S77" i="31"/>
  <c r="S73" i="31"/>
  <c r="S61" i="31"/>
  <c r="S57" i="31"/>
  <c r="S97" i="31"/>
  <c r="S85" i="31"/>
  <c r="S81" i="31"/>
  <c r="S29" i="31"/>
  <c r="S105" i="31"/>
  <c r="S509"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c r="S521" i="31"/>
  <c r="F41" i="21"/>
  <c r="J41" i="21"/>
  <c r="AC41" i="21" s="1"/>
  <c r="H41" i="21"/>
  <c r="AB41" i="21" s="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AB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c r="D64" i="36"/>
  <c r="E64" i="36" s="1"/>
  <c r="F64" i="36"/>
  <c r="G64" i="36" s="1"/>
  <c r="J16" i="36"/>
  <c r="W16" i="36" s="1"/>
  <c r="D62" i="36"/>
  <c r="E62" i="36" s="1"/>
  <c r="F62" i="36" s="1"/>
  <c r="G62" i="36" s="1"/>
  <c r="B59" i="36"/>
  <c r="F13" i="36" s="1"/>
  <c r="B57" i="36"/>
  <c r="H12" i="36" s="1"/>
  <c r="U12" i="36" s="1"/>
  <c r="B55" i="36"/>
  <c r="J11" i="36" s="1"/>
  <c r="AC11" i="36" s="1"/>
  <c r="C51" i="36"/>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s="1"/>
  <c r="Q26" i="36"/>
  <c r="Z26" i="36" s="1"/>
  <c r="H26" i="36"/>
  <c r="AB26" i="36" s="1"/>
  <c r="Q25" i="36"/>
  <c r="Z25" i="36" s="1"/>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B77" i="35"/>
  <c r="B75" i="35"/>
  <c r="J24" i="35" s="1"/>
  <c r="AC24" i="35" s="1"/>
  <c r="B73" i="35"/>
  <c r="B57" i="35"/>
  <c r="B61" i="35"/>
  <c r="J13" i="35" s="1"/>
  <c r="AC13" i="35" s="1"/>
  <c r="B59" i="35"/>
  <c r="B131" i="34"/>
  <c r="B129" i="34"/>
  <c r="B127" i="34"/>
  <c r="J45" i="34" s="1"/>
  <c r="B99" i="34"/>
  <c r="B97" i="34"/>
  <c r="B95" i="34"/>
  <c r="H30" i="34" s="1"/>
  <c r="B93" i="34"/>
  <c r="J29" i="34" s="1"/>
  <c r="B75" i="34"/>
  <c r="J14" i="34" s="1"/>
  <c r="W14" i="34" s="1"/>
  <c r="B73" i="34"/>
  <c r="B71" i="34"/>
  <c r="B130" i="33"/>
  <c r="B128" i="33"/>
  <c r="F45" i="33" s="1"/>
  <c r="B126" i="33"/>
  <c r="B98" i="33"/>
  <c r="F31" i="33" s="1"/>
  <c r="B96" i="33"/>
  <c r="J30" i="33" s="1"/>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9" i="34"/>
  <c r="H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AA40" i="33"/>
  <c r="Q39" i="33"/>
  <c r="Z39" i="33" s="1"/>
  <c r="J39" i="33"/>
  <c r="Q38" i="33"/>
  <c r="Z38" i="33" s="1"/>
  <c r="J38" i="33"/>
  <c r="AC38" i="33" s="1"/>
  <c r="H38" i="33"/>
  <c r="AB38" i="33" s="1"/>
  <c r="F38" i="33"/>
  <c r="AA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B126" i="21"/>
  <c r="J44" i="21" s="1"/>
  <c r="AC44" i="21" s="1"/>
  <c r="B98" i="21"/>
  <c r="F31" i="21" s="1"/>
  <c r="B96" i="21"/>
  <c r="B94" i="21"/>
  <c r="J29" i="21" s="1"/>
  <c r="AC29" i="21" s="1"/>
  <c r="B92" i="21"/>
  <c r="H28" i="21" s="1"/>
  <c r="AB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S41" i="21"/>
  <c r="AA41" i="21"/>
  <c r="F45" i="39"/>
  <c r="S45" i="39" s="1"/>
  <c r="J45" i="39"/>
  <c r="W45" i="39" s="1"/>
  <c r="J44" i="39"/>
  <c r="AC44" i="39"/>
  <c r="F36" i="39"/>
  <c r="S36" i="39" s="1"/>
  <c r="H36" i="39"/>
  <c r="J36" i="39"/>
  <c r="AC36" i="39" s="1"/>
  <c r="U9"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F36" i="34"/>
  <c r="J35" i="34"/>
  <c r="H39" i="33"/>
  <c r="AB39" i="33" s="1"/>
  <c r="U33" i="33"/>
  <c r="S40" i="33"/>
  <c r="W33" i="33"/>
  <c r="H39" i="37"/>
  <c r="AB39" i="37" s="1"/>
  <c r="F11" i="40"/>
  <c r="AA11" i="40"/>
  <c r="H11" i="40"/>
  <c r="AB11" i="40" s="1"/>
  <c r="AA9" i="40"/>
  <c r="U9" i="40"/>
  <c r="S34" i="40"/>
  <c r="U38" i="40"/>
  <c r="U34" i="40"/>
  <c r="S38" i="40"/>
  <c r="F42" i="39"/>
  <c r="AA42" i="39" s="1"/>
  <c r="F41" i="39"/>
  <c r="S41" i="39" s="1"/>
  <c r="H40" i="39"/>
  <c r="AB40" i="39" s="1"/>
  <c r="H39" i="39"/>
  <c r="U39" i="39" s="1"/>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J34" i="36"/>
  <c r="W34" i="36" s="1"/>
  <c r="U30" i="36"/>
  <c r="J30" i="35"/>
  <c r="W30" i="35" s="1"/>
  <c r="H30" i="35"/>
  <c r="AB30" i="35" s="1"/>
  <c r="F22" i="35"/>
  <c r="AA22" i="35" s="1"/>
  <c r="H10" i="35"/>
  <c r="U10" i="35" s="1"/>
  <c r="W30" i="36"/>
  <c r="H16" i="36"/>
  <c r="AB16"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H17" i="34"/>
  <c r="F15" i="34"/>
  <c r="AA15" i="34" s="1"/>
  <c r="J15" i="34"/>
  <c r="H15" i="34"/>
  <c r="AB15" i="34" s="1"/>
  <c r="J28" i="34"/>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J43" i="34"/>
  <c r="AB42" i="34"/>
  <c r="J40" i="34"/>
  <c r="H38" i="34"/>
  <c r="AB38" i="34" s="1"/>
  <c r="J36" i="34"/>
  <c r="H37" i="34"/>
  <c r="U37" i="34" s="1"/>
  <c r="H25" i="34"/>
  <c r="AB25" i="34" s="1"/>
  <c r="J25" i="34"/>
  <c r="AC25" i="34" s="1"/>
  <c r="F23" i="34"/>
  <c r="AA23" i="34" s="1"/>
  <c r="J19" i="34"/>
  <c r="AC19" i="34" s="1"/>
  <c r="F17" i="34"/>
  <c r="AA17" i="34" s="1"/>
  <c r="J17" i="34"/>
  <c r="W17" i="34" s="1"/>
  <c r="H37" i="33"/>
  <c r="AB37" i="33"/>
  <c r="H15" i="33"/>
  <c r="AB15" i="33" s="1"/>
  <c r="H11" i="33"/>
  <c r="AB11" i="33" s="1"/>
  <c r="F28" i="40"/>
  <c r="AA28" i="40"/>
  <c r="AA38" i="34"/>
  <c r="J37" i="34"/>
  <c r="AC37" i="34" s="1"/>
  <c r="J11" i="33"/>
  <c r="W11" i="33" s="1"/>
  <c r="J42" i="21"/>
  <c r="AC42" i="21" s="1"/>
  <c r="H42" i="21"/>
  <c r="U42" i="21" s="1"/>
  <c r="J44" i="34"/>
  <c r="F44" i="34"/>
  <c r="J10" i="35"/>
  <c r="AC10" i="35" s="1"/>
  <c r="J14" i="21"/>
  <c r="W14" i="21" s="1"/>
  <c r="F14" i="21"/>
  <c r="S14" i="21" s="1"/>
  <c r="H14" i="21"/>
  <c r="U14" i="21" s="1"/>
  <c r="H30" i="21"/>
  <c r="U30" i="21" s="1"/>
  <c r="F30" i="21"/>
  <c r="S30" i="21" s="1"/>
  <c r="J30" i="21"/>
  <c r="AC30" i="21" s="1"/>
  <c r="H44" i="21"/>
  <c r="U44" i="21" s="1"/>
  <c r="F44" i="21"/>
  <c r="AA44" i="21" s="1"/>
  <c r="H46" i="21"/>
  <c r="U46" i="21" s="1"/>
  <c r="F46" i="21"/>
  <c r="AA46" i="21" s="1"/>
  <c r="E119" i="21"/>
  <c r="F119" i="21" s="1"/>
  <c r="G119" i="21" s="1"/>
  <c r="H119" i="21" s="1"/>
  <c r="I119" i="21" s="1"/>
  <c r="J119" i="21" s="1"/>
  <c r="K119" i="21" s="1"/>
  <c r="L119" i="21" s="1"/>
  <c r="M119" i="21"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F27" i="33"/>
  <c r="AA27" i="33" s="1"/>
  <c r="J13" i="33"/>
  <c r="J29" i="33"/>
  <c r="J31" i="33"/>
  <c r="H31" i="33"/>
  <c r="H45" i="33"/>
  <c r="J45" i="33"/>
  <c r="W45" i="33" s="1"/>
  <c r="AA45" i="33"/>
  <c r="F14" i="34"/>
  <c r="H14" i="34"/>
  <c r="F30" i="34"/>
  <c r="S30" i="34" s="1"/>
  <c r="J30" i="34"/>
  <c r="F32" i="34"/>
  <c r="F46" i="34"/>
  <c r="S46" i="34" s="1"/>
  <c r="H11" i="35"/>
  <c r="AB11" i="35" s="1"/>
  <c r="J26" i="36"/>
  <c r="W26" i="36" s="1"/>
  <c r="H28" i="36"/>
  <c r="U28"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H36" i="37"/>
  <c r="AB36" i="37" s="1"/>
  <c r="J37" i="37"/>
  <c r="AC37" i="37" s="1"/>
  <c r="H37" i="37"/>
  <c r="U37" i="37" s="1"/>
  <c r="H40" i="37"/>
  <c r="U40" i="37" s="1"/>
  <c r="J40" i="37"/>
  <c r="W40" i="37" s="1"/>
  <c r="F40" i="37"/>
  <c r="AA40" i="37" s="1"/>
  <c r="AC12" i="40"/>
  <c r="W12" i="40"/>
  <c r="H14" i="33"/>
  <c r="U14" i="33" s="1"/>
  <c r="F14" i="33"/>
  <c r="S14" i="33" s="1"/>
  <c r="J14" i="33"/>
  <c r="H30" i="33"/>
  <c r="AB30" i="33" s="1"/>
  <c r="F30" i="33"/>
  <c r="H44" i="33"/>
  <c r="J44" i="33"/>
  <c r="AC44" i="33"/>
  <c r="F44" i="33"/>
  <c r="S44" i="33" s="1"/>
  <c r="J46" i="33"/>
  <c r="AC46" i="33" s="1"/>
  <c r="F46" i="33"/>
  <c r="AA46" i="33" s="1"/>
  <c r="H46" i="33"/>
  <c r="AB46" i="33" s="1"/>
  <c r="H13" i="34"/>
  <c r="U13" i="34" s="1"/>
  <c r="J13" i="34"/>
  <c r="W13" i="34" s="1"/>
  <c r="F13" i="34"/>
  <c r="AA13" i="34" s="1"/>
  <c r="F29" i="34"/>
  <c r="S29" i="34" s="1"/>
  <c r="H29" i="34"/>
  <c r="AB29" i="34" s="1"/>
  <c r="J31" i="34"/>
  <c r="AC31" i="34" s="1"/>
  <c r="H31" i="34"/>
  <c r="F31" i="34"/>
  <c r="S31" i="34" s="1"/>
  <c r="H45" i="34"/>
  <c r="U45" i="34" s="1"/>
  <c r="W45" i="34"/>
  <c r="F45" i="34"/>
  <c r="S45" i="34" s="1"/>
  <c r="H47" i="34"/>
  <c r="U47" i="34" s="1"/>
  <c r="F47" i="34"/>
  <c r="S47" i="34" s="1"/>
  <c r="J47" i="34"/>
  <c r="AC47" i="34"/>
  <c r="F13" i="35"/>
  <c r="H13" i="35"/>
  <c r="U13"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H14" i="40"/>
  <c r="AB14" i="40"/>
  <c r="J14" i="40"/>
  <c r="W14" i="40" s="1"/>
  <c r="F14" i="40"/>
  <c r="AA14" i="40" s="1"/>
  <c r="J14" i="37"/>
  <c r="J27" i="37"/>
  <c r="AC27" i="37" s="1"/>
  <c r="AA44" i="33"/>
  <c r="AA14" i="33"/>
  <c r="J36" i="37"/>
  <c r="AC36" i="37" s="1"/>
  <c r="J10" i="36"/>
  <c r="AC10" i="36" s="1"/>
  <c r="W31" i="34"/>
  <c r="S45" i="33"/>
  <c r="BA586" i="3"/>
  <c r="F17" i="21"/>
  <c r="AA17" i="21" s="1"/>
  <c r="H17" i="21"/>
  <c r="AB17" i="21" s="1"/>
  <c r="F15" i="21"/>
  <c r="S15" i="21" s="1"/>
  <c r="J41" i="39"/>
  <c r="W41" i="39" s="1"/>
  <c r="W44" i="39"/>
  <c r="G544" i="3"/>
  <c r="G540" i="3"/>
  <c r="G536" i="3"/>
  <c r="G532" i="3"/>
  <c r="G531" i="3"/>
  <c r="G528" i="3"/>
  <c r="G523" i="3"/>
  <c r="G518" i="3"/>
  <c r="G514" i="3"/>
  <c r="G508" i="3"/>
  <c r="G504" i="3"/>
  <c r="G500" i="3"/>
  <c r="G584" i="3"/>
  <c r="G580" i="3"/>
  <c r="G576" i="3"/>
  <c r="G564" i="3"/>
  <c r="G554" i="3"/>
  <c r="G550" i="3"/>
  <c r="BL580" i="3"/>
  <c r="BL576" i="3"/>
  <c r="BL572" i="3"/>
  <c r="BL554" i="3"/>
  <c r="BL546" i="3"/>
  <c r="BL542" i="3"/>
  <c r="BL534" i="3"/>
  <c r="BL530" i="3"/>
  <c r="BL526" i="3"/>
  <c r="BL516" i="3"/>
  <c r="BL512" i="3"/>
  <c r="BL506" i="3"/>
  <c r="BL498" i="3"/>
  <c r="BL494" i="3"/>
  <c r="BL582" i="3"/>
  <c r="BL574" i="3"/>
  <c r="BL570" i="3"/>
  <c r="BL552" i="3"/>
  <c r="BL540" i="3"/>
  <c r="BL536" i="3"/>
  <c r="G533" i="3"/>
  <c r="G529" i="3"/>
  <c r="BL528" i="3"/>
  <c r="G525" i="3"/>
  <c r="BL518" i="3"/>
  <c r="BL514" i="3"/>
  <c r="AZ514" i="3" s="1"/>
  <c r="BL510" i="3"/>
  <c r="BL500" i="3"/>
  <c r="BL496" i="3"/>
  <c r="G493" i="3"/>
  <c r="BA582" i="3"/>
  <c r="AZ582" i="3" s="1"/>
  <c r="BA580" i="3"/>
  <c r="BA578" i="3"/>
  <c r="BA574" i="3"/>
  <c r="AZ574" i="3" s="1"/>
  <c r="BA572" i="3"/>
  <c r="AZ572" i="3" s="1"/>
  <c r="BA570" i="3"/>
  <c r="BA554" i="3"/>
  <c r="AZ554" i="3" s="1"/>
  <c r="BA552" i="3"/>
  <c r="BA548" i="3"/>
  <c r="BA544" i="3"/>
  <c r="BA542" i="3"/>
  <c r="BA540" i="3"/>
  <c r="BA536" i="3"/>
  <c r="AZ536" i="3" s="1"/>
  <c r="BA534" i="3"/>
  <c r="BA532" i="3"/>
  <c r="BA530" i="3"/>
  <c r="BA528" i="3"/>
  <c r="BA526" i="3"/>
  <c r="BA524" i="3"/>
  <c r="BA522" i="3"/>
  <c r="BA520" i="3"/>
  <c r="BA518" i="3"/>
  <c r="BA516" i="3"/>
  <c r="BA514" i="3"/>
  <c r="BA512" i="3"/>
  <c r="BA510" i="3"/>
  <c r="BA508" i="3"/>
  <c r="BA506" i="3"/>
  <c r="BA504" i="3"/>
  <c r="BA502" i="3"/>
  <c r="BA500" i="3"/>
  <c r="BA498" i="3"/>
  <c r="BA496" i="3"/>
  <c r="AZ496" i="3" s="1"/>
  <c r="BA494" i="3"/>
  <c r="BA587" i="3"/>
  <c r="BA583" i="3"/>
  <c r="BA581" i="3"/>
  <c r="BA579" i="3"/>
  <c r="AZ579" i="3" s="1"/>
  <c r="BA577" i="3"/>
  <c r="BA575" i="3"/>
  <c r="BA573" i="3"/>
  <c r="BA571" i="3"/>
  <c r="BA563"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5" i="3"/>
  <c r="AC557" i="3"/>
  <c r="BQ557" i="3"/>
  <c r="BL557" i="3" s="1"/>
  <c r="BQ583" i="3"/>
  <c r="BL583" i="3" s="1"/>
  <c r="BQ581" i="3"/>
  <c r="BL581" i="3" s="1"/>
  <c r="BQ579" i="3"/>
  <c r="BL579" i="3" s="1"/>
  <c r="BQ577" i="3"/>
  <c r="BL577" i="3" s="1"/>
  <c r="AZ577" i="3" s="1"/>
  <c r="BQ575" i="3"/>
  <c r="BL575" i="3" s="1"/>
  <c r="BQ573" i="3"/>
  <c r="BL573" i="3" s="1"/>
  <c r="AZ573" i="3" s="1"/>
  <c r="BQ571" i="3"/>
  <c r="BL571" i="3" s="1"/>
  <c r="BQ569" i="3"/>
  <c r="BQ567" i="3"/>
  <c r="BQ565" i="3"/>
  <c r="BQ563" i="3"/>
  <c r="BQ561" i="3"/>
  <c r="BQ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U39" i="37"/>
  <c r="W47" i="34"/>
  <c r="W44" i="33"/>
  <c r="U11" i="33"/>
  <c r="U19" i="21"/>
  <c r="F43" i="33"/>
  <c r="AA43" i="33" s="1"/>
  <c r="W15" i="34"/>
  <c r="AC15" i="34"/>
  <c r="W16" i="35"/>
  <c r="H19" i="34"/>
  <c r="AB19" i="34" s="1"/>
  <c r="J9" i="37"/>
  <c r="W9" i="37" s="1"/>
  <c r="H9" i="37"/>
  <c r="U9" i="37" s="1"/>
  <c r="F9" i="37"/>
  <c r="S9" i="37" s="1"/>
  <c r="J12" i="37"/>
  <c r="W12" i="37" s="1"/>
  <c r="H12" i="37"/>
  <c r="AB12" i="37" s="1"/>
  <c r="F12" i="37"/>
  <c r="S12"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AC15" i="37" s="1"/>
  <c r="W15" i="37"/>
  <c r="AT6" i="3"/>
  <c r="H19" i="40"/>
  <c r="U19" i="40" s="1"/>
  <c r="F19" i="40"/>
  <c r="S19" i="40" s="1"/>
  <c r="S14" i="40"/>
  <c r="AC13" i="40"/>
  <c r="W23" i="39"/>
  <c r="AC43" i="39"/>
  <c r="W43" i="39"/>
  <c r="U45" i="39"/>
  <c r="AB45" i="39"/>
  <c r="AB44" i="39"/>
  <c r="U44" i="39"/>
  <c r="H25" i="39"/>
  <c r="U25" i="39" s="1"/>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G4" i="4"/>
  <c r="I4" i="4"/>
  <c r="A2" i="9"/>
  <c r="F61" i="43"/>
  <c r="H64" i="43" s="1"/>
  <c r="BL549" i="3"/>
  <c r="AZ549" i="3" s="1"/>
  <c r="AZ494" i="3"/>
  <c r="AZ530"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45" i="3"/>
  <c r="AZ257" i="3"/>
  <c r="AZ265" i="3"/>
  <c r="BA379" i="3"/>
  <c r="BL380" i="3"/>
  <c r="G381" i="3"/>
  <c r="BA383" i="3"/>
  <c r="BL384" i="3"/>
  <c r="AZ384" i="3" s="1"/>
  <c r="G385" i="3"/>
  <c r="BA387" i="3"/>
  <c r="BL388" i="3"/>
  <c r="G389" i="3"/>
  <c r="BA391" i="3"/>
  <c r="BL392" i="3"/>
  <c r="G393" i="3"/>
  <c r="BO5" i="3"/>
  <c r="BF5" i="3"/>
  <c r="AC5" i="3"/>
  <c r="AZ506" i="3"/>
  <c r="G548" i="3"/>
  <c r="G538" i="3"/>
  <c r="G520" i="3"/>
  <c r="G502" i="3"/>
  <c r="BP5" i="3"/>
  <c r="BG5" i="3"/>
  <c r="G17" i="3"/>
  <c r="BA17" i="3"/>
  <c r="BA15" i="3"/>
  <c r="AZ15" i="3" s="1"/>
  <c r="AZ499" i="3"/>
  <c r="G509" i="3"/>
  <c r="BL493" i="3"/>
  <c r="AZ493" i="3" s="1"/>
  <c r="U36" i="40"/>
  <c r="F83" i="43"/>
  <c r="H85" i="43" s="1"/>
  <c r="F50" i="43"/>
  <c r="H54" i="43" s="1"/>
  <c r="F72" i="43"/>
  <c r="H75" i="43" s="1"/>
  <c r="U17" i="39"/>
  <c r="U43" i="21"/>
  <c r="U35" i="21"/>
  <c r="G10" i="1"/>
  <c r="AZ501" i="3"/>
  <c r="W37" i="37"/>
  <c r="W44" i="34"/>
  <c r="AC44" i="34"/>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80" i="3"/>
  <c r="F23" i="39"/>
  <c r="AA23" i="39" s="1"/>
  <c r="H27" i="36"/>
  <c r="U27" i="36" s="1"/>
  <c r="F27" i="36"/>
  <c r="AA27" i="36" s="1"/>
  <c r="H33" i="34"/>
  <c r="F32" i="37"/>
  <c r="AA32" i="37" s="1"/>
  <c r="F20" i="36"/>
  <c r="J33" i="34"/>
  <c r="AC33" i="34" s="1"/>
  <c r="H23" i="39"/>
  <c r="U23" i="39" s="1"/>
  <c r="D48" i="9"/>
  <c r="M52" i="9" s="1"/>
  <c r="K9" i="1"/>
  <c r="M9" i="1" s="1"/>
  <c r="D93" i="9"/>
  <c r="K6" i="1"/>
  <c r="AP6" i="1" s="1"/>
  <c r="AC26" i="33"/>
  <c r="W26" i="33"/>
  <c r="W27" i="34"/>
  <c r="AC27" i="34"/>
  <c r="AB34" i="36"/>
  <c r="U34" i="36"/>
  <c r="AC12" i="39"/>
  <c r="W12" i="39"/>
  <c r="BL14" i="3"/>
  <c r="U30" i="33"/>
  <c r="AA47" i="34"/>
  <c r="W28" i="37"/>
  <c r="S19" i="39"/>
  <c r="F12" i="33"/>
  <c r="AA12" i="33" s="1"/>
  <c r="H12" i="39"/>
  <c r="AB12" i="39" s="1"/>
  <c r="F39" i="40"/>
  <c r="BA14" i="3"/>
  <c r="AZ14" i="3" s="1"/>
  <c r="B12" i="1"/>
  <c r="E12" i="1" s="1"/>
  <c r="B10" i="1"/>
  <c r="E10" i="1" s="1"/>
  <c r="AZ88" i="3"/>
  <c r="K12" i="1"/>
  <c r="M12" i="1" s="1"/>
  <c r="S13" i="1"/>
  <c r="AR13" i="1" s="1"/>
  <c r="R13" i="1"/>
  <c r="J51" i="67"/>
  <c r="C42" i="1"/>
  <c r="C24" i="12" s="1"/>
  <c r="B41" i="1"/>
  <c r="AB37" i="40"/>
  <c r="S35" i="40"/>
  <c r="AC36" i="40"/>
  <c r="AA32" i="40"/>
  <c r="S17" i="40"/>
  <c r="S23" i="40"/>
  <c r="AC17" i="40"/>
  <c r="AB27" i="40"/>
  <c r="S30" i="40"/>
  <c r="S28" i="40"/>
  <c r="AA27" i="40"/>
  <c r="U21" i="40"/>
  <c r="AB19" i="40"/>
  <c r="U35" i="39"/>
  <c r="F32" i="39"/>
  <c r="AA32" i="39" s="1"/>
  <c r="F106" i="39"/>
  <c r="G106" i="39" s="1"/>
  <c r="H106" i="39" s="1"/>
  <c r="I106" i="39" s="1"/>
  <c r="J106" i="39" s="1"/>
  <c r="K106" i="39" s="1"/>
  <c r="L106" i="39" s="1"/>
  <c r="M106" i="39" s="1"/>
  <c r="AB27" i="39"/>
  <c r="U31" i="39"/>
  <c r="J21" i="39"/>
  <c r="W21" i="39" s="1"/>
  <c r="F21" i="39"/>
  <c r="AA21" i="39" s="1"/>
  <c r="G94" i="39"/>
  <c r="H21" i="39"/>
  <c r="U21" i="39" s="1"/>
  <c r="W19" i="39"/>
  <c r="U19" i="39"/>
  <c r="S17" i="39"/>
  <c r="S15" i="39"/>
  <c r="AA12" i="39"/>
  <c r="S9" i="39"/>
  <c r="U14" i="39"/>
  <c r="U12" i="39"/>
  <c r="U26" i="36"/>
  <c r="AA26" i="36"/>
  <c r="AA34" i="36"/>
  <c r="AC26" i="36"/>
  <c r="AA22" i="36"/>
  <c r="W14" i="36"/>
  <c r="AB14" i="36"/>
  <c r="U22" i="36"/>
  <c r="S16" i="36"/>
  <c r="AA25" i="36"/>
  <c r="AB20" i="36"/>
  <c r="U16" i="36"/>
  <c r="S23" i="35"/>
  <c r="W24" i="35"/>
  <c r="AB13" i="35"/>
  <c r="U29" i="35"/>
  <c r="U28" i="35"/>
  <c r="AB27" i="35"/>
  <c r="U32" i="35"/>
  <c r="AA33" i="35"/>
  <c r="AC30" i="35"/>
  <c r="S32" i="35"/>
  <c r="S28" i="35"/>
  <c r="U22" i="35"/>
  <c r="S20" i="35"/>
  <c r="AC20" i="35"/>
  <c r="U14" i="35"/>
  <c r="AC9" i="35"/>
  <c r="W9" i="35"/>
  <c r="W13" i="35"/>
  <c r="F9" i="35"/>
  <c r="S9" i="35" s="1"/>
  <c r="H9" i="35"/>
  <c r="U9" i="35" s="1"/>
  <c r="AB40" i="37"/>
  <c r="W27" i="37"/>
  <c r="AC29" i="37"/>
  <c r="U29" i="37"/>
  <c r="S32" i="37"/>
  <c r="AB31" i="37"/>
  <c r="W30" i="37"/>
  <c r="S36" i="37"/>
  <c r="AA38" i="37"/>
  <c r="AC35" i="37"/>
  <c r="W39" i="37"/>
  <c r="S30" i="37"/>
  <c r="J17" i="37"/>
  <c r="W17" i="37" s="1"/>
  <c r="G73" i="37"/>
  <c r="F17" i="37"/>
  <c r="AA17" i="37" s="1"/>
  <c r="F75" i="37"/>
  <c r="G75" i="37" s="1"/>
  <c r="F19" i="37"/>
  <c r="F79" i="37"/>
  <c r="F23" i="37"/>
  <c r="S23" i="37" s="1"/>
  <c r="U23" i="37"/>
  <c r="U15"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H10" i="34"/>
  <c r="AB10" i="34" s="1"/>
  <c r="F11" i="34"/>
  <c r="S11" i="34" s="1"/>
  <c r="F70" i="34"/>
  <c r="W42" i="33"/>
  <c r="AA35" i="33"/>
  <c r="S32"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H27" i="33"/>
  <c r="U27" i="33" s="1"/>
  <c r="F87" i="33"/>
  <c r="H25" i="33"/>
  <c r="F25" i="33"/>
  <c r="S25" i="33" s="1"/>
  <c r="J23" i="33"/>
  <c r="AC23" i="33" s="1"/>
  <c r="F85" i="33"/>
  <c r="G85" i="33" s="1"/>
  <c r="H23" i="33"/>
  <c r="F81" i="33"/>
  <c r="F19" i="33"/>
  <c r="S19" i="33" s="1"/>
  <c r="J17" i="33"/>
  <c r="F79" i="33"/>
  <c r="G79" i="33" s="1"/>
  <c r="S15" i="33"/>
  <c r="W15" i="33"/>
  <c r="J10" i="33"/>
  <c r="W10" i="33" s="1"/>
  <c r="H10" i="33"/>
  <c r="U10" i="33" s="1"/>
  <c r="AC11" i="33"/>
  <c r="W36" i="21"/>
  <c r="W41" i="21"/>
  <c r="AB39" i="21"/>
  <c r="AA43" i="21"/>
  <c r="AA36" i="21"/>
  <c r="J15" i="21"/>
  <c r="W15" i="21" s="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E32" i="6"/>
  <c r="G1" i="68"/>
  <c r="K1" i="12"/>
  <c r="E19" i="69"/>
  <c r="E19" i="68"/>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S33" i="40"/>
  <c r="AA15" i="40"/>
  <c r="U11" i="40"/>
  <c r="S31" i="40"/>
  <c r="AB13" i="40"/>
  <c r="U15" i="40"/>
  <c r="AB17" i="40"/>
  <c r="U8" i="40"/>
  <c r="S8" i="40"/>
  <c r="AA39" i="39"/>
  <c r="AC41" i="39"/>
  <c r="U42" i="39"/>
  <c r="U41" i="39"/>
  <c r="W25" i="39"/>
  <c r="AC25" i="39"/>
  <c r="U13" i="39"/>
  <c r="AA13" i="39"/>
  <c r="S13" i="39"/>
  <c r="S14" i="39"/>
  <c r="AA14" i="39"/>
  <c r="U43" i="39"/>
  <c r="AB43" i="39"/>
  <c r="AB11" i="39"/>
  <c r="U11" i="39"/>
  <c r="AA27" i="39"/>
  <c r="S27" i="39"/>
  <c r="W17" i="39"/>
  <c r="AC17" i="39"/>
  <c r="W31" i="39"/>
  <c r="AC31" i="39"/>
  <c r="S23" i="39"/>
  <c r="AA45" i="39"/>
  <c r="AB39" i="39"/>
  <c r="W34" i="39"/>
  <c r="U38" i="39"/>
  <c r="S8" i="39"/>
  <c r="AC25" i="36"/>
  <c r="W29" i="36"/>
  <c r="U25" i="36"/>
  <c r="AA13" i="36"/>
  <c r="W22" i="36"/>
  <c r="S24" i="35"/>
  <c r="S35" i="35"/>
  <c r="W35" i="35"/>
  <c r="AA16" i="35"/>
  <c r="AA35" i="37"/>
  <c r="W36" i="37"/>
  <c r="S27" i="37"/>
  <c r="S28" i="37"/>
  <c r="W32" i="37"/>
  <c r="U36" i="37"/>
  <c r="S40" i="37"/>
  <c r="AC34" i="37"/>
  <c r="AA31" i="37"/>
  <c r="U19" i="37"/>
  <c r="AA29" i="37"/>
  <c r="U8" i="37"/>
  <c r="AA40" i="34"/>
  <c r="AB40" i="34"/>
  <c r="U19" i="34"/>
  <c r="W19" i="34"/>
  <c r="AC45" i="34"/>
  <c r="AA31" i="34"/>
  <c r="AB45" i="34"/>
  <c r="U25" i="34"/>
  <c r="AB36" i="34"/>
  <c r="AC14" i="34"/>
  <c r="AC29" i="34"/>
  <c r="W29" i="34"/>
  <c r="S32" i="34"/>
  <c r="AA32" i="34"/>
  <c r="U30" i="34"/>
  <c r="AB30" i="34"/>
  <c r="S37" i="34"/>
  <c r="U38" i="34"/>
  <c r="AC40" i="34"/>
  <c r="W40" i="34"/>
  <c r="AA19" i="34"/>
  <c r="S19" i="34"/>
  <c r="AA36" i="34"/>
  <c r="S36" i="34"/>
  <c r="AA8" i="34"/>
  <c r="S8" i="34"/>
  <c r="AB9" i="34"/>
  <c r="U9"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AB14" i="21"/>
  <c r="AB46" i="21"/>
  <c r="AC15" i="21"/>
  <c r="U13" i="21"/>
  <c r="AB13" i="21"/>
  <c r="H15" i="21"/>
  <c r="U15" i="21" s="1"/>
  <c r="J17" i="21"/>
  <c r="AC17" i="21" s="1"/>
  <c r="AC19" i="21"/>
  <c r="W39" i="21"/>
  <c r="AC14" i="21"/>
  <c r="W30" i="21"/>
  <c r="S46" i="21"/>
  <c r="F29" i="21"/>
  <c r="AA29" i="21" s="1"/>
  <c r="F13" i="21"/>
  <c r="AA13" i="21" s="1"/>
  <c r="AC38" i="21"/>
  <c r="H32" i="21"/>
  <c r="AB32" i="21" s="1"/>
  <c r="H9" i="21"/>
  <c r="AB9" i="21" s="1"/>
  <c r="J9" i="21"/>
  <c r="W9" i="21" s="1"/>
  <c r="J32" i="21"/>
  <c r="W32" i="21" s="1"/>
  <c r="F32" i="21"/>
  <c r="AA32" i="21" s="1"/>
  <c r="AA31" i="21"/>
  <c r="U17" i="21"/>
  <c r="W29" i="21"/>
  <c r="S19" i="21"/>
  <c r="K141" i="21"/>
  <c r="K144" i="21"/>
  <c r="K143" i="21"/>
  <c r="AB25" i="21"/>
  <c r="AA30" i="21"/>
  <c r="W13" i="21"/>
  <c r="F10" i="21"/>
  <c r="AA10" i="21" s="1"/>
  <c r="K145" i="21"/>
  <c r="W25" i="21"/>
  <c r="W31" i="21"/>
  <c r="S17" i="21"/>
  <c r="AB29" i="21"/>
  <c r="AB36" i="21"/>
  <c r="C19" i="39"/>
  <c r="C15" i="40"/>
  <c r="C17" i="40"/>
  <c r="C23" i="40"/>
  <c r="C21" i="40"/>
  <c r="U30" i="40"/>
  <c r="B56" i="43"/>
  <c r="B67" i="43"/>
  <c r="B54" i="43"/>
  <c r="B58" i="43"/>
  <c r="B62" i="43"/>
  <c r="B65" i="43"/>
  <c r="D23" i="15"/>
  <c r="D22" i="15"/>
  <c r="E4" i="4"/>
  <c r="B5" i="62" s="1"/>
  <c r="B73" i="72" s="1"/>
  <c r="C4" i="4"/>
  <c r="S12" i="33"/>
  <c r="J32" i="39"/>
  <c r="AC32" i="39" s="1"/>
  <c r="H32" i="39"/>
  <c r="AB32" i="39" s="1"/>
  <c r="S32" i="39"/>
  <c r="AB21" i="39"/>
  <c r="S21" i="39"/>
  <c r="S17" i="37"/>
  <c r="J19" i="37"/>
  <c r="W19" i="37" s="1"/>
  <c r="J23" i="37"/>
  <c r="AC23" i="37" s="1"/>
  <c r="G79" i="37"/>
  <c r="J10" i="37"/>
  <c r="W10" i="37" s="1"/>
  <c r="H11" i="37"/>
  <c r="AB11" i="37" s="1"/>
  <c r="G70" i="34"/>
  <c r="H70" i="34" s="1"/>
  <c r="I70" i="34" s="1"/>
  <c r="J70" i="34" s="1"/>
  <c r="K70" i="34" s="1"/>
  <c r="L70" i="34" s="1"/>
  <c r="M70" i="34" s="1"/>
  <c r="H11" i="34"/>
  <c r="U11" i="34" s="1"/>
  <c r="J10" i="34"/>
  <c r="AC10" i="34" s="1"/>
  <c r="AB41" i="33"/>
  <c r="U41" i="33"/>
  <c r="W35" i="33"/>
  <c r="J36" i="33"/>
  <c r="W36" i="33" s="1"/>
  <c r="H36" i="33"/>
  <c r="U36" i="33" s="1"/>
  <c r="W32" i="33"/>
  <c r="G91" i="33"/>
  <c r="H91" i="33" s="1"/>
  <c r="I91" i="33" s="1"/>
  <c r="J91" i="33" s="1"/>
  <c r="K91" i="33" s="1"/>
  <c r="L91" i="33" s="1"/>
  <c r="M91" i="33" s="1"/>
  <c r="J27" i="33"/>
  <c r="W27" i="33" s="1"/>
  <c r="U25" i="33"/>
  <c r="AB25" i="33"/>
  <c r="AA25" i="33"/>
  <c r="G87" i="33"/>
  <c r="H87" i="33" s="1"/>
  <c r="I87" i="33" s="1"/>
  <c r="J87" i="33" s="1"/>
  <c r="K87" i="33" s="1"/>
  <c r="L87" i="33" s="1"/>
  <c r="M87" i="33" s="1"/>
  <c r="J25" i="33"/>
  <c r="AC25" i="33" s="1"/>
  <c r="AB23" i="33"/>
  <c r="U23" i="33"/>
  <c r="F23" i="33"/>
  <c r="AA19" i="33"/>
  <c r="H19" i="33"/>
  <c r="U19" i="33" s="1"/>
  <c r="G81" i="33"/>
  <c r="H17" i="33"/>
  <c r="U17" i="33" s="1"/>
  <c r="F17" i="33"/>
  <c r="S17" i="33" s="1"/>
  <c r="W17" i="33"/>
  <c r="AC17" i="33"/>
  <c r="AA23" i="21"/>
  <c r="AB15" i="21"/>
  <c r="J23" i="21"/>
  <c r="W23" i="21" s="1"/>
  <c r="F85" i="21"/>
  <c r="G85" i="21" s="1"/>
  <c r="H23" i="21"/>
  <c r="AB23" i="21" s="1"/>
  <c r="AP7" i="1"/>
  <c r="A18" i="62"/>
  <c r="B64" i="72" s="1"/>
  <c r="U32" i="39"/>
  <c r="W32" i="39"/>
  <c r="J11" i="37"/>
  <c r="AC11" i="37" s="1"/>
  <c r="J11" i="34"/>
  <c r="W11" i="34" s="1"/>
  <c r="AC27" i="33"/>
  <c r="W25" i="33"/>
  <c r="AB19" i="33"/>
  <c r="U23" i="21"/>
  <c r="AC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9" i="76"/>
  <c r="F6" i="73"/>
  <c r="E12" i="76"/>
  <c r="B12" i="76"/>
  <c r="F5" i="73"/>
  <c r="B9" i="76"/>
  <c r="J15" i="15"/>
  <c r="M8" i="15"/>
  <c r="E2" i="68"/>
  <c r="F8" i="15"/>
  <c r="B7" i="76"/>
  <c r="M9" i="15"/>
  <c r="M22" i="15"/>
  <c r="F6" i="15"/>
  <c r="AO13" i="1"/>
  <c r="M24" i="15"/>
  <c r="F4" i="73"/>
  <c r="E11" i="76"/>
  <c r="F37" i="67"/>
  <c r="F38" i="67"/>
  <c r="B8" i="76"/>
  <c r="E8" i="76"/>
  <c r="B11" i="76"/>
  <c r="D6" i="73"/>
  <c r="F7" i="73"/>
  <c r="M8" i="67"/>
  <c r="F36" i="67"/>
  <c r="F38" i="15"/>
  <c r="F26" i="15"/>
  <c r="B10" i="76"/>
  <c r="D34" i="9"/>
  <c r="F37" i="15"/>
  <c r="F9" i="15"/>
  <c r="M28" i="67"/>
  <c r="M26" i="15"/>
  <c r="F3" i="73"/>
  <c r="F36" i="15"/>
  <c r="M26" i="67"/>
  <c r="F16" i="67"/>
  <c r="M24" i="67"/>
  <c r="M29" i="67"/>
  <c r="F40" i="15"/>
  <c r="L48" i="15"/>
  <c r="D35" i="9"/>
  <c r="E7" i="76"/>
  <c r="F16" i="15"/>
  <c r="F20" i="31"/>
  <c r="B13" i="76"/>
  <c r="M6" i="15"/>
  <c r="E13" i="76"/>
  <c r="C76" i="15"/>
  <c r="F7" i="15"/>
  <c r="F42" i="15"/>
  <c r="E10" i="76"/>
  <c r="E2" i="69"/>
  <c r="AA36" i="33" l="1"/>
  <c r="S36" i="33"/>
  <c r="AB36" i="33"/>
  <c r="W17" i="21"/>
  <c r="W33" i="34"/>
  <c r="AA39" i="40"/>
  <c r="S39" i="40"/>
  <c r="U33" i="34"/>
  <c r="AB33" i="34"/>
  <c r="W23" i="37"/>
  <c r="S19" i="37"/>
  <c r="AA19" i="37"/>
  <c r="U35" i="37"/>
  <c r="AB35" i="37"/>
  <c r="F48" i="9"/>
  <c r="O52" i="9" s="1"/>
  <c r="F30" i="11"/>
  <c r="C48" i="11" s="1"/>
  <c r="AA20" i="36"/>
  <c r="S20" i="36"/>
  <c r="AA43" i="34"/>
  <c r="S43" i="34"/>
  <c r="AC20" i="36"/>
  <c r="S14" i="36"/>
  <c r="AZ391" i="3"/>
  <c r="AZ369" i="3"/>
  <c r="AZ355" i="3"/>
  <c r="AZ342" i="3"/>
  <c r="AZ378" i="3"/>
  <c r="AZ513" i="3"/>
  <c r="AZ516" i="3"/>
  <c r="AZ540" i="3"/>
  <c r="S11" i="36"/>
  <c r="AC40" i="37"/>
  <c r="AA12" i="36"/>
  <c r="AA28" i="34"/>
  <c r="S28" i="34"/>
  <c r="U34" i="34"/>
  <c r="S31" i="35"/>
  <c r="H23" i="36"/>
  <c r="F23" i="36"/>
  <c r="J23" i="36"/>
  <c r="AC23" i="36" s="1"/>
  <c r="H33" i="36"/>
  <c r="F33" i="36"/>
  <c r="BA576" i="3"/>
  <c r="G567" i="3"/>
  <c r="BL532" i="3"/>
  <c r="AZ532" i="3" s="1"/>
  <c r="BL524" i="3"/>
  <c r="AZ524" i="3" s="1"/>
  <c r="BL504" i="3"/>
  <c r="AZ379" i="3"/>
  <c r="AZ373" i="3"/>
  <c r="AB35" i="33"/>
  <c r="U35" i="33"/>
  <c r="AC32" i="40"/>
  <c r="W32" i="40"/>
  <c r="J39" i="40"/>
  <c r="H39" i="40"/>
  <c r="AA42" i="34"/>
  <c r="S42" i="34"/>
  <c r="S34" i="37"/>
  <c r="AA34" i="37"/>
  <c r="BL578" i="3"/>
  <c r="BA565" i="3"/>
  <c r="BA564" i="3"/>
  <c r="BL563" i="3"/>
  <c r="AZ563" i="3" s="1"/>
  <c r="BL562" i="3"/>
  <c r="BA562" i="3"/>
  <c r="BL561" i="3"/>
  <c r="BN5" i="3"/>
  <c r="BL560" i="3"/>
  <c r="BI5" i="3"/>
  <c r="BE5" i="3"/>
  <c r="BR5" i="3"/>
  <c r="BA559" i="3"/>
  <c r="BK5" i="3"/>
  <c r="BA557" i="3"/>
  <c r="AZ557" i="3" s="1"/>
  <c r="BS5" i="3"/>
  <c r="BJ5" i="3"/>
  <c r="BB5" i="3"/>
  <c r="E5" i="6" s="1"/>
  <c r="BA556" i="3"/>
  <c r="BA546" i="3"/>
  <c r="BL544" i="3"/>
  <c r="BL538" i="3"/>
  <c r="AZ538" i="3" s="1"/>
  <c r="BA538" i="3"/>
  <c r="BL522" i="3"/>
  <c r="AZ522" i="3" s="1"/>
  <c r="BL502" i="3"/>
  <c r="AZ502" i="3" s="1"/>
  <c r="AZ497" i="3"/>
  <c r="AZ505" i="3"/>
  <c r="AZ509" i="3"/>
  <c r="AZ515" i="3"/>
  <c r="AZ523" i="3"/>
  <c r="AZ547" i="3"/>
  <c r="AZ504" i="3"/>
  <c r="AZ512" i="3"/>
  <c r="AZ528" i="3"/>
  <c r="AZ534" i="3"/>
  <c r="AZ542" i="3"/>
  <c r="U46" i="33"/>
  <c r="AC27" i="35"/>
  <c r="F35" i="39"/>
  <c r="F9" i="33"/>
  <c r="AA9" i="33" s="1"/>
  <c r="H9" i="33"/>
  <c r="J12" i="33"/>
  <c r="H12" i="33"/>
  <c r="U12" i="33" s="1"/>
  <c r="AC22" i="35"/>
  <c r="W22" i="35"/>
  <c r="AC41" i="33"/>
  <c r="W41" i="33"/>
  <c r="AB31" i="35"/>
  <c r="U31" i="35"/>
  <c r="BL584" i="3"/>
  <c r="AZ584" i="3" s="1"/>
  <c r="BA584" i="3"/>
  <c r="AB17" i="37"/>
  <c r="S43" i="39"/>
  <c r="U35" i="40"/>
  <c r="AA34" i="33"/>
  <c r="AZ389" i="3"/>
  <c r="AZ329" i="3"/>
  <c r="AZ313" i="3"/>
  <c r="AZ327" i="3"/>
  <c r="AA11" i="39"/>
  <c r="AA25" i="21"/>
  <c r="AC12" i="37"/>
  <c r="AZ521" i="3"/>
  <c r="AZ525" i="3"/>
  <c r="AZ575" i="3"/>
  <c r="AZ498" i="3"/>
  <c r="AZ544" i="3"/>
  <c r="AZ570" i="3"/>
  <c r="J13" i="39"/>
  <c r="U34" i="35"/>
  <c r="J35" i="39"/>
  <c r="AC35" i="39" s="1"/>
  <c r="H31" i="21"/>
  <c r="H26" i="33"/>
  <c r="F26" i="33"/>
  <c r="H13" i="33"/>
  <c r="U13" i="33" s="1"/>
  <c r="F13" i="33"/>
  <c r="J46" i="34"/>
  <c r="H46" i="34"/>
  <c r="AA27" i="35"/>
  <c r="S27" i="35"/>
  <c r="J12" i="36"/>
  <c r="F44" i="39"/>
  <c r="G399" i="3"/>
  <c r="BA400" i="3"/>
  <c r="BA412" i="3"/>
  <c r="AZ412" i="3" s="1"/>
  <c r="BA418" i="3"/>
  <c r="G421" i="3"/>
  <c r="BA421" i="3"/>
  <c r="BA423" i="3"/>
  <c r="AZ423" i="3" s="1"/>
  <c r="BA437" i="3"/>
  <c r="AZ437" i="3" s="1"/>
  <c r="BL441" i="3"/>
  <c r="BL442" i="3"/>
  <c r="BL444" i="3"/>
  <c r="G447" i="3"/>
  <c r="BL451" i="3"/>
  <c r="BA456" i="3"/>
  <c r="G459" i="3"/>
  <c r="BA459" i="3"/>
  <c r="G463" i="3"/>
  <c r="BL466" i="3"/>
  <c r="G469" i="3"/>
  <c r="BA473" i="3"/>
  <c r="BA476" i="3"/>
  <c r="AZ476" i="3" s="1"/>
  <c r="BL480" i="3"/>
  <c r="BA483" i="3"/>
  <c r="BL483" i="3"/>
  <c r="BL487" i="3"/>
  <c r="BL308" i="3"/>
  <c r="AZ308" i="3" s="1"/>
  <c r="BA315" i="3"/>
  <c r="AZ315" i="3" s="1"/>
  <c r="BA333" i="3"/>
  <c r="G382" i="3"/>
  <c r="BL395" i="3"/>
  <c r="BL216" i="3"/>
  <c r="BA240" i="3"/>
  <c r="BL240" i="3"/>
  <c r="BL269" i="3"/>
  <c r="BL270" i="3"/>
  <c r="BA273" i="3"/>
  <c r="BA288" i="3"/>
  <c r="BL292" i="3"/>
  <c r="BA298" i="3"/>
  <c r="AZ298" i="3" s="1"/>
  <c r="BL402" i="3"/>
  <c r="BL406" i="3"/>
  <c r="AZ406" i="3" s="1"/>
  <c r="BA407" i="3"/>
  <c r="BA410" i="3"/>
  <c r="G413" i="3"/>
  <c r="G414" i="3"/>
  <c r="BA414" i="3"/>
  <c r="BA415" i="3"/>
  <c r="BA416" i="3"/>
  <c r="AZ416" i="3" s="1"/>
  <c r="BA419" i="3"/>
  <c r="AZ419" i="3" s="1"/>
  <c r="BA420" i="3"/>
  <c r="G424" i="3"/>
  <c r="G425" i="3"/>
  <c r="BA425" i="3"/>
  <c r="BA426" i="3"/>
  <c r="BA427" i="3"/>
  <c r="AZ427" i="3" s="1"/>
  <c r="BA433" i="3"/>
  <c r="AZ433" i="3" s="1"/>
  <c r="G435" i="3"/>
  <c r="BL440" i="3"/>
  <c r="G444" i="3"/>
  <c r="BL448" i="3"/>
  <c r="G450" i="3"/>
  <c r="G451" i="3"/>
  <c r="BL455" i="3"/>
  <c r="G457" i="3"/>
  <c r="G458" i="3"/>
  <c r="G461" i="3"/>
  <c r="G462" i="3"/>
  <c r="G466" i="3"/>
  <c r="G474" i="3"/>
  <c r="BL479" i="3"/>
  <c r="G480" i="3"/>
  <c r="BL484" i="3"/>
  <c r="BA487" i="3"/>
  <c r="BL489" i="3"/>
  <c r="BL491" i="3"/>
  <c r="BL492" i="3"/>
  <c r="G307" i="3"/>
  <c r="G323" i="3"/>
  <c r="G343" i="3"/>
  <c r="G347" i="3"/>
  <c r="G351" i="3"/>
  <c r="BL367" i="3"/>
  <c r="BL383" i="3"/>
  <c r="AZ383" i="3" s="1"/>
  <c r="BL208" i="3"/>
  <c r="BA211" i="3"/>
  <c r="AZ211" i="3" s="1"/>
  <c r="G214" i="3"/>
  <c r="G215" i="3"/>
  <c r="BL215" i="3"/>
  <c r="G218" i="3"/>
  <c r="BA220" i="3"/>
  <c r="BA222" i="3"/>
  <c r="AZ222" i="3" s="1"/>
  <c r="BA224" i="3"/>
  <c r="AZ224" i="3" s="1"/>
  <c r="G227" i="3"/>
  <c r="G228" i="3"/>
  <c r="BA228" i="3"/>
  <c r="G231" i="3"/>
  <c r="BA235" i="3"/>
  <c r="BA237" i="3"/>
  <c r="AZ237" i="3" s="1"/>
  <c r="G249" i="3"/>
  <c r="BL254" i="3"/>
  <c r="G260" i="3"/>
  <c r="BL267" i="3"/>
  <c r="G269" i="3"/>
  <c r="BL272" i="3"/>
  <c r="BA283" i="3"/>
  <c r="AZ283" i="3" s="1"/>
  <c r="BL283" i="3"/>
  <c r="BL284" i="3"/>
  <c r="G285" i="3"/>
  <c r="BL287" i="3"/>
  <c r="BA291" i="3"/>
  <c r="G295" i="3"/>
  <c r="BL295" i="3"/>
  <c r="G300" i="3"/>
  <c r="BA120" i="3"/>
  <c r="AZ120" i="3" s="1"/>
  <c r="G127" i="3"/>
  <c r="BA132" i="3"/>
  <c r="AZ132" i="3" s="1"/>
  <c r="BL135" i="3"/>
  <c r="AZ135" i="3" s="1"/>
  <c r="BL146" i="3"/>
  <c r="AZ146" i="3" s="1"/>
  <c r="BL154" i="3"/>
  <c r="BL155" i="3"/>
  <c r="AZ155" i="3" s="1"/>
  <c r="G162" i="3"/>
  <c r="G166" i="3"/>
  <c r="BL167" i="3"/>
  <c r="AZ167" i="3" s="1"/>
  <c r="BA169" i="3"/>
  <c r="AZ169" i="3" s="1"/>
  <c r="G171" i="3"/>
  <c r="C60" i="71"/>
  <c r="D59" i="71"/>
  <c r="G14" i="3"/>
  <c r="AZ402" i="3"/>
  <c r="AZ444" i="3"/>
  <c r="AZ466" i="3"/>
  <c r="AZ480" i="3"/>
  <c r="G569" i="3"/>
  <c r="BL568" i="3"/>
  <c r="G568" i="3"/>
  <c r="BL567" i="3"/>
  <c r="BA567" i="3"/>
  <c r="BA566" i="3"/>
  <c r="G556" i="3"/>
  <c r="BL13" i="3"/>
  <c r="G401" i="3"/>
  <c r="BL401" i="3"/>
  <c r="BL404" i="3"/>
  <c r="BL405" i="3"/>
  <c r="BL407" i="3"/>
  <c r="G416" i="3"/>
  <c r="G427" i="3"/>
  <c r="BL430" i="3"/>
  <c r="BA435" i="3"/>
  <c r="BA443" i="3"/>
  <c r="AZ443" i="3" s="1"/>
  <c r="BL447" i="3"/>
  <c r="BA448" i="3"/>
  <c r="AZ448" i="3" s="1"/>
  <c r="BA452" i="3"/>
  <c r="BA457" i="3"/>
  <c r="BL458" i="3"/>
  <c r="G460" i="3"/>
  <c r="BA460" i="3"/>
  <c r="BA461" i="3"/>
  <c r="BL462" i="3"/>
  <c r="BL464" i="3"/>
  <c r="BL469" i="3"/>
  <c r="BL488" i="3"/>
  <c r="BA489" i="3"/>
  <c r="BL316" i="3"/>
  <c r="BL340" i="3"/>
  <c r="AZ340" i="3" s="1"/>
  <c r="BL346" i="3"/>
  <c r="AZ346" i="3" s="1"/>
  <c r="BL381" i="3"/>
  <c r="AZ381" i="3" s="1"/>
  <c r="BA397" i="3"/>
  <c r="AZ397" i="3" s="1"/>
  <c r="BL397" i="3"/>
  <c r="G213" i="3"/>
  <c r="BL213" i="3"/>
  <c r="G217" i="3"/>
  <c r="BA217" i="3"/>
  <c r="G226" i="3"/>
  <c r="BA226" i="3"/>
  <c r="BA231" i="3"/>
  <c r="BL233" i="3"/>
  <c r="BA242" i="3"/>
  <c r="AZ242" i="3" s="1"/>
  <c r="BA255" i="3"/>
  <c r="BL255" i="3"/>
  <c r="G257" i="3"/>
  <c r="BA260" i="3"/>
  <c r="BA262" i="3"/>
  <c r="AZ262" i="3" s="1"/>
  <c r="G265" i="3"/>
  <c r="BA275" i="3"/>
  <c r="G280" i="3"/>
  <c r="G282" i="3"/>
  <c r="BA301" i="3"/>
  <c r="G302" i="3"/>
  <c r="BL122" i="3"/>
  <c r="BL181" i="3"/>
  <c r="G182" i="3"/>
  <c r="G186" i="3"/>
  <c r="N65" i="71"/>
  <c r="N66" i="71"/>
  <c r="BA157" i="3"/>
  <c r="BL161" i="3"/>
  <c r="G170" i="3"/>
  <c r="BL173" i="3"/>
  <c r="G195" i="3"/>
  <c r="BA22" i="3"/>
  <c r="BL35" i="3"/>
  <c r="BA36" i="3"/>
  <c r="BL38" i="3"/>
  <c r="BA39" i="3"/>
  <c r="G43" i="3"/>
  <c r="G44" i="3"/>
  <c r="BL67" i="3"/>
  <c r="AZ67" i="3" s="1"/>
  <c r="BA70" i="3"/>
  <c r="BA78" i="3"/>
  <c r="BA94" i="3"/>
  <c r="AZ94" i="3" s="1"/>
  <c r="BA95" i="3"/>
  <c r="BA100" i="3"/>
  <c r="G103" i="3"/>
  <c r="BL103" i="3"/>
  <c r="BL105" i="3"/>
  <c r="BL107" i="3"/>
  <c r="BL110" i="3"/>
  <c r="K13" i="1"/>
  <c r="M13" i="1" s="1"/>
  <c r="O13" i="1" s="1"/>
  <c r="P13" i="1" s="1"/>
  <c r="AC21" i="33"/>
  <c r="AB21" i="33"/>
  <c r="W18" i="36"/>
  <c r="E79" i="71"/>
  <c r="E78" i="71" s="1"/>
  <c r="X31" i="71"/>
  <c r="AB35" i="71"/>
  <c r="AA35" i="71"/>
  <c r="Y26" i="71"/>
  <c r="Z26" i="71" s="1"/>
  <c r="BL301" i="3"/>
  <c r="BL302" i="3"/>
  <c r="BA114" i="3"/>
  <c r="G123" i="3"/>
  <c r="BL123" i="3"/>
  <c r="AZ123" i="3" s="1"/>
  <c r="BA133" i="3"/>
  <c r="G138" i="3"/>
  <c r="G151" i="3"/>
  <c r="BA156" i="3"/>
  <c r="AZ156" i="3" s="1"/>
  <c r="BL158" i="3"/>
  <c r="G159" i="3"/>
  <c r="BL171" i="3"/>
  <c r="AZ171" i="3" s="1"/>
  <c r="G178" i="3"/>
  <c r="BL178" i="3"/>
  <c r="BA180" i="3"/>
  <c r="AZ180" i="3" s="1"/>
  <c r="BL182" i="3"/>
  <c r="G183" i="3"/>
  <c r="BA184" i="3"/>
  <c r="AZ184" i="3" s="1"/>
  <c r="BL187" i="3"/>
  <c r="AZ187" i="3" s="1"/>
  <c r="G188" i="3"/>
  <c r="BA194" i="3"/>
  <c r="BA207" i="3"/>
  <c r="G20" i="3"/>
  <c r="BL20" i="3"/>
  <c r="BA21" i="3"/>
  <c r="BA30" i="3"/>
  <c r="G34" i="3"/>
  <c r="BL34" i="3"/>
  <c r="G46" i="3"/>
  <c r="BA50" i="3"/>
  <c r="BL50" i="3"/>
  <c r="BL51" i="3"/>
  <c r="BA53" i="3"/>
  <c r="BA54" i="3"/>
  <c r="BA62" i="3"/>
  <c r="BA63" i="3"/>
  <c r="BL65" i="3"/>
  <c r="BL66" i="3"/>
  <c r="BA71" i="3"/>
  <c r="G74" i="3"/>
  <c r="G75" i="3"/>
  <c r="BL79" i="3"/>
  <c r="BL81" i="3"/>
  <c r="BA82" i="3"/>
  <c r="AZ82" i="3" s="1"/>
  <c r="BA98" i="3"/>
  <c r="BL100" i="3"/>
  <c r="U21" i="34"/>
  <c r="U29" i="39"/>
  <c r="D76" i="71"/>
  <c r="Q68" i="71"/>
  <c r="AA38" i="71"/>
  <c r="C43" i="71"/>
  <c r="B59" i="71"/>
  <c r="B60" i="71" s="1"/>
  <c r="S60" i="71" s="1"/>
  <c r="F75" i="71"/>
  <c r="F74" i="71" s="1"/>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F7" i="83"/>
  <c r="B88" i="43"/>
  <c r="BL195" i="3"/>
  <c r="AZ195" i="3" s="1"/>
  <c r="BA196" i="3"/>
  <c r="AZ196" i="3" s="1"/>
  <c r="G23" i="3"/>
  <c r="BL23" i="3"/>
  <c r="BA40" i="3"/>
  <c r="BA41" i="3"/>
  <c r="BL44" i="3"/>
  <c r="BA45" i="3"/>
  <c r="BA46" i="3"/>
  <c r="BL69" i="3"/>
  <c r="BL82" i="3"/>
  <c r="BA84" i="3"/>
  <c r="BL93" i="3"/>
  <c r="BL96" i="3"/>
  <c r="G109" i="3"/>
  <c r="BA109" i="3"/>
  <c r="BL112" i="3"/>
  <c r="C74" i="71"/>
  <c r="D74" i="71" s="1"/>
  <c r="D46" i="71"/>
  <c r="X34" i="71"/>
  <c r="X25" i="71"/>
  <c r="AB34" i="71"/>
  <c r="V80" i="71"/>
  <c r="B69" i="43"/>
  <c r="B79" i="43"/>
  <c r="B51" i="43"/>
  <c r="C40" i="69"/>
  <c r="AC35" i="21"/>
  <c r="F27" i="21"/>
  <c r="AC27" i="21"/>
  <c r="H27" i="21"/>
  <c r="W42" i="21"/>
  <c r="S42" i="21"/>
  <c r="AB42" i="21"/>
  <c r="J37" i="21"/>
  <c r="W37" i="21" s="1"/>
  <c r="F37" i="21"/>
  <c r="AA37" i="21" s="1"/>
  <c r="H37" i="21"/>
  <c r="U37" i="21" s="1"/>
  <c r="F89" i="21"/>
  <c r="AB44" i="21"/>
  <c r="S44" i="21"/>
  <c r="W44" i="21"/>
  <c r="U40" i="21"/>
  <c r="AC40" i="21"/>
  <c r="S39" i="21"/>
  <c r="AA38" i="21"/>
  <c r="AC34" i="21"/>
  <c r="U34" i="21"/>
  <c r="S32" i="21"/>
  <c r="U32" i="21"/>
  <c r="B57" i="43"/>
  <c r="C29" i="39"/>
  <c r="B68" i="43"/>
  <c r="U9" i="21"/>
  <c r="AA9" i="21"/>
  <c r="H69" i="43"/>
  <c r="F30" i="68"/>
  <c r="F48" i="68" s="1"/>
  <c r="M18" i="15"/>
  <c r="F54" i="9"/>
  <c r="F32" i="15"/>
  <c r="F60" i="15" s="1"/>
  <c r="M18" i="67"/>
  <c r="F52" i="9"/>
  <c r="BA13" i="3"/>
  <c r="BT5" i="3"/>
  <c r="G29" i="6"/>
  <c r="BH5" i="3"/>
  <c r="BD5" i="3"/>
  <c r="A4" i="52"/>
  <c r="B41" i="72" s="1"/>
  <c r="A118" i="9"/>
  <c r="AB37" i="39"/>
  <c r="U37" i="39"/>
  <c r="J45" i="21"/>
  <c r="F45" i="21"/>
  <c r="AB26" i="37"/>
  <c r="U26" i="37"/>
  <c r="BL558" i="3"/>
  <c r="AA17" i="33"/>
  <c r="D68" i="9"/>
  <c r="F30" i="69"/>
  <c r="F48" i="69" s="1"/>
  <c r="F31" i="12"/>
  <c r="S35" i="21"/>
  <c r="U28" i="21"/>
  <c r="AB47" i="34"/>
  <c r="AB37" i="37"/>
  <c r="U24" i="35"/>
  <c r="AB20" i="35"/>
  <c r="U32" i="40"/>
  <c r="W43" i="21"/>
  <c r="S13" i="34"/>
  <c r="AC13" i="37"/>
  <c r="AC15" i="40"/>
  <c r="AC34" i="33"/>
  <c r="U12" i="40"/>
  <c r="AC11" i="39"/>
  <c r="AZ345" i="3"/>
  <c r="AZ334" i="3"/>
  <c r="AZ372" i="3"/>
  <c r="AZ337" i="3"/>
  <c r="AZ376" i="3"/>
  <c r="AZ309" i="3"/>
  <c r="AZ527" i="3"/>
  <c r="AZ508" i="3"/>
  <c r="BA558" i="3"/>
  <c r="AZ558" i="3" s="1"/>
  <c r="AB30" i="21"/>
  <c r="U33" i="40"/>
  <c r="AB33" i="40"/>
  <c r="U45" i="33"/>
  <c r="AB45" i="33"/>
  <c r="AC38" i="34"/>
  <c r="S41" i="33"/>
  <c r="W28" i="34"/>
  <c r="AC28" i="34"/>
  <c r="U17" i="34"/>
  <c r="AB17" i="34"/>
  <c r="G585" i="3"/>
  <c r="BL587" i="3"/>
  <c r="AZ587" i="3" s="1"/>
  <c r="BL586" i="3"/>
  <c r="AZ586" i="3" s="1"/>
  <c r="BA585" i="3"/>
  <c r="AC8" i="34"/>
  <c r="W8" i="34"/>
  <c r="AA35" i="34"/>
  <c r="S35" i="34"/>
  <c r="J12" i="34"/>
  <c r="H12" i="34"/>
  <c r="J11" i="35"/>
  <c r="F11" i="35"/>
  <c r="F25" i="35"/>
  <c r="J25" i="35"/>
  <c r="J24" i="36"/>
  <c r="H24" i="36"/>
  <c r="F24" i="36"/>
  <c r="F32" i="36"/>
  <c r="H32" i="36"/>
  <c r="AB30" i="37"/>
  <c r="U30" i="37"/>
  <c r="AC40" i="39"/>
  <c r="W40" i="39"/>
  <c r="J37" i="39"/>
  <c r="F37" i="39"/>
  <c r="AC9" i="21"/>
  <c r="D6" i="52"/>
  <c r="AB27" i="33"/>
  <c r="AA23" i="37"/>
  <c r="F28" i="15"/>
  <c r="C28" i="15" s="1"/>
  <c r="F32" i="67"/>
  <c r="F60" i="67" s="1"/>
  <c r="F28" i="67"/>
  <c r="AA15" i="21"/>
  <c r="H45" i="21"/>
  <c r="AA46" i="34"/>
  <c r="W23" i="36"/>
  <c r="AB28" i="36"/>
  <c r="S13" i="40"/>
  <c r="W27" i="40"/>
  <c r="AB28" i="40"/>
  <c r="AB14" i="33"/>
  <c r="S37" i="37"/>
  <c r="S22" i="35"/>
  <c r="AB16" i="35"/>
  <c r="U13" i="36"/>
  <c r="AA19" i="40"/>
  <c r="W38" i="40"/>
  <c r="BC5" i="3"/>
  <c r="AZ387" i="3"/>
  <c r="AZ362" i="3"/>
  <c r="AZ338" i="3"/>
  <c r="AZ390" i="3"/>
  <c r="AZ371" i="3"/>
  <c r="AZ351" i="3"/>
  <c r="AZ336" i="3"/>
  <c r="AZ305" i="3"/>
  <c r="AZ360" i="3"/>
  <c r="AZ571" i="3"/>
  <c r="AZ510" i="3"/>
  <c r="AZ552" i="3"/>
  <c r="S14" i="34"/>
  <c r="AA14" i="34"/>
  <c r="AA44" i="34"/>
  <c r="S44" i="34"/>
  <c r="U34" i="37"/>
  <c r="S29" i="35"/>
  <c r="AA29" i="35"/>
  <c r="S38" i="39"/>
  <c r="AB36" i="39"/>
  <c r="U36" i="39"/>
  <c r="F28" i="21"/>
  <c r="J28" i="21"/>
  <c r="W39" i="33"/>
  <c r="AC39" i="33"/>
  <c r="J23" i="35"/>
  <c r="H23" i="35"/>
  <c r="H9" i="36"/>
  <c r="AB9" i="36" s="1"/>
  <c r="J9" i="36"/>
  <c r="H38" i="37"/>
  <c r="J38" i="37"/>
  <c r="AA34" i="39"/>
  <c r="S34" i="39"/>
  <c r="AC8" i="40"/>
  <c r="W8" i="40"/>
  <c r="BA569" i="3"/>
  <c r="BA568" i="3"/>
  <c r="AZ568" i="3" s="1"/>
  <c r="BL566" i="3"/>
  <c r="AZ566" i="3" s="1"/>
  <c r="BL564" i="3"/>
  <c r="AZ564" i="3" s="1"/>
  <c r="BA561" i="3"/>
  <c r="AZ561" i="3" s="1"/>
  <c r="BA560" i="3"/>
  <c r="AZ560" i="3" s="1"/>
  <c r="BL556" i="3"/>
  <c r="AZ556" i="3" s="1"/>
  <c r="S13" i="21"/>
  <c r="AC17" i="37"/>
  <c r="W30" i="40"/>
  <c r="AA30" i="34"/>
  <c r="U29" i="34"/>
  <c r="W19" i="33"/>
  <c r="S27" i="33"/>
  <c r="U32" i="37"/>
  <c r="AC13" i="34"/>
  <c r="S14" i="35"/>
  <c r="BM5" i="3"/>
  <c r="F29" i="6" s="1"/>
  <c r="AZ318" i="3"/>
  <c r="AZ306" i="3"/>
  <c r="W35" i="40"/>
  <c r="U40" i="39"/>
  <c r="H5" i="3"/>
  <c r="AC45" i="33"/>
  <c r="BL569" i="3"/>
  <c r="AZ503" i="3"/>
  <c r="AZ520" i="3"/>
  <c r="S14" i="37"/>
  <c r="AA14" i="37"/>
  <c r="H25" i="35"/>
  <c r="J32" i="36"/>
  <c r="W32" i="36" s="1"/>
  <c r="W31" i="33"/>
  <c r="AC31" i="33"/>
  <c r="AB23" i="34"/>
  <c r="W36" i="34"/>
  <c r="AC36" i="34"/>
  <c r="S38" i="33"/>
  <c r="S40" i="21"/>
  <c r="W31" i="37"/>
  <c r="U38" i="21"/>
  <c r="AB38" i="21"/>
  <c r="BL585" i="3"/>
  <c r="B97" i="43"/>
  <c r="B75" i="43"/>
  <c r="AC9" i="34"/>
  <c r="W9" i="34"/>
  <c r="H29" i="33"/>
  <c r="F29" i="33"/>
  <c r="H32" i="34"/>
  <c r="J32" i="34"/>
  <c r="F12" i="35"/>
  <c r="J12" i="35"/>
  <c r="H12" i="35"/>
  <c r="H36" i="35"/>
  <c r="F36" i="35"/>
  <c r="AC31" i="40"/>
  <c r="W31" i="40"/>
  <c r="AZ217" i="3"/>
  <c r="AZ531" i="3"/>
  <c r="BL559" i="3"/>
  <c r="AZ559" i="3" s="1"/>
  <c r="AZ583" i="3"/>
  <c r="AZ576" i="3"/>
  <c r="G587" i="3"/>
  <c r="G570" i="3"/>
  <c r="AZ487" i="3"/>
  <c r="AZ228" i="3"/>
  <c r="AZ539" i="3"/>
  <c r="BL565" i="3"/>
  <c r="AZ565" i="3" s="1"/>
  <c r="G557" i="3"/>
  <c r="AZ529" i="3"/>
  <c r="AZ537" i="3"/>
  <c r="AZ518" i="3"/>
  <c r="AZ526" i="3"/>
  <c r="AZ546" i="3"/>
  <c r="AZ580" i="3"/>
  <c r="H25" i="37"/>
  <c r="F25" i="37"/>
  <c r="AZ458" i="3"/>
  <c r="AZ462" i="3"/>
  <c r="AZ451" i="3"/>
  <c r="AZ469" i="3"/>
  <c r="AZ483" i="3"/>
  <c r="BA551" i="3"/>
  <c r="AZ551" i="3" s="1"/>
  <c r="BA550" i="3"/>
  <c r="BL548" i="3"/>
  <c r="AZ548" i="3" s="1"/>
  <c r="BL16" i="3"/>
  <c r="AZ16" i="3" s="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L385" i="3"/>
  <c r="BA212" i="3"/>
  <c r="BA218" i="3"/>
  <c r="BL218" i="3"/>
  <c r="BA225" i="3"/>
  <c r="BA227" i="3"/>
  <c r="AZ227" i="3" s="1"/>
  <c r="BL230" i="3"/>
  <c r="BL231" i="3"/>
  <c r="BA251" i="3"/>
  <c r="BL251" i="3"/>
  <c r="BL275" i="3"/>
  <c r="AZ275" i="3" s="1"/>
  <c r="BL285" i="3"/>
  <c r="BL400" i="3"/>
  <c r="AZ400" i="3" s="1"/>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A392" i="3"/>
  <c r="AZ392" i="3" s="1"/>
  <c r="BA395" i="3"/>
  <c r="AZ395" i="3" s="1"/>
  <c r="BA208" i="3"/>
  <c r="AZ208" i="3" s="1"/>
  <c r="BA249" i="3"/>
  <c r="BL249" i="3"/>
  <c r="BL299" i="3"/>
  <c r="G551" i="3"/>
  <c r="BL550" i="3"/>
  <c r="G542"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BA429" i="3"/>
  <c r="AZ429" i="3" s="1"/>
  <c r="BA430" i="3"/>
  <c r="AZ430" i="3" s="1"/>
  <c r="BA432" i="3"/>
  <c r="BA434" i="3"/>
  <c r="BA436" i="3"/>
  <c r="BA438" i="3"/>
  <c r="G442" i="3"/>
  <c r="G443"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85" i="3"/>
  <c r="G397" i="3"/>
  <c r="G210" i="3"/>
  <c r="BA214" i="3"/>
  <c r="BA216" i="3"/>
  <c r="AZ216" i="3" s="1"/>
  <c r="BL219" i="3"/>
  <c r="BL220" i="3"/>
  <c r="BL221" i="3"/>
  <c r="BL223" i="3"/>
  <c r="BA229" i="3"/>
  <c r="BL229" i="3"/>
  <c r="BA233" i="3"/>
  <c r="AZ233" i="3" s="1"/>
  <c r="BL235" i="3"/>
  <c r="AZ235" i="3" s="1"/>
  <c r="BL236" i="3"/>
  <c r="BL238" i="3"/>
  <c r="BL243" i="3"/>
  <c r="BA247" i="3"/>
  <c r="BL247" i="3"/>
  <c r="BL252" i="3"/>
  <c r="BA253" i="3"/>
  <c r="BL259" i="3"/>
  <c r="BL260" i="3"/>
  <c r="BL263" i="3"/>
  <c r="BA270" i="3"/>
  <c r="AZ270" i="3" s="1"/>
  <c r="BA272" i="3"/>
  <c r="AZ272" i="3" s="1"/>
  <c r="G287" i="3"/>
  <c r="BA290" i="3"/>
  <c r="BA293" i="3"/>
  <c r="BL113" i="3"/>
  <c r="BL115" i="3"/>
  <c r="AZ115" i="3" s="1"/>
  <c r="BA118" i="3"/>
  <c r="BL118" i="3"/>
  <c r="BA122" i="3"/>
  <c r="AZ122" i="3" s="1"/>
  <c r="BL125" i="3"/>
  <c r="AZ125" i="3" s="1"/>
  <c r="BL126" i="3"/>
  <c r="BA178" i="3"/>
  <c r="AZ178" i="3" s="1"/>
  <c r="F40" i="68"/>
  <c r="C21" i="68"/>
  <c r="C40" i="68"/>
  <c r="U76" i="71"/>
  <c r="E75" i="71"/>
  <c r="E74" i="71" s="1"/>
  <c r="BA210" i="3"/>
  <c r="BL210" i="3"/>
  <c r="BL212" i="3"/>
  <c r="BL214" i="3"/>
  <c r="BL225" i="3"/>
  <c r="BL226" i="3"/>
  <c r="BA239" i="3"/>
  <c r="AZ239" i="3" s="1"/>
  <c r="BL239" i="3"/>
  <c r="BA241" i="3"/>
  <c r="BL241" i="3"/>
  <c r="BA244" i="3"/>
  <c r="AZ244" i="3" s="1"/>
  <c r="BL244" i="3"/>
  <c r="BA246" i="3"/>
  <c r="BA252" i="3"/>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302" i="3"/>
  <c r="AZ302" i="3" s="1"/>
  <c r="G115" i="3"/>
  <c r="BA117" i="3"/>
  <c r="G134" i="3"/>
  <c r="BL134" i="3"/>
  <c r="BL137" i="3"/>
  <c r="G143" i="3"/>
  <c r="BA144" i="3"/>
  <c r="AZ144" i="3" s="1"/>
  <c r="BA149" i="3"/>
  <c r="BA153" i="3"/>
  <c r="G158" i="3"/>
  <c r="BL163" i="3"/>
  <c r="AZ163" i="3" s="1"/>
  <c r="BA164" i="3"/>
  <c r="AZ164" i="3" s="1"/>
  <c r="BA166" i="3"/>
  <c r="AZ166" i="3" s="1"/>
  <c r="G175" i="3"/>
  <c r="BA176" i="3"/>
  <c r="AZ176" i="3" s="1"/>
  <c r="BA188" i="3"/>
  <c r="AZ188" i="3" s="1"/>
  <c r="BL189" i="3"/>
  <c r="AZ189" i="3" s="1"/>
  <c r="BL190" i="3"/>
  <c r="G31" i="3"/>
  <c r="BA368" i="3"/>
  <c r="AZ368" i="3" s="1"/>
  <c r="BL368" i="3"/>
  <c r="BA374" i="3"/>
  <c r="AZ374" i="3" s="1"/>
  <c r="BA388" i="3"/>
  <c r="AZ388" i="3" s="1"/>
  <c r="BA396" i="3"/>
  <c r="BA209" i="3"/>
  <c r="BL217" i="3"/>
  <c r="BA219" i="3"/>
  <c r="BA221" i="3"/>
  <c r="BA223" i="3"/>
  <c r="AZ223" i="3" s="1"/>
  <c r="BL228" i="3"/>
  <c r="BA230" i="3"/>
  <c r="AZ230" i="3" s="1"/>
  <c r="BL232" i="3"/>
  <c r="BL234" i="3"/>
  <c r="BA236" i="3"/>
  <c r="BA238" i="3"/>
  <c r="AZ238" i="3" s="1"/>
  <c r="BA243" i="3"/>
  <c r="AZ243" i="3" s="1"/>
  <c r="BL248" i="3"/>
  <c r="AZ248" i="3" s="1"/>
  <c r="G250" i="3"/>
  <c r="BL250" i="3"/>
  <c r="AZ250" i="3" s="1"/>
  <c r="G252" i="3"/>
  <c r="G254" i="3"/>
  <c r="BA259" i="3"/>
  <c r="BL261" i="3"/>
  <c r="BA263" i="3"/>
  <c r="BA267" i="3"/>
  <c r="AZ267" i="3" s="1"/>
  <c r="BA269" i="3"/>
  <c r="AZ269" i="3" s="1"/>
  <c r="BA271" i="3"/>
  <c r="BL271" i="3"/>
  <c r="BA274" i="3"/>
  <c r="BL274" i="3"/>
  <c r="BA276" i="3"/>
  <c r="BA279" i="3"/>
  <c r="BA281" i="3"/>
  <c r="G286" i="3"/>
  <c r="BL286" i="3"/>
  <c r="AZ286" i="3" s="1"/>
  <c r="G289" i="3"/>
  <c r="G290" i="3"/>
  <c r="G291" i="3"/>
  <c r="BA296" i="3"/>
  <c r="BA116" i="3"/>
  <c r="AZ116" i="3" s="1"/>
  <c r="BA128" i="3"/>
  <c r="AZ128" i="3" s="1"/>
  <c r="BA148" i="3"/>
  <c r="AZ148" i="3" s="1"/>
  <c r="G155" i="3"/>
  <c r="BA168" i="3"/>
  <c r="AZ168" i="3" s="1"/>
  <c r="G184" i="3"/>
  <c r="BA185" i="3"/>
  <c r="E28" i="71"/>
  <c r="AA27" i="71"/>
  <c r="AA28" i="71"/>
  <c r="AA3" i="71"/>
  <c r="C28" i="71"/>
  <c r="Y28" i="71"/>
  <c r="Z28" i="71" s="1"/>
  <c r="Y25" i="71"/>
  <c r="Z25" i="71" s="1"/>
  <c r="Y27" i="71"/>
  <c r="Z27" i="71" s="1"/>
  <c r="D34" i="71"/>
  <c r="C35" i="71"/>
  <c r="C44" i="71"/>
  <c r="D43" i="71"/>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7" i="3"/>
  <c r="AZ47" i="3" s="1"/>
  <c r="G50" i="3"/>
  <c r="G52" i="3"/>
  <c r="BA52" i="3"/>
  <c r="BL62" i="3"/>
  <c r="AZ62" i="3" s="1"/>
  <c r="BL63" i="3"/>
  <c r="AZ63" i="3" s="1"/>
  <c r="BL72" i="3"/>
  <c r="BL75" i="3"/>
  <c r="BA102" i="3"/>
  <c r="AC29" i="39"/>
  <c r="W29" i="39"/>
  <c r="P27" i="6"/>
  <c r="AA39" i="71"/>
  <c r="AA37" i="71"/>
  <c r="D56" i="71"/>
  <c r="T56" i="71"/>
  <c r="T80" i="71"/>
  <c r="C79" i="71"/>
  <c r="BA130" i="3"/>
  <c r="BL130" i="3"/>
  <c r="BA137" i="3"/>
  <c r="BL138" i="3"/>
  <c r="BA140" i="3"/>
  <c r="AZ140" i="3" s="1"/>
  <c r="BA142" i="3"/>
  <c r="BL149" i="3"/>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G22" i="3"/>
  <c r="G24" i="3"/>
  <c r="G25" i="3"/>
  <c r="G27" i="3"/>
  <c r="BA27" i="3"/>
  <c r="G30" i="3"/>
  <c r="BL30" i="3"/>
  <c r="BL31" i="3"/>
  <c r="G35" i="3"/>
  <c r="G36" i="3"/>
  <c r="G37" i="3"/>
  <c r="G40" i="3"/>
  <c r="BL40" i="3"/>
  <c r="AZ40" i="3" s="1"/>
  <c r="G41" i="3"/>
  <c r="BA55" i="3"/>
  <c r="BL57" i="3"/>
  <c r="AZ57" i="3" s="1"/>
  <c r="G59" i="3"/>
  <c r="BL70" i="3"/>
  <c r="AZ70" i="3" s="1"/>
  <c r="BL71" i="3"/>
  <c r="AZ71" i="3" s="1"/>
  <c r="BA79" i="3"/>
  <c r="AZ79" i="3" s="1"/>
  <c r="G82" i="3"/>
  <c r="BL83" i="3"/>
  <c r="G88" i="3"/>
  <c r="BA90" i="3"/>
  <c r="G98" i="3"/>
  <c r="BA105" i="3"/>
  <c r="AZ105" i="3" s="1"/>
  <c r="D55" i="71"/>
  <c r="C31" i="71"/>
  <c r="F34" i="71"/>
  <c r="F35" i="71" s="1"/>
  <c r="F36" i="71" s="1"/>
  <c r="V36" i="71" s="1"/>
  <c r="AB33" i="71"/>
  <c r="AB32" i="71"/>
  <c r="AB27" i="71"/>
  <c r="X38" i="71"/>
  <c r="X26" i="71"/>
  <c r="C64" i="71"/>
  <c r="D63" i="7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2" i="3"/>
  <c r="BL52" i="3"/>
  <c r="G53" i="3"/>
  <c r="BL53" i="3"/>
  <c r="AZ53" i="3" s="1"/>
  <c r="BA65" i="3"/>
  <c r="AZ65" i="3" s="1"/>
  <c r="BA66" i="3"/>
  <c r="AZ66" i="3" s="1"/>
  <c r="BA72" i="3"/>
  <c r="AZ72" i="3" s="1"/>
  <c r="BL76" i="3"/>
  <c r="BL77" i="3"/>
  <c r="AZ77" i="3" s="1"/>
  <c r="BL91" i="3"/>
  <c r="G92" i="3"/>
  <c r="BL92" i="3"/>
  <c r="AZ100" i="3"/>
  <c r="G102" i="3"/>
  <c r="G108" i="3"/>
  <c r="AA18" i="36"/>
  <c r="S18" i="36"/>
  <c r="D38" i="71"/>
  <c r="C39" i="71"/>
  <c r="B27" i="71"/>
  <c r="B26" i="71" s="1"/>
  <c r="S28" i="71"/>
  <c r="Y30" i="71"/>
  <c r="Z30" i="71" s="1"/>
  <c r="Y29" i="71"/>
  <c r="Z29" i="71" s="1"/>
  <c r="D50" i="71"/>
  <c r="C51" i="71"/>
  <c r="D67" i="71"/>
  <c r="C66" i="71"/>
  <c r="O67" i="71"/>
  <c r="T72" i="71"/>
  <c r="C71" i="71"/>
  <c r="D84" i="71"/>
  <c r="C83" i="71"/>
  <c r="V24" i="71"/>
  <c r="E23" i="71"/>
  <c r="E22" i="71" s="1"/>
  <c r="E21" i="71" s="1"/>
  <c r="E20" i="71" s="1"/>
  <c r="E19" i="71" s="1"/>
  <c r="E18" i="71" s="1"/>
  <c r="E17" i="71" s="1"/>
  <c r="E16" i="71" s="1"/>
  <c r="M23" i="43" s="1"/>
  <c r="G47" i="3"/>
  <c r="BL48" i="3"/>
  <c r="BL54" i="3"/>
  <c r="BL55" i="3"/>
  <c r="G58" i="3"/>
  <c r="BA59" i="3"/>
  <c r="BL61" i="3"/>
  <c r="G64" i="3"/>
  <c r="BA64" i="3"/>
  <c r="AZ64" i="3" s="1"/>
  <c r="G67" i="3"/>
  <c r="BL68" i="3"/>
  <c r="BA69" i="3"/>
  <c r="AZ69" i="3" s="1"/>
  <c r="G72" i="3"/>
  <c r="BL73" i="3"/>
  <c r="BA74" i="3"/>
  <c r="AZ74" i="3" s="1"/>
  <c r="BA75" i="3"/>
  <c r="AZ75" i="3" s="1"/>
  <c r="G81" i="3"/>
  <c r="G85" i="3"/>
  <c r="BL85" i="3"/>
  <c r="BA86" i="3"/>
  <c r="AZ86" i="3" s="1"/>
  <c r="BA87" i="3"/>
  <c r="BA91" i="3"/>
  <c r="G96" i="3"/>
  <c r="BL97" i="3"/>
  <c r="AZ97" i="3" s="1"/>
  <c r="BL101" i="3"/>
  <c r="AZ101" i="3" s="1"/>
  <c r="BL102" i="3"/>
  <c r="G104" i="3"/>
  <c r="G105" i="3"/>
  <c r="BL106" i="3"/>
  <c r="BA108" i="3"/>
  <c r="BA110" i="3"/>
  <c r="AZ110" i="3" s="1"/>
  <c r="F3" i="35"/>
  <c r="S21" i="33"/>
  <c r="S21" i="37"/>
  <c r="B77" i="43"/>
  <c r="AB25" i="71"/>
  <c r="X33" i="71"/>
  <c r="BL41" i="3"/>
  <c r="AZ41" i="3" s="1"/>
  <c r="G45" i="3"/>
  <c r="BL45" i="3"/>
  <c r="AZ45" i="3" s="1"/>
  <c r="BA48" i="3"/>
  <c r="BA49" i="3"/>
  <c r="AZ49" i="3" s="1"/>
  <c r="BA51" i="3"/>
  <c r="AZ51" i="3" s="1"/>
  <c r="G54" i="3"/>
  <c r="G55" i="3"/>
  <c r="BL56" i="3"/>
  <c r="BA58" i="3"/>
  <c r="AZ58" i="3" s="1"/>
  <c r="BL59" i="3"/>
  <c r="BL60" i="3"/>
  <c r="BA61" i="3"/>
  <c r="BA68" i="3"/>
  <c r="BA73" i="3"/>
  <c r="AZ73" i="3" s="1"/>
  <c r="BA80" i="3"/>
  <c r="G84" i="3"/>
  <c r="BL84" i="3"/>
  <c r="AZ84" i="3" s="1"/>
  <c r="BA89" i="3"/>
  <c r="G99" i="3"/>
  <c r="BA103" i="3"/>
  <c r="AZ103" i="3" s="1"/>
  <c r="BA104" i="3"/>
  <c r="BA106" i="3"/>
  <c r="AZ106" i="3" s="1"/>
  <c r="BL108" i="3"/>
  <c r="G110" i="3"/>
  <c r="BL111" i="3"/>
  <c r="C5" i="68"/>
  <c r="P66" i="71"/>
  <c r="AB26" i="71"/>
  <c r="X35" i="71"/>
  <c r="X28" i="71"/>
  <c r="X32" i="71"/>
  <c r="F38" i="71"/>
  <c r="F39" i="71" s="1"/>
  <c r="F40" i="71" s="1"/>
  <c r="V40" i="71" s="1"/>
  <c r="B79" i="71"/>
  <c r="B78" i="71" s="1"/>
  <c r="BA111" i="3"/>
  <c r="AZ111" i="3" s="1"/>
  <c r="D87" i="7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F30" i="6"/>
  <c r="G30" i="6"/>
  <c r="G31" i="6" s="1"/>
  <c r="E28" i="6"/>
  <c r="K14" i="1" s="1"/>
  <c r="K16"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65" i="67"/>
  <c r="M7" i="15"/>
  <c r="J6" i="15" s="1"/>
  <c r="F50" i="15"/>
  <c r="F51" i="15"/>
  <c r="C6" i="15"/>
  <c r="F66" i="67"/>
  <c r="F66" i="15"/>
  <c r="F64" i="15"/>
  <c r="C27" i="15"/>
  <c r="F65" i="15"/>
  <c r="B13" i="70"/>
  <c r="F64" i="67"/>
  <c r="F68" i="15"/>
  <c r="D9" i="68"/>
  <c r="C76" i="67"/>
  <c r="M28" i="15"/>
  <c r="M23" i="15"/>
  <c r="D5" i="73"/>
  <c r="F9" i="67"/>
  <c r="F26" i="67"/>
  <c r="D3" i="73"/>
  <c r="F8" i="67"/>
  <c r="F27" i="69"/>
  <c r="M9" i="67"/>
  <c r="F13" i="15"/>
  <c r="M29" i="15"/>
  <c r="M6" i="67"/>
  <c r="F43" i="15"/>
  <c r="F7" i="67"/>
  <c r="F43" i="67"/>
  <c r="D9" i="69"/>
  <c r="F42" i="67"/>
  <c r="C16" i="15"/>
  <c r="F40" i="67"/>
  <c r="M22" i="67"/>
  <c r="D7" i="73"/>
  <c r="F6" i="67"/>
  <c r="D4" i="73"/>
  <c r="C36" i="69"/>
  <c r="L47" i="67"/>
  <c r="L48" i="67"/>
  <c r="M23" i="67"/>
  <c r="J15" i="67"/>
  <c r="L47" i="15"/>
  <c r="F13" i="67"/>
  <c r="L59" i="15" l="1"/>
  <c r="Q74" i="15" s="1"/>
  <c r="L58" i="15"/>
  <c r="M59" i="15"/>
  <c r="N59" i="15"/>
  <c r="F71" i="15"/>
  <c r="Q71" i="67"/>
  <c r="AZ61" i="3"/>
  <c r="AZ271" i="3"/>
  <c r="AZ219" i="3"/>
  <c r="AZ218" i="3"/>
  <c r="AZ332" i="3"/>
  <c r="AZ446" i="3"/>
  <c r="AZ422" i="3"/>
  <c r="AZ403" i="3"/>
  <c r="AZ550" i="3"/>
  <c r="W12" i="36"/>
  <c r="AC12" i="36"/>
  <c r="AC46" i="34"/>
  <c r="W46" i="34"/>
  <c r="U26" i="33"/>
  <c r="AB26" i="33"/>
  <c r="W13" i="39"/>
  <c r="AC13" i="39"/>
  <c r="AB39" i="40"/>
  <c r="U39" i="40"/>
  <c r="AA33" i="36"/>
  <c r="S33" i="36"/>
  <c r="AB23" i="36"/>
  <c r="U23" i="36"/>
  <c r="AZ130" i="3"/>
  <c r="AZ259" i="3"/>
  <c r="AZ118" i="3"/>
  <c r="AZ353" i="3"/>
  <c r="AZ428" i="3"/>
  <c r="S37" i="21"/>
  <c r="J7" i="83"/>
  <c r="AZ50" i="3"/>
  <c r="D60" i="71"/>
  <c r="T60" i="71"/>
  <c r="AZ407" i="3"/>
  <c r="S13" i="33"/>
  <c r="AA13" i="33"/>
  <c r="AB31" i="21"/>
  <c r="U31" i="21"/>
  <c r="AA35" i="39"/>
  <c r="S35" i="39"/>
  <c r="W39" i="40"/>
  <c r="AC39" i="40"/>
  <c r="U33" i="36"/>
  <c r="AB33" i="36"/>
  <c r="H7" i="83"/>
  <c r="AZ301" i="3"/>
  <c r="AC12" i="33"/>
  <c r="W12" i="33"/>
  <c r="AZ149" i="3"/>
  <c r="S7" i="83"/>
  <c r="AA7" i="83"/>
  <c r="R48" i="83" s="1"/>
  <c r="AZ240" i="3"/>
  <c r="AA44" i="39"/>
  <c r="S44" i="39"/>
  <c r="U46" i="34"/>
  <c r="AB46" i="34"/>
  <c r="AA26" i="33"/>
  <c r="S26" i="33"/>
  <c r="AB9" i="33"/>
  <c r="U9" i="33"/>
  <c r="S23" i="36"/>
  <c r="AA23" i="36"/>
  <c r="AA27" i="21"/>
  <c r="S27" i="21"/>
  <c r="AB27" i="21"/>
  <c r="U27" i="21"/>
  <c r="AC37" i="21"/>
  <c r="G89" i="21"/>
  <c r="H89" i="21" s="1"/>
  <c r="I89" i="21" s="1"/>
  <c r="F26" i="21" s="1"/>
  <c r="AA26" i="21" s="1"/>
  <c r="J26" i="21"/>
  <c r="C36" i="68"/>
  <c r="G26" i="43"/>
  <c r="J26" i="43"/>
  <c r="E59" i="40"/>
  <c r="N94" i="46"/>
  <c r="F26" i="43"/>
  <c r="E26" i="43"/>
  <c r="J53" i="67"/>
  <c r="F1" i="67" s="1"/>
  <c r="J57" i="67"/>
  <c r="J55" i="67" s="1"/>
  <c r="J58" i="67" s="1"/>
  <c r="Q50" i="67" s="1"/>
  <c r="L56" i="67"/>
  <c r="I54" i="67"/>
  <c r="F68" i="67"/>
  <c r="N59" i="67"/>
  <c r="L59" i="67"/>
  <c r="Q74" i="67" s="1"/>
  <c r="L58" i="67"/>
  <c r="Q73" i="67" s="1"/>
  <c r="M59" i="67"/>
  <c r="C27" i="67"/>
  <c r="F71" i="67"/>
  <c r="M7" i="67"/>
  <c r="J6" i="67" s="1"/>
  <c r="J18" i="67" s="1"/>
  <c r="F50" i="67"/>
  <c r="C6" i="67"/>
  <c r="C32" i="67" s="1"/>
  <c r="F31" i="67"/>
  <c r="F51" i="67"/>
  <c r="C70" i="71"/>
  <c r="D70" i="71" s="1"/>
  <c r="D71" i="71"/>
  <c r="C78" i="71"/>
  <c r="D78" i="71" s="1"/>
  <c r="D79" i="71"/>
  <c r="AZ27" i="3"/>
  <c r="D44" i="71"/>
  <c r="T44" i="71"/>
  <c r="AA25" i="37"/>
  <c r="S25" i="37"/>
  <c r="AB36" i="35"/>
  <c r="U36" i="35"/>
  <c r="W32" i="34"/>
  <c r="AC32" i="34"/>
  <c r="AB25" i="35"/>
  <c r="U25" i="35"/>
  <c r="AA37" i="39"/>
  <c r="S37" i="39"/>
  <c r="AA24" i="36"/>
  <c r="S24" i="36"/>
  <c r="S25" i="35"/>
  <c r="AA25" i="35"/>
  <c r="W12" i="34"/>
  <c r="AC12" i="34"/>
  <c r="AZ141" i="3"/>
  <c r="C52" i="71"/>
  <c r="D51" i="71"/>
  <c r="AZ126" i="3"/>
  <c r="D31" i="71"/>
  <c r="C32" i="71"/>
  <c r="AZ19" i="3"/>
  <c r="AZ137" i="3"/>
  <c r="AZ102" i="3"/>
  <c r="C36" i="71"/>
  <c r="D35" i="71"/>
  <c r="AZ252" i="3"/>
  <c r="AZ229" i="3"/>
  <c r="AZ453" i="3"/>
  <c r="AZ432" i="3"/>
  <c r="AB25" i="37"/>
  <c r="U25" i="37"/>
  <c r="U12" i="35"/>
  <c r="AB12" i="35"/>
  <c r="U32" i="34"/>
  <c r="AB32" i="34"/>
  <c r="AZ569" i="3"/>
  <c r="AC38" i="37"/>
  <c r="W38" i="37"/>
  <c r="U23" i="35"/>
  <c r="AB23" i="35"/>
  <c r="W28" i="21"/>
  <c r="AC28" i="21"/>
  <c r="AC37" i="39"/>
  <c r="W37" i="39"/>
  <c r="AB24" i="36"/>
  <c r="U24" i="36"/>
  <c r="S11" i="35"/>
  <c r="AA11" i="35"/>
  <c r="AZ585" i="3"/>
  <c r="V20" i="71"/>
  <c r="AZ108" i="3"/>
  <c r="AZ91" i="3"/>
  <c r="AZ59" i="3"/>
  <c r="C82" i="71"/>
  <c r="D82" i="71" s="1"/>
  <c r="D83" i="71"/>
  <c r="AZ55" i="3"/>
  <c r="AZ31" i="3"/>
  <c r="T28" i="71"/>
  <c r="D28" i="71"/>
  <c r="U28" i="71" s="1"/>
  <c r="C27" i="71"/>
  <c r="AZ274" i="3"/>
  <c r="AZ282" i="3"/>
  <c r="AZ241" i="3"/>
  <c r="AZ210" i="3"/>
  <c r="AZ247" i="3"/>
  <c r="AZ249" i="3"/>
  <c r="AZ251" i="3"/>
  <c r="W12" i="35"/>
  <c r="AC12" i="35"/>
  <c r="S29" i="33"/>
  <c r="AA29" i="33"/>
  <c r="U38" i="37"/>
  <c r="AB38" i="37"/>
  <c r="AC23" i="35"/>
  <c r="W23" i="35"/>
  <c r="AA28" i="21"/>
  <c r="S28" i="21"/>
  <c r="AB32" i="36"/>
  <c r="U32" i="36"/>
  <c r="AC24" i="36"/>
  <c r="W24" i="36"/>
  <c r="W11" i="35"/>
  <c r="AC11" i="35"/>
  <c r="AA45" i="21"/>
  <c r="S45" i="21"/>
  <c r="J7" i="36"/>
  <c r="J7" i="37"/>
  <c r="G5" i="3"/>
  <c r="B3" i="3" s="1"/>
  <c r="E212" i="3" s="1"/>
  <c r="O65" i="71"/>
  <c r="D66" i="71"/>
  <c r="O66" i="71"/>
  <c r="C40" i="71"/>
  <c r="D39" i="71"/>
  <c r="AZ52" i="3"/>
  <c r="AZ263" i="3"/>
  <c r="AZ214" i="3"/>
  <c r="S36" i="35"/>
  <c r="AA36" i="35"/>
  <c r="U29" i="33"/>
  <c r="AB29" i="33"/>
  <c r="AC9" i="36"/>
  <c r="W9" i="36"/>
  <c r="U45" i="21"/>
  <c r="AB45" i="21"/>
  <c r="AA32" i="36"/>
  <c r="S32" i="36"/>
  <c r="W25" i="35"/>
  <c r="AC25" i="35"/>
  <c r="U12" i="34"/>
  <c r="AB12" i="34"/>
  <c r="W45" i="21"/>
  <c r="AC45" i="21"/>
  <c r="K1" i="73"/>
  <c r="E199" i="3"/>
  <c r="E286" i="3"/>
  <c r="E442" i="3"/>
  <c r="E430" i="3"/>
  <c r="E554" i="3"/>
  <c r="E435" i="3"/>
  <c r="E37" i="3"/>
  <c r="E95" i="3"/>
  <c r="E363" i="3"/>
  <c r="E389" i="3"/>
  <c r="E425" i="3"/>
  <c r="E467" i="3"/>
  <c r="E267" i="3"/>
  <c r="E300" i="3"/>
  <c r="E84" i="3"/>
  <c r="E144" i="3"/>
  <c r="E68" i="3"/>
  <c r="E63" i="3"/>
  <c r="E21" i="3"/>
  <c r="E494" i="3"/>
  <c r="AL6" i="3"/>
  <c r="E482" i="3"/>
  <c r="E235" i="3"/>
  <c r="E522" i="3"/>
  <c r="E251" i="3"/>
  <c r="AF6" i="3"/>
  <c r="E308" i="3"/>
  <c r="E205" i="3"/>
  <c r="E525" i="3"/>
  <c r="E534" i="3"/>
  <c r="E469" i="3"/>
  <c r="E512" i="3"/>
  <c r="E556" i="3"/>
  <c r="E13" i="3"/>
  <c r="E26" i="3"/>
  <c r="E104" i="3"/>
  <c r="E243" i="3"/>
  <c r="E356"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AE11" i="1"/>
  <c r="AE9" i="1"/>
  <c r="F27" i="68"/>
  <c r="AE7" i="1"/>
  <c r="AE8" i="1"/>
  <c r="AE12" i="1"/>
  <c r="AE10" i="1"/>
  <c r="G1" i="73"/>
  <c r="AE6" i="1"/>
  <c r="C16" i="67"/>
  <c r="Q61" i="15" l="1"/>
  <c r="AC7" i="83"/>
  <c r="V48" i="83" s="1"/>
  <c r="I48" i="83" s="1"/>
  <c r="W7" i="83"/>
  <c r="U7" i="83"/>
  <c r="AB7" i="83"/>
  <c r="T48" i="83" s="1"/>
  <c r="G48" i="83" s="1"/>
  <c r="H6" i="3"/>
  <c r="E43" i="3"/>
  <c r="E333" i="3"/>
  <c r="E202" i="3"/>
  <c r="E40" i="3"/>
  <c r="E498" i="3"/>
  <c r="E490" i="3"/>
  <c r="E486" i="3"/>
  <c r="E493" i="3"/>
  <c r="E223" i="3"/>
  <c r="E83" i="3"/>
  <c r="E370" i="3"/>
  <c r="E342" i="3"/>
  <c r="E78" i="3"/>
  <c r="E225" i="3"/>
  <c r="E470" i="3"/>
  <c r="E360" i="3"/>
  <c r="E456" i="3"/>
  <c r="E197" i="3"/>
  <c r="E287" i="3"/>
  <c r="E206" i="3"/>
  <c r="E129" i="3"/>
  <c r="E391" i="3"/>
  <c r="E309" i="3"/>
  <c r="E233" i="3"/>
  <c r="E23" i="3"/>
  <c r="E160" i="3"/>
  <c r="E59" i="3"/>
  <c r="E241" i="3"/>
  <c r="E56" i="3"/>
  <c r="I3" i="6"/>
  <c r="E502" i="3"/>
  <c r="E536" i="3"/>
  <c r="E15" i="3"/>
  <c r="E60" i="3"/>
  <c r="E346" i="3"/>
  <c r="E178" i="3"/>
  <c r="E463" i="3"/>
  <c r="J6" i="3"/>
  <c r="E440" i="3"/>
  <c r="E427" i="3"/>
  <c r="E393" i="3"/>
  <c r="E188" i="3"/>
  <c r="E326" i="3"/>
  <c r="E232" i="3"/>
  <c r="E324" i="3"/>
  <c r="E412" i="3"/>
  <c r="E41" i="3"/>
  <c r="E452" i="3"/>
  <c r="E451" i="3"/>
  <c r="T6" i="3"/>
  <c r="E140" i="3"/>
  <c r="E113" i="3"/>
  <c r="E86" i="3"/>
  <c r="E18" i="3"/>
  <c r="E332" i="3"/>
  <c r="E264" i="3"/>
  <c r="E184" i="3"/>
  <c r="E310" i="3"/>
  <c r="E64" i="3"/>
  <c r="E76" i="3"/>
  <c r="E258" i="3"/>
  <c r="E491" i="3"/>
  <c r="E449" i="3"/>
  <c r="R6" i="3"/>
  <c r="E510" i="3"/>
  <c r="E48" i="83"/>
  <c r="R49" i="83"/>
  <c r="D26" i="43"/>
  <c r="S26" i="21"/>
  <c r="J89" i="21"/>
  <c r="K89" i="21" s="1"/>
  <c r="L89" i="21" s="1"/>
  <c r="M89" i="21" s="1"/>
  <c r="H26" i="21"/>
  <c r="W26" i="21"/>
  <c r="AC26" i="21"/>
  <c r="C28" i="43"/>
  <c r="T9" i="43" s="1"/>
  <c r="V9" i="43" s="1"/>
  <c r="Q61" i="67"/>
  <c r="Q52" i="67"/>
  <c r="E428" i="3"/>
  <c r="E115" i="3"/>
  <c r="E420" i="3"/>
  <c r="E497" i="3"/>
  <c r="E408" i="3"/>
  <c r="E405" i="3"/>
  <c r="E173" i="3"/>
  <c r="E22" i="3"/>
  <c r="E102" i="3"/>
  <c r="E34" i="3"/>
  <c r="E174" i="3"/>
  <c r="E75" i="3"/>
  <c r="E198" i="3"/>
  <c r="E283" i="3"/>
  <c r="E381" i="3"/>
  <c r="E67" i="3"/>
  <c r="E371" i="3"/>
  <c r="E103" i="3"/>
  <c r="E409" i="3"/>
  <c r="E349" i="3"/>
  <c r="E192" i="3"/>
  <c r="E417" i="3"/>
  <c r="AP6" i="3"/>
  <c r="AC6" i="3" s="1"/>
  <c r="E6" i="3" s="1"/>
  <c r="E541" i="3"/>
  <c r="E575" i="3"/>
  <c r="E539" i="3"/>
  <c r="C49" i="67"/>
  <c r="E3" i="6"/>
  <c r="M17" i="67"/>
  <c r="Q60" i="67"/>
  <c r="J5" i="67"/>
  <c r="J24" i="67" s="1"/>
  <c r="F59" i="67"/>
  <c r="E383" i="3"/>
  <c r="E96" i="3"/>
  <c r="E42" i="3"/>
  <c r="E281" i="3"/>
  <c r="E513" i="3"/>
  <c r="E81" i="3"/>
  <c r="E355" i="3"/>
  <c r="E33" i="3"/>
  <c r="E492" i="3"/>
  <c r="E249" i="3"/>
  <c r="E46" i="3"/>
  <c r="E484" i="3"/>
  <c r="E544" i="3"/>
  <c r="E292" i="3"/>
  <c r="E152" i="3"/>
  <c r="E479" i="3"/>
  <c r="E517" i="3"/>
  <c r="E255" i="3"/>
  <c r="E466" i="3"/>
  <c r="E499" i="3"/>
  <c r="T40" i="71"/>
  <c r="D40" i="71"/>
  <c r="C26" i="71"/>
  <c r="D26" i="71" s="1"/>
  <c r="D27" i="71"/>
  <c r="D36" i="71"/>
  <c r="T36" i="71"/>
  <c r="T32" i="71"/>
  <c r="D32" i="71"/>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F41" i="67"/>
  <c r="F41" i="15"/>
  <c r="M27" i="15"/>
  <c r="M27" i="67"/>
  <c r="C48" i="83" l="1"/>
  <c r="C49" i="83"/>
  <c r="G53" i="83"/>
  <c r="H53" i="83" s="1"/>
  <c r="G52" i="83"/>
  <c r="H52" i="83" s="1"/>
  <c r="E52" i="83"/>
  <c r="F52" i="83" s="1"/>
  <c r="E53" i="83"/>
  <c r="F53" i="83" s="1"/>
  <c r="I52" i="83"/>
  <c r="J52" i="83" s="1"/>
  <c r="I53" i="83"/>
  <c r="J53" i="83" s="1"/>
  <c r="G54" i="34"/>
  <c r="H54" i="34" s="1"/>
  <c r="F69" i="67"/>
  <c r="AB26" i="21"/>
  <c r="U26" i="21"/>
  <c r="C42" i="43"/>
  <c r="E42" i="43" s="1"/>
  <c r="C39" i="43"/>
  <c r="T4" i="43"/>
  <c r="V4" i="43" s="1"/>
  <c r="C38" i="43"/>
  <c r="G38" i="43" s="1"/>
  <c r="I38" i="43" s="1"/>
  <c r="T7" i="43"/>
  <c r="V7" i="43" s="1"/>
  <c r="C41" i="43"/>
  <c r="T11" i="43"/>
  <c r="V11" i="43" s="1"/>
  <c r="T2" i="43"/>
  <c r="V2" i="43" s="1"/>
  <c r="C40" i="43"/>
  <c r="T10" i="43"/>
  <c r="V10" i="43" s="1"/>
  <c r="T15" i="43"/>
  <c r="V15" i="43" s="1"/>
  <c r="T5" i="43"/>
  <c r="V5" i="43" s="1"/>
  <c r="T14" i="43"/>
  <c r="V14" i="43" s="1"/>
  <c r="C37" i="43"/>
  <c r="G37" i="43" s="1"/>
  <c r="I37" i="43" s="1"/>
  <c r="T6" i="43"/>
  <c r="V6" i="43" s="1"/>
  <c r="T8" i="43"/>
  <c r="V8" i="43" s="1"/>
  <c r="T16" i="43"/>
  <c r="V16" i="43" s="1"/>
  <c r="T13" i="43"/>
  <c r="V13" i="43" s="1"/>
  <c r="C33" i="43"/>
  <c r="C6" i="69" s="1"/>
  <c r="C7" i="69" s="1"/>
  <c r="T3" i="43"/>
  <c r="V3" i="43" s="1"/>
  <c r="T12" i="43"/>
  <c r="V12" i="43" s="1"/>
  <c r="F22" i="11"/>
  <c r="F24" i="67"/>
  <c r="C24" i="67" s="1"/>
  <c r="C48" i="67"/>
  <c r="C66"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D10" i="69"/>
  <c r="C14" i="67"/>
  <c r="C34" i="69"/>
  <c r="C17" i="67"/>
  <c r="C17" i="15"/>
  <c r="M19" i="9" l="1"/>
  <c r="C118" i="9" s="1"/>
  <c r="B2" i="74" s="1"/>
  <c r="B2" i="83"/>
  <c r="B3" i="83"/>
  <c r="C25" i="11"/>
  <c r="E33" i="43"/>
  <c r="C23" i="11"/>
  <c r="E38" i="43"/>
  <c r="F41" i="68"/>
  <c r="C44" i="11"/>
  <c r="D41" i="11" s="1"/>
  <c r="C26" i="11"/>
  <c r="D22" i="11" s="1"/>
  <c r="C24" i="11"/>
  <c r="C44" i="69"/>
  <c r="D41" i="69" s="1"/>
  <c r="C60" i="67"/>
  <c r="C23" i="68"/>
  <c r="C44" i="68"/>
  <c r="D41" i="68" s="1"/>
  <c r="C26" i="69"/>
  <c r="D22" i="69" s="1"/>
  <c r="C16" i="71"/>
  <c r="D17"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0"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J48" i="35"/>
  <c r="E6" i="76"/>
  <c r="E2" i="76" l="1"/>
  <c r="B2" i="43"/>
  <c r="H7" i="21"/>
  <c r="U7" i="21" s="1"/>
  <c r="P58" i="21"/>
  <c r="Q58" i="21" s="1"/>
  <c r="R58" i="21" s="1"/>
  <c r="S58" i="21" s="1"/>
  <c r="T58" i="21" s="1"/>
  <c r="U58" i="21" s="1"/>
  <c r="V58" i="21" s="1"/>
  <c r="W58" i="21" s="1"/>
  <c r="X58" i="21" s="1"/>
  <c r="Y58" i="2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B6" i="76"/>
  <c r="B2" i="76" l="1"/>
  <c r="B3" i="76" s="1"/>
  <c r="B3" i="43"/>
  <c r="AB7" i="21"/>
  <c r="T48" i="21" s="1"/>
  <c r="G48" i="2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C20" i="9"/>
  <c r="D19" i="9"/>
  <c r="D2" i="34"/>
  <c r="C103" i="9" l="1"/>
  <c r="D22" i="9"/>
  <c r="G19"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9" i="1"/>
  <c r="AO10" i="1"/>
  <c r="AO11" i="1"/>
  <c r="AO6" i="1"/>
  <c r="AO8" i="1"/>
  <c r="D20" i="9"/>
  <c r="G21" i="9" l="1"/>
  <c r="D14" i="74"/>
  <c r="G20" i="9"/>
  <c r="R24" i="31" s="1"/>
  <c r="T24" i="31" s="1"/>
  <c r="U24" i="31"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5" i="31"/>
  <c r="C32" i="9"/>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5" i="31" l="1"/>
  <c r="S22" i="31" s="1"/>
  <c r="T25" i="31"/>
  <c r="U25" i="31" s="1"/>
  <c r="D6" i="71"/>
  <c r="C5" i="71"/>
  <c r="D5" i="71" s="1"/>
  <c r="M24" i="43" s="1"/>
  <c r="C42" i="40"/>
  <c r="C43" i="40"/>
  <c r="E47" i="40"/>
  <c r="F47" i="40" s="1"/>
  <c r="E46" i="40"/>
  <c r="F46" i="40" s="1"/>
  <c r="I47" i="40"/>
  <c r="J47" i="40" s="1"/>
  <c r="R22" i="31" l="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81" i="9"/>
  <c r="E80" i="9"/>
  <c r="C80" i="9"/>
  <c r="B48" i="72"/>
  <c r="E4" i="52"/>
  <c r="C86" i="9"/>
  <c r="C93" i="9"/>
  <c r="D9" i="52"/>
  <c r="D123" i="9"/>
  <c r="B31" i="72"/>
  <c r="D15" i="53"/>
  <c r="B51" i="72"/>
  <c r="F4" i="52"/>
  <c r="B53" i="72"/>
  <c r="F5" i="52"/>
  <c r="F119" i="9"/>
  <c r="B21" i="72"/>
  <c r="D7" i="53"/>
  <c r="H102" i="9"/>
  <c r="C5" i="74"/>
  <c r="B47" i="72"/>
  <c r="D4" i="52"/>
  <c r="E97" i="9"/>
  <c r="C96" i="9"/>
  <c r="E96" i="9"/>
  <c r="C72" i="9"/>
  <c r="C79" i="9"/>
  <c r="C81" i="9"/>
  <c r="H5" i="52"/>
  <c r="H119" i="9"/>
  <c r="E118" i="9"/>
  <c r="D118" i="9"/>
  <c r="D119" i="9"/>
  <c r="D5" i="52"/>
  <c r="B49" i="72"/>
  <c r="D54" i="9"/>
  <c r="C68" i="9"/>
  <c r="M54" i="9"/>
  <c r="C85" i="9"/>
  <c r="C95" i="9"/>
  <c r="C97" i="9"/>
  <c r="D58" i="9"/>
  <c r="D56" i="9"/>
  <c r="B20" i="72"/>
  <c r="B52" i="72"/>
  <c r="F118" i="9"/>
  <c r="G118" i="9"/>
  <c r="G4" i="52"/>
  <c r="D5" i="53"/>
  <c r="D6" i="53"/>
  <c r="B22" i="72"/>
  <c r="H108" i="9"/>
  <c r="C6" i="74"/>
  <c r="B32" i="72"/>
  <c r="D14" i="53"/>
  <c r="C73" i="9"/>
  <c r="C78" i="9"/>
  <c r="C105" i="9"/>
  <c r="I4" i="52"/>
  <c r="D52" i="9"/>
  <c r="D53" i="9"/>
  <c r="D122" i="9"/>
  <c r="D8" i="52"/>
  <c r="N58" i="9"/>
  <c r="P57" i="9"/>
  <c r="N61" i="9"/>
  <c r="D55" i="9"/>
  <c r="M53" i="9"/>
  <c r="N57" i="9"/>
  <c r="N59" i="9"/>
  <c r="N60" i="9"/>
  <c r="C104" i="9"/>
  <c r="H4" i="52"/>
  <c r="M48" i="9"/>
  <c r="D45" i="9"/>
  <c r="C64" i="9"/>
  <c r="C63" i="9"/>
  <c r="C67" i="9"/>
  <c r="D59" i="9"/>
  <c r="M55" i="9"/>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<sst xmlns="http://schemas.openxmlformats.org/spreadsheetml/2006/main" count="8453" uniqueCount="3560">
  <si>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</si>
  <si>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</si>
  <si>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</si>
  <si>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</si>
  <si>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</si>
  <si>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</si>
  <si>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</si>
  <si>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</si>
  <si>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</si>
  <si>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</si>
  <si>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</si>
  <si>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</si>
  <si>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</si>
  <si>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</si>
  <si>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</si>
  <si>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</si>
  <si>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</si>
  <si>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</si>
  <si>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</si>
  <si>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</si>
  <si>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</si>
  <si>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</si>
  <si>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</si>
  <si>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</si>
  <si>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</si>
  <si>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</si>
  <si>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</si>
  <si>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</si>
  <si>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</si>
  <si>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</si>
  <si>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</si>
  <si>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</si>
  <si>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</si>
  <si>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</si>
  <si>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</si>
  <si>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</si>
  <si>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</si>
  <si>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</si>
  <si>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</si>
  <si>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</si>
  <si>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</si>
  <si>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</si>
  <si>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</si>
  <si>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</si>
  <si>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</si>
  <si>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</si>
  <si>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</si>
  <si>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</si>
  <si>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</si>
  <si>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</si>
  <si>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</si>
  <si>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</si>
  <si>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</si>
  <si>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</si>
  <si>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</si>
  <si>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</si>
  <si>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</si>
  <si>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</si>
  <si>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</si>
  <si>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</si>
  <si>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</si>
  <si>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</si>
  <si>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</si>
  <si>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</si>
  <si>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</si>
  <si>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</si>
  <si>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</si>
  <si>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</si>
  <si>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</si>
  <si>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</si>
  <si>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</si>
  <si>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</si>
  <si>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</si>
  <si>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</si>
  <si>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</si>
  <si>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</si>
  <si>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</si>
  <si>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</si>
  <si>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</si>
  <si>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</si>
  <si>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</si>
  <si>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</si>
  <si>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</si>
  <si>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</si>
  <si>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</si>
  <si>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</si>
  <si>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</si>
  <si>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</si>
  <si>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</si>
  <si>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</si>
  <si>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</si>
  <si>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</si>
  <si>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</si>
  <si>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</si>
  <si>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</si>
  <si>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</si>
  <si>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</si>
  <si>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</si>
  <si>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</si>
  <si>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</si>
  <si>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</si>
  <si>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</si>
  <si>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</si>
  <si>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</si>
  <si>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</si>
  <si>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</si>
  <si>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</si>
  <si>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</si>
  <si>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</si>
  <si>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</si>
  <si>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</si>
  <si>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</si>
  <si>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</si>
  <si>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</si>
  <si>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</si>
  <si>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</si>
  <si>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</si>
  <si>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</si>
  <si>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</si>
  <si>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</si>
  <si>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</si>
  <si>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</si>
  <si>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</si>
  <si>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</si>
  <si>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</si>
  <si>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</si>
  <si>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</si>
  <si>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</si>
  <si>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</si>
  <si>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</si>
  <si>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</si>
  <si>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</si>
  <si>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</si>
  <si>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</si>
  <si>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</si>
  <si>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</si>
  <si>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</si>
  <si>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</si>
  <si>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</si>
  <si>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</si>
  <si>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</si>
  <si>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</si>
  <si>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</si>
  <si>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</si>
  <si>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</si>
  <si>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</si>
  <si>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</si>
  <si>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</si>
  <si>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</si>
  <si>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</si>
  <si>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</si>
  <si>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</si>
  <si>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</si>
  <si>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</si>
  <si>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</si>
  <si>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</si>
  <si>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</si>
  <si>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</si>
  <si>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</si>
  <si>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</si>
  <si>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</si>
  <si>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</si>
  <si>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</si>
  <si>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</si>
  <si>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</si>
  <si>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</si>
  <si>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</si>
  <si>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</si>
  <si>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</si>
  <si>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</si>
  <si>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</si>
  <si>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</si>
  <si>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</si>
  <si>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</si>
  <si>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</si>
  <si>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</si>
  <si>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</si>
  <si>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</si>
  <si>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</si>
  <si>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</si>
  <si>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</si>
  <si>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</si>
  <si>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</si>
  <si>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</si>
  <si>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</si>
  <si>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</si>
  <si>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</si>
  <si>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</si>
  <si>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</si>
  <si>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</si>
  <si>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</si>
  <si>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</si>
  <si>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</si>
  <si>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</si>
  <si>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</si>
  <si>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</si>
  <si>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</si>
  <si>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</si>
  <si>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</si>
  <si>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</si>
  <si>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</si>
  <si>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</si>
  <si>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</si>
  <si>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</si>
  <si>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</si>
  <si>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</si>
  <si>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</si>
  <si>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</si>
  <si>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</si>
  <si>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</si>
  <si>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</si>
  <si>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</si>
  <si>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</si>
  <si>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</si>
  <si>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</si>
  <si>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</si>
  <si>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</si>
  <si>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</si>
  <si>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</si>
  <si>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</si>
  <si>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</si>
  <si>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</si>
  <si>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</si>
  <si>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</si>
  <si>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</si>
  <si>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</si>
  <si>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</si>
  <si>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</si>
  <si>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</si>
  <si>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</si>
  <si>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</si>
  <si>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</si>
  <si>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</si>
  <si>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</si>
  <si>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</si>
  <si>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</si>
  <si>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</si>
  <si>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</si>
  <si>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</si>
  <si>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</si>
  <si>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</si>
  <si>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</si>
  <si>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</si>
  <si>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</si>
  <si>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</si>
  <si>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</si>
  <si>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</si>
  <si>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</si>
  <si>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</si>
  <si>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</si>
  <si>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</si>
  <si>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</si>
  <si>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</si>
  <si>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</si>
  <si>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</si>
  <si>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</si>
  <si>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</si>
  <si>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</si>
  <si>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</si>
  <si>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</si>
  <si>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</si>
  <si>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</si>
  <si>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</si>
  <si>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</si>
  <si>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</si>
  <si>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</si>
  <si>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</si>
  <si>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</si>
  <si>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</si>
  <si>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</si>
  <si>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</si>
  <si>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</si>
  <si>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</si>
  <si>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</si>
  <si>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</si>
  <si>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</si>
  <si>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</si>
  <si>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</si>
  <si>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</si>
  <si>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</si>
  <si>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</si>
  <si>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</si>
  <si>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</si>
  <si>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</si>
  <si>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</si>
  <si>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</si>
  <si>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</si>
  <si>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</si>
  <si>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</si>
  <si>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</si>
  <si>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</si>
  <si>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</si>
  <si>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</si>
  <si>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</si>
  <si>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</si>
  <si>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</si>
  <si>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</si>
  <si>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</si>
  <si>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</si>
  <si>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</si>
  <si>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</si>
  <si>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</si>
  <si>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</si>
  <si>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</si>
  <si>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</si>
  <si>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</si>
  <si>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</si>
  <si>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</si>
  <si>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</si>
  <si>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</si>
  <si>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</si>
  <si>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</si>
  <si>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</si>
  <si>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</si>
  <si>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</si>
  <si>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</si>
  <si>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</si>
  <si>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</si>
  <si>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</si>
  <si>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</si>
  <si>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</si>
  <si>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</si>
  <si>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</si>
  <si>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</si>
  <si>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</si>
  <si>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</si>
  <si>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</si>
  <si>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</si>
  <si>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</si>
  <si>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</si>
  <si>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</si>
  <si>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</si>
  <si>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</si>
  <si>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</si>
  <si>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</si>
  <si>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</si>
  <si>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</si>
  <si>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</si>
  <si>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</si>
  <si>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</si>
  <si>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</si>
  <si>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</si>
  <si>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</si>
  <si>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</si>
  <si>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</si>
  <si>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</si>
  <si>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</si>
  <si>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</si>
  <si>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</si>
  <si>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</si>
  <si>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</si>
  <si>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</si>
  <si>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</si>
  <si>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</si>
  <si>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</si>
  <si>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</si>
  <si>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</si>
  <si>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</si>
  <si>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</si>
  <si>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</si>
  <si>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</si>
  <si>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</si>
  <si>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</si>
  <si>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</si>
  <si>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</si>
  <si>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</si>
  <si>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</si>
  <si>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</si>
  <si>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</si>
  <si>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</si>
  <si>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</si>
  <si>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</si>
  <si>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</si>
  <si>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</si>
  <si>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</si>
  <si>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</si>
  <si>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</si>
  <si>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</si>
  <si>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</si>
  <si>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</si>
  <si>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</si>
  <si>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</si>
  <si>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</si>
  <si>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</si>
  <si>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</si>
  <si>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</si>
  <si>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</si>
  <si>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</si>
  <si>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</si>
  <si>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</si>
  <si>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</si>
  <si>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</si>
  <si>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</si>
  <si>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</si>
  <si>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</si>
  <si>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</si>
  <si>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</si>
  <si>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</si>
  <si>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</si>
  <si>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</si>
  <si>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</si>
  <si>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</si>
  <si>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</si>
  <si>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</si>
  <si>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</si>
  <si>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</si>
  <si>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</si>
  <si>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</si>
  <si>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</si>
  <si>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</si>
  <si>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</si>
  <si>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</si>
  <si>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</si>
  <si>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</si>
  <si>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</si>
  <si>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</si>
  <si>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</si>
  <si>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</si>
  <si>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</si>
  <si>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</si>
  <si>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</si>
  <si>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</si>
  <si>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</si>
  <si>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</si>
  <si>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</si>
  <si>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</si>
  <si>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</si>
  <si>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</si>
  <si>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</si>
  <si>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</si>
  <si>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</si>
  <si>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</si>
  <si>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</si>
  <si>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</si>
  <si>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</si>
  <si>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</si>
  <si>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</si>
  <si>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</si>
  <si>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</si>
  <si>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</si>
  <si>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</si>
  <si>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</si>
  <si>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</si>
  <si>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</si>
  <si>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</si>
  <si>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</si>
  <si>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</si>
  <si>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</si>
  <si>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</si>
  <si>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</si>
  <si>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</si>
  <si>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</si>
  <si>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</si>
  <si>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</si>
  <si>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</si>
  <si>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</si>
  <si>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</si>
  <si>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</si>
  <si>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</si>
  <si>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</si>
  <si>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</si>
  <si>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</si>
  <si>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</si>
  <si>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</si>
  <si>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</si>
  <si>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</si>
  <si>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</si>
  <si>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</si>
  <si>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</si>
  <si>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</si>
  <si>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</si>
  <si>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</si>
  <si>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</si>
  <si>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</si>
  <si>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</si>
  <si>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</si>
  <si>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</si>
  <si>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</si>
  <si>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</si>
  <si>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</si>
  <si>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</si>
  <si>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</si>
  <si>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</si>
  <si>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</si>
  <si>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</si>
  <si>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</si>
  <si>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</si>
  <si>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</si>
  <si>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</si>
  <si>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</si>
  <si>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</si>
  <si>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</si>
  <si>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</si>
  <si>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</si>
  <si>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</si>
  <si>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</si>
  <si>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</si>
  <si>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</si>
  <si>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</si>
  <si>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</si>
  <si>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</si>
  <si>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</si>
  <si>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</si>
  <si>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</si>
  <si>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</si>
  <si>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</si>
  <si>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</si>
  <si>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</si>
  <si>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</si>
  <si>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</si>
  <si>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</si>
  <si>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</si>
  <si>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</si>
  <si>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</si>
  <si>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</si>
  <si>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</si>
  <si>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</si>
  <si>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</si>
  <si>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</si>
  <si>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</si>
  <si>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</si>
  <si>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</si>
  <si>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</si>
  <si>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</si>
  <si>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</si>
  <si>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</si>
  <si>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</si>
  <si>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</si>
  <si>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</si>
  <si>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</si>
  <si>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</si>
  <si>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</si>
  <si>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</si>
  <si>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</si>
  <si>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</si>
  <si>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</si>
  <si>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</si>
  <si>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</si>
  <si>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</si>
  <si>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</si>
  <si>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</si>
  <si>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</si>
  <si>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</si>
  <si>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</si>
  <si>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</si>
  <si>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</si>
  <si>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</si>
  <si>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</si>
  <si>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</si>
  <si>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</si>
  <si>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</si>
  <si>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</si>
  <si>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</si>
  <si>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</si>
  <si>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</si>
  <si>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</si>
  <si>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</si>
  <si>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</si>
  <si>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</si>
  <si>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</si>
  <si>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</si>
  <si>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</si>
  <si>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</si>
  <si>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</si>
  <si>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</si>
  <si>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</si>
  <si>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</si>
  <si>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</si>
  <si>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</si>
  <si>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</si>
  <si>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</si>
  <si>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</si>
  <si>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</si>
  <si>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</si>
  <si>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</si>
  <si>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</si>
  <si>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</si>
  <si>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</si>
  <si>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</si>
  <si>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</si>
  <si>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</si>
  <si>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</si>
  <si>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</si>
  <si>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</si>
  <si>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</si>
  <si>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</si>
  <si>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</si>
  <si>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</si>
  <si>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</si>
  <si>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</si>
  <si>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</si>
  <si>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</si>
  <si>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</si>
  <si>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</si>
  <si>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</si>
  <si>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</si>
  <si>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</si>
  <si>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</si>
  <si>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</si>
  <si>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</si>
  <si>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</si>
  <si>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</si>
  <si>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</si>
  <si>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</si>
  <si>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</si>
  <si>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</si>
  <si>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</si>
  <si>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</si>
  <si>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</si>
  <si>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</si>
  <si>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</si>
  <si>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</si>
  <si>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</si>
  <si>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</si>
  <si>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</si>
  <si>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</si>
  <si>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</si>
  <si>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</si>
  <si>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</si>
  <si>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</si>
  <si>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</si>
  <si>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</si>
  <si>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</si>
  <si>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</si>
  <si>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</si>
  <si>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</si>
  <si>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</si>
  <si>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</si>
  <si>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</si>
  <si>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</si>
  <si>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</si>
  <si>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</si>
  <si>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</si>
  <si>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</si>
  <si>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</si>
  <si>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</si>
  <si>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</si>
  <si>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</si>
  <si>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</si>
  <si>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</si>
  <si>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</si>
  <si>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</si>
  <si>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</si>
  <si>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</si>
  <si>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</si>
  <si>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</si>
  <si>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</si>
  <si>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</si>
  <si>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</si>
  <si>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</si>
  <si>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</si>
  <si>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</si>
  <si>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</si>
  <si>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</si>
  <si>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</si>
  <si>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</si>
  <si>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</si>
  <si>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</si>
  <si>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</si>
  <si>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</si>
  <si>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</si>
  <si>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</si>
  <si>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</si>
  <si>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</si>
  <si>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</si>
  <si>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</si>
  <si>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</si>
  <si>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</si>
  <si>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</si>
  <si>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</si>
  <si>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</si>
  <si>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</si>
  <si>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</si>
  <si>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</si>
  <si>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</si>
  <si>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</si>
  <si>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</si>
  <si>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</si>
  <si>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</si>
  <si>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</si>
  <si>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</si>
  <si>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</si>
  <si>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</si>
  <si>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</si>
  <si>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</si>
  <si>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</si>
  <si>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</si>
  <si>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</si>
  <si>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</si>
  <si>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</si>
  <si>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</si>
  <si>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</si>
  <si>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</si>
  <si>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</si>
  <si>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</si>
  <si>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</si>
  <si>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</si>
  <si>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</si>
  <si>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</si>
  <si>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</si>
  <si>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</si>
  <si>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</si>
  <si>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</si>
  <si>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</si>
  <si>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</si>
  <si>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</si>
  <si>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</si>
  <si>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</si>
  <si>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</si>
  <si>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</si>
  <si>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</si>
  <si>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</si>
  <si>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</si>
  <si>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</si>
  <si>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</si>
  <si>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</si>
  <si>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</si>
  <si>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</si>
  <si>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</si>
  <si>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</si>
  <si>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</si>
  <si>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</si>
  <si>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</si>
  <si>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</si>
  <si>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</si>
  <si>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</si>
  <si>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</si>
  <si>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</si>
  <si>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</si>
  <si>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</si>
  <si>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</si>
  <si>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</si>
  <si>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</si>
  <si>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</si>
  <si>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</si>
  <si>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</si>
  <si>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</si>
  <si>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</si>
  <si>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</si>
  <si>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</si>
  <si>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</si>
  <si>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</si>
  <si>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</si>
  <si>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</si>
  <si>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</si>
  <si>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</si>
  <si>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</si>
  <si>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</si>
  <si>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</si>
  <si>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</si>
  <si>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</si>
  <si>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</si>
  <si>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</si>
  <si>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</si>
  <si>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</si>
  <si>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</si>
  <si>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</si>
  <si>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</si>
  <si>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</si>
  <si>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</si>
  <si>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</si>
  <si>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</si>
  <si>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</si>
  <si>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</si>
  <si>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</si>
  <si>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</si>
  <si>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</si>
  <si>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</si>
  <si>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</si>
  <si>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</si>
  <si>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</si>
  <si>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</si>
  <si>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</si>
  <si>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</si>
  <si>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</si>
  <si>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</si>
  <si>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</si>
  <si>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</si>
  <si>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</si>
  <si>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</si>
  <si>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</si>
  <si>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</si>
  <si>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</si>
  <si>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</si>
  <si>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</si>
  <si>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</si>
  <si>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</si>
  <si>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</si>
  <si>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</si>
  <si>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</si>
  <si>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</si>
  <si>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</si>
  <si>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</si>
  <si>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</si>
  <si>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</si>
  <si>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</si>
  <si>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</si>
  <si>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</si>
  <si>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</si>
  <si>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</si>
  <si>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</si>
  <si>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</si>
  <si>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</si>
  <si>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</si>
  <si>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</si>
  <si>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</si>
  <si>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</si>
  <si>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</si>
  <si>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</si>
  <si>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</si>
  <si>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</si>
  <si>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</si>
  <si>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</si>
  <si>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</si>
  <si>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</si>
  <si>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</si>
  <si>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</si>
  <si>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</si>
  <si>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</si>
  <si>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</si>
  <si>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</si>
  <si>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</si>
  <si>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</si>
  <si>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</si>
  <si>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</si>
  <si>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</si>
  <si>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</si>
  <si>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</si>
  <si>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</si>
  <si>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</si>
  <si>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</si>
  <si>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</si>
  <si>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</si>
  <si>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</si>
  <si>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</si>
  <si>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</si>
  <si>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</si>
  <si>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</si>
  <si>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</si>
  <si>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</si>
  <si>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</si>
  <si>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</si>
  <si>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</si>
  <si>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</si>
  <si>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</si>
  <si>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</si>
  <si>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</si>
  <si>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</si>
  <si>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</si>
  <si>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</si>
  <si>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</si>
  <si>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</si>
  <si>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</si>
  <si>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</si>
  <si>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</si>
  <si>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</si>
  <si>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</si>
  <si>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</si>
  <si>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</si>
  <si>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</si>
  <si>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</si>
  <si>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</si>
  <si>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</si>
  <si>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</si>
  <si>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</si>
  <si>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</si>
  <si>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</si>
  <si>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</si>
  <si>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</si>
  <si>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</si>
  <si>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</si>
  <si>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</si>
  <si>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</si>
  <si>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</si>
  <si>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</si>
  <si>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</si>
  <si>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</si>
  <si>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</si>
  <si>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</si>
  <si>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</si>
  <si>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</si>
  <si>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</si>
  <si>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</si>
  <si>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</si>
  <si>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</si>
  <si>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</si>
  <si>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</si>
  <si>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</si>
  <si>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</si>
  <si>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</si>
  <si>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</si>
  <si>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</si>
  <si>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</si>
  <si>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</si>
  <si>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</si>
  <si>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</si>
  <si>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</si>
  <si>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</si>
  <si>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</si>
  <si>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</si>
  <si>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</si>
  <si>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</si>
  <si>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</si>
  <si>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</si>
  <si>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</si>
  <si>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</si>
  <si>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</si>
  <si>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</si>
  <si>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</si>
  <si>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</si>
  <si>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</si>
  <si>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</si>
  <si>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</si>
  <si>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</si>
  <si>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</si>
  <si>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</si>
  <si>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</si>
  <si>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</si>
  <si>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</si>
  <si>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</si>
  <si>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</si>
  <si>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</si>
  <si>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</si>
  <si>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</si>
  <si>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</si>
  <si>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</si>
  <si>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</si>
  <si>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</si>
  <si>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</si>
  <si>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</si>
  <si>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</si>
  <si>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</si>
  <si>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</si>
  <si>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</si>
  <si>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</si>
  <si>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</si>
  <si>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</si>
  <si>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</si>
  <si>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</si>
  <si>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</si>
  <si>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</si>
  <si>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</si>
  <si>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</si>
  <si>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</si>
  <si>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</si>
  <si>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</si>
  <si>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</si>
  <si>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</si>
  <si>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</si>
  <si>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</si>
  <si>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</si>
  <si>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</si>
  <si>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</si>
  <si>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</si>
  <si>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</si>
  <si>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</si>
  <si>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</si>
  <si>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</si>
  <si>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</si>
  <si>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</si>
  <si>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</si>
  <si>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</si>
  <si>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</si>
  <si>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</si>
  <si>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</si>
  <si>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</si>
  <si>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</si>
  <si>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</si>
  <si>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</si>
  <si>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</si>
  <si>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</si>
  <si>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</si>
  <si>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</si>
  <si>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</si>
  <si>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</si>
  <si>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</si>
  <si>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</si>
  <si>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</si>
  <si>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</si>
  <si>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</si>
  <si>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</si>
  <si>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</si>
  <si>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</si>
  <si>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</si>
  <si>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</si>
  <si>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</si>
  <si>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</si>
  <si>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</si>
  <si>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</si>
  <si>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</si>
  <si>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</si>
  <si>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</si>
  <si>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</si>
  <si>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</si>
  <si>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</si>
  <si>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</si>
  <si>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</si>
  <si>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</si>
  <si>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</si>
  <si>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</si>
  <si>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</si>
  <si>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</si>
  <si>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</si>
  <si>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</si>
  <si>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</si>
  <si>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</si>
  <si>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</si>
  <si>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</si>
  <si>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</si>
  <si>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</si>
  <si>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</si>
  <si>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</si>
  <si>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</si>
  <si>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</si>
  <si>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</si>
  <si>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</si>
  <si>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</si>
  <si>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</si>
  <si>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</si>
  <si>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</si>
  <si>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</si>
  <si>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</si>
  <si>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</si>
  <si>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</si>
  <si>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</si>
  <si>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</si>
  <si>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</si>
  <si>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</si>
  <si>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</si>
  <si>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</si>
  <si>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</si>
  <si>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</si>
  <si>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</si>
  <si>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</si>
  <si>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</si>
  <si>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</si>
  <si>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</si>
  <si>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</si>
  <si>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</si>
  <si>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</si>
  <si>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</si>
  <si>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</si>
  <si>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</si>
  <si>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</si>
  <si>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</si>
  <si>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</si>
  <si>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</si>
  <si>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</si>
  <si>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</si>
  <si>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</si>
  <si>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</si>
  <si>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</si>
  <si>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</si>
  <si>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</si>
  <si>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</si>
  <si>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</si>
  <si>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</si>
  <si>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</si>
  <si>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</si>
  <si>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</si>
  <si>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</si>
  <si>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</si>
  <si>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</si>
  <si>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</si>
  <si>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</si>
  <si>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</si>
  <si>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</si>
  <si>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</si>
  <si>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</si>
  <si>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</si>
  <si>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</si>
  <si>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</si>
  <si>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</si>
  <si>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</si>
  <si>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</si>
  <si>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</si>
  <si>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</si>
  <si>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</si>
  <si>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</si>
  <si>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</si>
  <si>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</si>
  <si>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</si>
  <si>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</si>
  <si>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</si>
  <si>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</si>
  <si>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</si>
  <si>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</si>
  <si>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</si>
  <si>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</si>
  <si>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</si>
  <si>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</si>
  <si>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</si>
  <si>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</si>
  <si>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</si>
  <si>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</si>
  <si>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</si>
  <si>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</si>
  <si>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</si>
  <si>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</si>
  <si>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</si>
  <si>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</si>
  <si>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</si>
  <si>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</si>
  <si>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</si>
  <si>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</si>
  <si>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</si>
  <si>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</si>
  <si>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</si>
  <si>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</si>
  <si>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</si>
  <si>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</si>
  <si>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</si>
  <si>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</si>
  <si>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</si>
  <si>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</si>
  <si>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</si>
  <si>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</si>
  <si>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</si>
  <si>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</si>
  <si>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</si>
  <si>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</si>
  <si>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</si>
  <si>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</si>
  <si>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</si>
  <si>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</si>
  <si>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</si>
  <si>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</si>
  <si>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</si>
  <si>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</si>
  <si>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</si>
  <si>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</si>
  <si>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</si>
  <si>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</si>
  <si>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</si>
  <si>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</si>
  <si>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</si>
  <si>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</si>
  <si>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</si>
  <si>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</si>
  <si>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</si>
  <si>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</si>
  <si>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</si>
  <si>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</si>
  <si>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</si>
  <si>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</si>
  <si>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</si>
  <si>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</si>
  <si>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</si>
  <si>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</si>
  <si>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</si>
  <si>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</si>
  <si>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</si>
  <si>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</si>
  <si>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</si>
  <si>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</si>
  <si>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</si>
  <si>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</si>
  <si>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</si>
  <si>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</si>
  <si>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</si>
  <si>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</si>
  <si>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</si>
  <si>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</si>
  <si>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</si>
  <si>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</si>
  <si>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</si>
  <si>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</si>
  <si>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</si>
  <si>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</si>
  <si>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</si>
  <si>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</si>
  <si>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</si>
  <si>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</si>
  <si>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</si>
  <si>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</si>
  <si>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</si>
  <si>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</si>
  <si>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</si>
  <si>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</si>
  <si>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</si>
  <si>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</si>
  <si>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</si>
  <si>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</si>
  <si>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</si>
  <si>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</si>
  <si>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</si>
  <si>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</si>
  <si>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</si>
  <si>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</si>
  <si>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</si>
  <si>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</si>
  <si>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</si>
  <si>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</si>
  <si>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</si>
  <si>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</si>
  <si>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</si>
  <si>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</si>
  <si>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</si>
  <si>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</si>
  <si>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</si>
  <si>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</si>
  <si>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</si>
  <si>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</si>
  <si>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</si>
  <si>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</si>
  <si>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</si>
  <si>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</si>
  <si>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</si>
  <si>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</si>
  <si>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</si>
  <si>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</si>
  <si>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</si>
  <si>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</si>
  <si>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</si>
  <si>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</si>
  <si>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</si>
  <si>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</si>
  <si>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</si>
  <si>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</si>
  <si>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</si>
  <si>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</si>
  <si>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</si>
  <si>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</si>
  <si>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</si>
  <si>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</si>
  <si>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</si>
  <si>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</si>
  <si>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</si>
  <si>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</si>
  <si>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</si>
  <si>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</si>
  <si>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</si>
  <si>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</si>
  <si>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</si>
  <si>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</si>
  <si>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</si>
  <si>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</si>
  <si>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</si>
  <si>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</si>
  <si>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</si>
  <si>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</si>
  <si>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</si>
  <si>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</si>
  <si>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</si>
  <si>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</si>
  <si>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</si>
  <si>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</si>
  <si>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</si>
  <si>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</si>
  <si>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</si>
  <si>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</si>
  <si>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</si>
  <si>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</si>
  <si>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</si>
  <si>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</si>
  <si>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</si>
  <si>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</si>
  <si>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</si>
  <si>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</si>
  <si>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</si>
  <si>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</si>
  <si>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</si>
  <si>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</si>
  <si>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</si>
  <si>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</si>
  <si>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</si>
  <si>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</si>
  <si>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</si>
  <si>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</si>
  <si>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</si>
  <si>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</si>
  <si>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</si>
  <si>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</si>
  <si>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</si>
  <si>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</si>
  <si>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</si>
  <si>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</si>
  <si>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</si>
  <si>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</si>
  <si>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</si>
  <si>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</si>
  <si>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</si>
  <si>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</si>
  <si>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</si>
  <si>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</si>
  <si>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</si>
  <si>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</si>
  <si>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</si>
  <si>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</si>
  <si>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</si>
  <si>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</si>
  <si>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</si>
  <si>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</si>
  <si>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</si>
  <si>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</si>
  <si>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</si>
  <si>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</si>
  <si>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</si>
  <si>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</si>
  <si>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</si>
  <si>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</si>
  <si>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</si>
  <si>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</si>
  <si>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</si>
  <si>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</si>
  <si>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</si>
  <si>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</si>
  <si>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</si>
  <si>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</si>
  <si>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</si>
  <si>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</si>
  <si>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</si>
  <si>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</si>
  <si>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</si>
  <si>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</si>
  <si>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</si>
  <si>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</si>
  <si>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</si>
  <si>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</si>
  <si>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</si>
  <si>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</si>
  <si>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</si>
  <si>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</si>
  <si>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</si>
  <si>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</si>
  <si>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</si>
  <si>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</si>
  <si>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</si>
  <si>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</si>
  <si>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</si>
  <si>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</si>
  <si>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</si>
  <si>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</si>
  <si>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</si>
  <si>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</si>
  <si>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</si>
  <si>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</si>
  <si>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</si>
  <si>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</si>
  <si>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</si>
  <si>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</si>
  <si>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</si>
  <si>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</si>
  <si>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</si>
  <si>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</si>
  <si>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</si>
  <si>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</si>
  <si>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</si>
  <si>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</si>
  <si>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</si>
  <si>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</si>
  <si>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</si>
  <si>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</si>
  <si>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</si>
  <si>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</si>
  <si>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</si>
  <si>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</si>
  <si>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</si>
  <si>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</si>
  <si>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</si>
  <si>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</si>
  <si>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</si>
  <si>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</si>
  <si>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</si>
  <si>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</si>
  <si>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</si>
  <si>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</si>
  <si>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</si>
  <si>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</si>
  <si>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</si>
  <si>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</si>
  <si>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</si>
  <si>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</si>
  <si>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</si>
  <si>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</si>
  <si>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</si>
  <si>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</si>
  <si>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</si>
  <si>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</si>
  <si>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</si>
  <si>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</si>
  <si>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</si>
  <si>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</si>
  <si>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</si>
  <si>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</si>
  <si>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</si>
  <si>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</si>
  <si>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</si>
  <si>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</si>
  <si>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</si>
  <si>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</si>
  <si>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</si>
  <si>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</si>
  <si>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</si>
  <si>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</si>
  <si>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</si>
  <si>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</si>
  <si>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</si>
  <si>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</si>
  <si>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</si>
  <si>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</si>
  <si>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</si>
  <si>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</si>
  <si>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</si>
  <si>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</si>
  <si>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</si>
  <si>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</si>
  <si>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</si>
  <si>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</si>
  <si>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</si>
  <si>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</si>
  <si>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</si>
  <si>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</si>
  <si>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</si>
  <si>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</si>
  <si>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</si>
  <si>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</si>
  <si>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</si>
  <si>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</si>
  <si>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</si>
  <si>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</si>
  <si>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</si>
  <si>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</si>
  <si>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</si>
  <si>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</si>
  <si>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</si>
  <si>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</si>
  <si>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</si>
  <si>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</si>
  <si>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</si>
  <si>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</si>
  <si>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</si>
  <si>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</si>
  <si>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</si>
  <si>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</si>
  <si>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</si>
  <si>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</si>
  <si>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</si>
  <si>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</si>
  <si>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</si>
  <si>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</si>
  <si>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</si>
  <si>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</si>
  <si>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</si>
  <si>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</si>
  <si>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</si>
  <si>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</si>
  <si>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</si>
  <si>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</si>
  <si>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</si>
  <si>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</si>
  <si>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</si>
  <si>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</si>
  <si>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</si>
  <si>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</si>
  <si>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</si>
  <si>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</si>
  <si>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</si>
  <si>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</si>
  <si>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</si>
  <si>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</si>
  <si>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</si>
  <si>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</si>
  <si>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</si>
  <si>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</si>
  <si>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</si>
  <si>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</si>
  <si>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</si>
  <si>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</si>
  <si>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</si>
  <si>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</si>
  <si>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</si>
  <si>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</si>
  <si>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</si>
  <si>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</si>
  <si>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</si>
  <si>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</si>
  <si>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</si>
  <si>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</si>
  <si>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</si>
  <si>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</si>
  <si>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</si>
  <si>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</si>
  <si>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</si>
  <si>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</si>
  <si>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</si>
  <si>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</si>
  <si>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</si>
  <si>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</si>
  <si>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</si>
  <si>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</si>
  <si>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</si>
  <si>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</si>
  <si>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</si>
  <si>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</si>
  <si>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</si>
  <si>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</si>
  <si>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</si>
  <si>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</si>
  <si>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</si>
  <si>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</si>
  <si>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</si>
  <si>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</si>
  <si>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</si>
  <si>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</si>
  <si>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</si>
  <si>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</si>
  <si>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</si>
  <si>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</si>
  <si>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</si>
  <si>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</si>
  <si>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</si>
  <si>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</si>
  <si>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</si>
  <si>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</si>
  <si>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</si>
  <si>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</si>
  <si>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</si>
  <si>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</si>
  <si>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</si>
  <si>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</si>
  <si>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</si>
  <si>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</si>
  <si>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</si>
  <si>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</si>
  <si>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</si>
  <si>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</si>
  <si>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</si>
  <si>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</si>
  <si>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</si>
  <si>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</si>
  <si>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</si>
  <si>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</si>
  <si>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</si>
  <si>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</si>
  <si>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</si>
  <si>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</si>
  <si>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</si>
  <si>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</si>
  <si>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</si>
  <si>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</si>
  <si>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</si>
  <si>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</si>
  <si>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</si>
  <si>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</si>
  <si>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</si>
  <si>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</si>
  <si>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</si>
  <si>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</si>
  <si>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</si>
  <si>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</si>
  <si>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</si>
  <si>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</si>
  <si>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</si>
  <si>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</si>
  <si>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</si>
  <si>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</si>
  <si>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</si>
  <si>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</si>
  <si>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</si>
  <si>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</si>
  <si>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</si>
  <si>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</si>
  <si>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</si>
  <si>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</si>
  <si>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</si>
  <si>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</si>
  <si>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</si>
  <si>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</si>
  <si>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</si>
  <si>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</si>
  <si>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</si>
  <si>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</si>
  <si>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</si>
  <si>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</si>
  <si>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</si>
  <si>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</si>
  <si>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</si>
  <si>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</si>
  <si>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</si>
  <si>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</si>
  <si>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</si>
  <si>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</si>
  <si>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</si>
  <si>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</si>
  <si>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</si>
  <si>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</si>
  <si>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</si>
  <si>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</si>
  <si>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</si>
  <si>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</si>
  <si>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</si>
  <si>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</si>
  <si>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</si>
  <si>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</si>
  <si>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</si>
  <si>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</si>
  <si>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</si>
  <si>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</si>
  <si>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</si>
  <si>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</si>
  <si>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</si>
  <si>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</si>
  <si>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</si>
  <si>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</si>
  <si>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</si>
  <si>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</si>
  <si>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</si>
  <si>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</si>
  <si>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</si>
  <si>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</si>
  <si>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</si>
  <si>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</si>
  <si>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</si>
  <si>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</si>
  <si>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</si>
  <si>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</si>
  <si>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</si>
  <si>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</si>
  <si>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</si>
  <si>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</si>
  <si>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</si>
  <si>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</si>
  <si>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</si>
  <si>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</si>
  <si>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</si>
  <si>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</si>
  <si>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</si>
  <si>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</si>
  <si>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</si>
  <si>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</si>
  <si>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</si>
  <si>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</si>
  <si>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</si>
  <si>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</si>
  <si>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</si>
  <si>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</si>
  <si>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</si>
  <si>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</si>
  <si>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</si>
  <si>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</si>
  <si>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</si>
  <si>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</si>
  <si>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</si>
  <si>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</si>
  <si>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</si>
  <si>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</si>
  <si>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</si>
  <si>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</si>
  <si>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</si>
  <si>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</si>
  <si>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</si>
  <si>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</si>
  <si>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</si>
  <si>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</si>
  <si>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</si>
  <si>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</si>
  <si>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</si>
  <si>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</si>
  <si>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</si>
  <si>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</si>
  <si>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</si>
  <si>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</si>
  <si>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</si>
  <si>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</si>
  <si>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</si>
  <si>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</si>
  <si>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</si>
  <si>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</si>
  <si>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</si>
  <si>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</si>
  <si>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</si>
  <si>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</si>
  <si>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</si>
  <si>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</si>
  <si>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</si>
  <si>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</si>
  <si>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</si>
  <si>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</si>
  <si>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</si>
  <si>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</si>
  <si>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</si>
  <si>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</si>
  <si>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</si>
  <si>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</si>
  <si>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</si>
  <si>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</si>
  <si>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</si>
  <si>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</si>
  <si>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</si>
  <si>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</si>
  <si>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</si>
  <si>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</si>
  <si>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</si>
  <si>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</si>
  <si>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</si>
  <si>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</si>
  <si>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</si>
  <si>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</si>
  <si>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</si>
  <si>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</si>
  <si>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</si>
  <si>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</si>
  <si>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</si>
  <si>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</si>
  <si>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</si>
  <si>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</si>
  <si>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</si>
  <si>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</si>
  <si>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</si>
  <si>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</si>
  <si>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</si>
  <si>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</si>
  <si>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</si>
  <si>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</si>
  <si>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</si>
  <si>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</si>
  <si>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</si>
  <si>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</si>
  <si>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</si>
  <si>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</si>
  <si>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</si>
  <si>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</si>
  <si>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</si>
  <si>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</si>
  <si>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</si>
  <si>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</si>
  <si>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</si>
  <si>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</si>
  <si>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</si>
  <si>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</si>
  <si>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</si>
  <si>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</si>
  <si>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</si>
  <si>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</si>
  <si>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</si>
  <si>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</si>
  <si>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</si>
  <si>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</si>
  <si>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</si>
  <si>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</si>
  <si>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</si>
  <si>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</si>
  <si>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</si>
  <si>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</si>
  <si>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</si>
  <si>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</si>
  <si>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</si>
  <si>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</si>
  <si>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</si>
  <si>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</si>
  <si>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</si>
  <si>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</si>
  <si>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</si>
  <si>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</si>
  <si>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</si>
  <si>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</si>
  <si>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</si>
  <si>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</si>
  <si>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</si>
  <si>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</si>
  <si>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</si>
  <si>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</si>
  <si>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</si>
  <si>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</si>
  <si>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</si>
  <si>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</si>
  <si>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</si>
  <si>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</si>
  <si>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</si>
  <si>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</si>
  <si>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</si>
  <si>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</si>
  <si>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</si>
  <si>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</si>
  <si>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</si>
  <si>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</si>
  <si>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</si>
  <si>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</si>
  <si>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</si>
  <si>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</si>
  <si>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</si>
  <si>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</si>
  <si>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</si>
  <si>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</si>
  <si>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</si>
  <si>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</si>
  <si>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</si>
  <si>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</si>
  <si>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</si>
  <si>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</si>
  <si>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</si>
  <si>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</si>
  <si>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</si>
  <si>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</si>
  <si>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</si>
  <si>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</si>
  <si>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</si>
  <si>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</si>
  <si>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</si>
  <si>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</si>
  <si>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</si>
  <si>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</si>
  <si>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</si>
  <si>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</si>
  <si>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</si>
  <si>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</si>
  <si>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</si>
  <si>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</si>
  <si>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</si>
  <si>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</si>
  <si>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</si>
  <si>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</si>
  <si>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</si>
  <si>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</si>
  <si>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</si>
  <si>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</si>
  <si>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</si>
  <si>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</si>
  <si>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</si>
  <si>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</si>
  <si>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</si>
  <si>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</si>
  <si>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</si>
  <si>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</si>
  <si>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</si>
  <si>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</si>
  <si>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</si>
  <si>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</si>
  <si>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</si>
  <si>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</si>
  <si>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</si>
  <si>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</si>
  <si>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</si>
  <si>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</si>
  <si>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</si>
  <si>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</si>
  <si>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</si>
  <si>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</si>
  <si>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</si>
  <si>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</si>
  <si>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</si>
  <si>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</si>
  <si>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</si>
  <si>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</si>
  <si>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</si>
  <si>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</si>
  <si>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</si>
  <si>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</si>
  <si>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</si>
  <si>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</si>
  <si>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</si>
  <si>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</si>
  <si>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</si>
  <si>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</si>
  <si>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</si>
  <si>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</si>
  <si>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</si>
  <si>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</si>
  <si>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</si>
  <si>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</si>
  <si>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</si>
  <si>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</si>
  <si>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</si>
  <si>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</si>
  <si>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</si>
  <si>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</si>
  <si>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</si>
  <si>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</si>
  <si>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</si>
  <si>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</si>
  <si>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</si>
  <si>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</si>
  <si>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</si>
  <si>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</si>
  <si>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</si>
  <si>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</si>
  <si>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</si>
  <si>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</si>
  <si>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</si>
  <si>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</si>
  <si>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</si>
  <si>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</si>
  <si>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</si>
  <si>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</si>
  <si>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</si>
  <si>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</si>
  <si>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</si>
  <si>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</si>
  <si>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</si>
  <si>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</si>
  <si>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</si>
  <si>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</si>
  <si>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</si>
  <si>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</si>
  <si>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</si>
  <si>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</si>
  <si>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</si>
  <si>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</si>
  <si>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</si>
  <si>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</si>
  <si>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</si>
  <si>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</si>
  <si>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</si>
  <si>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</si>
  <si>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</si>
  <si>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</si>
  <si>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</si>
  <si>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</si>
  <si>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</si>
  <si>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</si>
  <si>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</si>
  <si>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</si>
  <si>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</si>
  <si>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</si>
  <si>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</si>
  <si>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</si>
  <si>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</si>
  <si>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</si>
  <si>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</si>
  <si>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</si>
  <si>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</si>
  <si>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</si>
  <si>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</si>
  <si>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</si>
  <si>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</si>
  <si>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</si>
  <si>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</si>
  <si>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</si>
  <si>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</si>
  <si>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</si>
  <si>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</si>
  <si>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</si>
  <si>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</si>
  <si>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</si>
  <si>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</si>
  <si>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</si>
  <si>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</si>
  <si>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</si>
  <si>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</si>
  <si>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</si>
  <si>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</si>
  <si>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</si>
  <si>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</si>
  <si>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</si>
  <si>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</si>
  <si>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</si>
  <si>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</si>
  <si>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</si>
  <si>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</si>
  <si>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</si>
  <si>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</si>
  <si>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</si>
  <si>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</si>
  <si>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</si>
  <si>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</si>
  <si>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</si>
  <si>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</si>
  <si>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</si>
  <si>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</si>
  <si>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</si>
  <si>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</si>
  <si>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</si>
  <si>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</si>
  <si>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</si>
  <si>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</si>
  <si>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</si>
  <si>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</si>
  <si>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</si>
  <si>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</si>
  <si>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</si>
  <si>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</si>
  <si>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</si>
  <si>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</si>
  <si>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</si>
  <si>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</si>
  <si>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</si>
  <si>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</si>
  <si>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</si>
  <si>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</si>
  <si>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</si>
  <si>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</si>
  <si>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</si>
  <si>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</si>
  <si>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</si>
  <si>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</si>
  <si>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</si>
  <si>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</si>
  <si>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</si>
  <si>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</si>
  <si>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</si>
  <si>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</si>
  <si>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</si>
  <si>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</si>
  <si>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</si>
  <si>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</si>
  <si>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</si>
  <si>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</si>
  <si>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</si>
  <si>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</si>
  <si>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</si>
  <si>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</si>
  <si>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</si>
  <si>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</si>
  <si>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</si>
  <si>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</si>
  <si>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</si>
  <si>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</si>
  <si>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</si>
  <si>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</si>
  <si>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</si>
  <si>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</si>
  <si>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</si>
  <si>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</si>
  <si>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</si>
  <si>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</si>
  <si>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</si>
  <si>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</si>
  <si>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</si>
  <si>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</si>
  <si>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</si>
  <si>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</si>
  <si>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</si>
  <si>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</si>
  <si>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</si>
  <si>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</si>
  <si>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</si>
  <si>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</si>
  <si>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</si>
  <si>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</si>
  <si>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</si>
  <si>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</si>
  <si>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</si>
  <si>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</si>
  <si>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</si>
  <si>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</si>
  <si>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</si>
  <si>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</si>
  <si>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</si>
  <si>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</si>
  <si>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</si>
  <si>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</si>
  <si>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</si>
  <si>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</si>
  <si>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</si>
  <si>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</si>
  <si>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</si>
  <si>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</si>
  <si>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</si>
  <si>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</si>
  <si>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</si>
  <si>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</si>
  <si>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</si>
  <si>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</si>
  <si>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</si>
  <si>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</si>
  <si>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</si>
  <si>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</si>
  <si>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</si>
  <si>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</si>
  <si>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</si>
  <si>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</si>
  <si>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</si>
  <si>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</si>
  <si>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</si>
  <si>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</si>
  <si>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</si>
  <si>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</si>
  <si>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</si>
  <si>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</si>
  <si>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</si>
  <si>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</si>
  <si>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</si>
  <si>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</si>
  <si>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</si>
  <si>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</si>
  <si>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</si>
  <si>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</si>
  <si>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</si>
  <si>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</si>
  <si>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</si>
  <si>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</si>
  <si>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</si>
  <si>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</si>
  <si>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</si>
  <si>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</si>
  <si>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</si>
  <si>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</si>
  <si>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</si>
  <si>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</si>
  <si>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</si>
  <si>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</si>
  <si>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</si>
  <si>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</si>
  <si>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</si>
  <si>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</si>
  <si>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</si>
  <si>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</si>
  <si>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</si>
  <si>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</si>
  <si>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</si>
  <si>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</si>
  <si>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</si>
  <si>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</si>
  <si>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</si>
  <si>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</si>
  <si>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</si>
  <si>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</si>
  <si>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</si>
  <si>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</si>
  <si>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</si>
  <si>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</si>
  <si>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</si>
  <si>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</si>
  <si>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</si>
  <si>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</si>
  <si>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</si>
  <si>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</si>
  <si>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</si>
  <si>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</si>
  <si>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</si>
  <si>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</si>
  <si>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</si>
  <si>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</si>
  <si>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</si>
  <si>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</si>
  <si>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</si>
  <si>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</si>
  <si>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</si>
  <si>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</si>
  <si>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</si>
  <si>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</si>
  <si>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</si>
  <si>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</si>
  <si>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</si>
  <si>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</si>
  <si>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</si>
  <si>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</si>
  <si>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</si>
  <si>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</si>
  <si>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</si>
  <si>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</si>
  <si>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</si>
  <si>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</si>
  <si>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</si>
  <si>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</si>
  <si>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</si>
  <si>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</si>
  <si>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</si>
  <si>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</si>
  <si>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</si>
  <si>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</si>
  <si>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</si>
  <si>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</si>
  <si>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</si>
  <si>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</si>
  <si>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</si>
  <si>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</si>
  <si>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</si>
  <si>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</si>
  <si>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</si>
  <si>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</si>
  <si>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</si>
  <si>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</si>
  <si>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</si>
  <si>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</si>
  <si>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</si>
  <si>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</si>
  <si>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</si>
  <si>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</si>
  <si>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</si>
  <si>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</si>
  <si>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</si>
  <si>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</si>
  <si>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</si>
  <si>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</si>
  <si>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</si>
  <si>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</si>
  <si>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</si>
  <si>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</si>
  <si>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</si>
  <si>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</si>
  <si>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</si>
  <si>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</si>
  <si>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</si>
  <si>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</si>
  <si>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</si>
  <si>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</si>
  <si>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</si>
  <si>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</si>
  <si>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</si>
  <si>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</si>
  <si>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</si>
  <si>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</si>
  <si>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</si>
  <si>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</si>
  <si>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</si>
  <si>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</si>
  <si>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</si>
  <si>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</si>
  <si>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</si>
  <si>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</si>
  <si>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</si>
  <si>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</si>
  <si>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</si>
  <si>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</si>
  <si>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</si>
  <si>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</si>
  <si>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</si>
  <si>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</si>
  <si>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</si>
  <si>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</si>
  <si>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</si>
  <si>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</si>
  <si>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</si>
  <si>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</si>
  <si>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</si>
  <si>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</si>
  <si>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</si>
  <si>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</si>
  <si>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</si>
  <si>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</si>
  <si>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</si>
  <si>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</si>
  <si>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</si>
  <si>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</si>
  <si>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</si>
  <si>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</si>
  <si>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</si>
  <si>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</si>
  <si>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</si>
  <si>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</si>
  <si>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</si>
  <si>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</si>
  <si>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</si>
  <si>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</si>
  <si>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</si>
  <si>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</si>
  <si>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</si>
  <si>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</si>
  <si>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</si>
  <si>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</si>
  <si>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</si>
  <si>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</si>
  <si>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</si>
  <si>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</si>
  <si>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</si>
  <si>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</si>
  <si>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</si>
  <si>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</si>
  <si>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</si>
  <si>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</si>
  <si>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</si>
  <si>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</si>
  <si>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</si>
  <si>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</si>
  <si>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</si>
  <si>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</si>
  <si>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</si>
  <si>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</si>
  <si>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</si>
  <si>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</si>
  <si>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</si>
  <si>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</si>
  <si>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</si>
  <si>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</si>
  <si>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</si>
  <si>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</si>
  <si>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</si>
  <si>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</si>
  <si>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</si>
  <si>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</si>
  <si>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</si>
  <si>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</si>
  <si>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</si>
  <si>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</si>
  <si>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</si>
  <si>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</si>
  <si>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</si>
  <si>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</si>
  <si>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</si>
  <si>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</si>
  <si>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</si>
  <si>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</si>
  <si>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</si>
  <si>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</si>
  <si>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</si>
  <si>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</si>
  <si>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</si>
  <si>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</si>
  <si>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</si>
  <si>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</si>
  <si>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</si>
  <si>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</si>
  <si>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</si>
  <si>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</si>
  <si>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</si>
  <si>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</si>
  <si>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</si>
  <si>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</si>
  <si>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</si>
  <si>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</si>
  <si>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</si>
  <si>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</si>
  <si>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</si>
  <si>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</si>
  <si>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</si>
  <si>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</si>
  <si>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</si>
  <si>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</si>
  <si>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</si>
  <si>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</si>
  <si>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</si>
  <si>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</si>
  <si>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</si>
  <si>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</si>
  <si>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</si>
  <si>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</si>
  <si>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</si>
  <si>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</si>
  <si>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</si>
  <si>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</si>
  <si>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</si>
  <si>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</si>
  <si>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</si>
  <si>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</si>
  <si>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</si>
  <si>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</si>
  <si>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</si>
  <si>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</si>
  <si>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</si>
  <si>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</si>
  <si>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</si>
  <si>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</si>
  <si>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</si>
  <si>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</si>
  <si>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</si>
  <si>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</si>
  <si>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</si>
  <si>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</si>
  <si>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</si>
  <si>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</si>
  <si>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</si>
  <si>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</si>
  <si>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</si>
  <si>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</si>
  <si>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</si>
  <si>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</si>
  <si>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</si>
  <si>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</si>
  <si>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</si>
  <si>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</si>
  <si>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</si>
  <si>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</si>
  <si>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</si>
  <si>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</si>
  <si>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</si>
  <si>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</si>
  <si>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</si>
  <si>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</si>
  <si>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</si>
  <si>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</si>
  <si>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</si>
  <si>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</si>
  <si>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</si>
  <si>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</si>
  <si>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</si>
  <si>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</si>
  <si>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</si>
  <si>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</si>
  <si>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</si>
  <si>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</si>
  <si>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</si>
  <si>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</si>
  <si>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</si>
  <si>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</si>
  <si>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</si>
  <si>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</si>
  <si>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</si>
  <si>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</si>
  <si>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</si>
  <si>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</si>
  <si>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</si>
  <si>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</si>
  <si>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</si>
  <si>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</si>
  <si>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</si>
  <si>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</si>
  <si>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</si>
  <si>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</si>
  <si>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</si>
  <si>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</si>
  <si>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</si>
  <si>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</si>
  <si>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</si>
  <si>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</si>
  <si>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</si>
  <si>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</si>
  <si>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</si>
  <si>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</si>
  <si>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</si>
  <si>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</si>
  <si>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</si>
  <si>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</si>
  <si>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</si>
  <si>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</si>
  <si>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</si>
  <si>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</si>
  <si>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</si>
  <si>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</si>
  <si>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</si>
  <si>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</si>
  <si>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</si>
  <si>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</si>
  <si>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</si>
  <si>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</si>
  <si>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</si>
  <si>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</si>
  <si>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</si>
  <si>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</si>
  <si>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</si>
  <si>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</si>
  <si>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</si>
  <si>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</si>
  <si>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</si>
  <si>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</si>
  <si>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</si>
  <si>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</si>
  <si>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</si>
  <si>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</si>
  <si>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</si>
  <si>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</si>
  <si>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</si>
  <si>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</si>
  <si>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</si>
  <si>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</si>
  <si>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</si>
  <si>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</si>
  <si>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</si>
  <si>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</si>
  <si>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</si>
  <si>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</si>
  <si>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</si>
  <si>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</si>
  <si>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</si>
  <si>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</si>
  <si>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</si>
  <si>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</si>
  <si>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</si>
  <si>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</si>
  <si>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</si>
  <si>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</si>
  <si>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</si>
  <si>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</si>
  <si>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</si>
  <si>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</si>
  <si>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</si>
  <si>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</si>
  <si>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</si>
  <si>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</si>
  <si>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</si>
  <si>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</si>
  <si>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</si>
  <si>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</si>
  <si>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</si>
  <si>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</si>
  <si>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</si>
  <si>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</si>
  <si>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</si>
  <si>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</si>
  <si>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</si>
  <si>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</si>
  <si>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</si>
  <si>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</si>
  <si>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</si>
  <si>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</si>
  <si>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</si>
  <si>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</si>
  <si>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</si>
  <si>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</si>
  <si>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</si>
  <si>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</si>
  <si>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</si>
  <si>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</si>
  <si>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</si>
  <si>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</si>
  <si>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</si>
  <si>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</si>
  <si>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</si>
  <si>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</si>
  <si>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</si>
  <si>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</si>
  <si>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</si>
  <si>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</si>
  <si>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</si>
  <si>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</si>
  <si>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</si>
  <si>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</si>
  <si>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</si>
  <si>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</si>
  <si>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</si>
  <si>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</si>
  <si>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</si>
  <si>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</si>
  <si>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</si>
  <si>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</si>
  <si>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</si>
  <si>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</si>
  <si>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</si>
  <si>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</si>
  <si>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</si>
  <si>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</si>
  <si>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</si>
  <si>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</si>
  <si>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</si>
  <si>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</si>
  <si>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</si>
  <si>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</si>
  <si>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</si>
  <si>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</si>
  <si>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</si>
  <si>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</si>
  <si>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</si>
  <si>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</si>
  <si>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</si>
  <si>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</si>
  <si>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</si>
  <si>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</si>
  <si>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</si>
  <si>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</si>
  <si>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</si>
  <si>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</si>
  <si>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</si>
  <si>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</si>
  <si>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</si>
  <si>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</si>
  <si>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</si>
  <si>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</si>
  <si>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</si>
  <si>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</si>
  <si>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</si>
  <si>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</si>
  <si>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</si>
  <si>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</si>
  <si>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</si>
  <si>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</si>
  <si>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</si>
  <si>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</si>
  <si>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</si>
  <si>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</si>
  <si>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</si>
  <si>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</si>
  <si>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</si>
  <si>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</si>
  <si>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</si>
  <si>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</si>
  <si>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</si>
  <si>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</si>
  <si>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</si>
  <si>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</si>
  <si>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</si>
  <si>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</si>
  <si>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</si>
  <si>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</si>
  <si>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</si>
  <si>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</si>
  <si>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</si>
  <si>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</si>
  <si>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</si>
  <si>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</si>
  <si>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</si>
  <si>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</si>
  <si>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</si>
  <si>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</si>
  <si>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</si>
  <si>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</si>
  <si>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</si>
  <si>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</si>
  <si>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</si>
  <si>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</si>
  <si>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</si>
  <si>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</si>
  <si>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</si>
  <si>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</si>
  <si>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</si>
  <si>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</si>
  <si>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</si>
  <si>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</si>
  <si>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</si>
  <si>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</si>
  <si>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</si>
  <si>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</si>
  <si>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</si>
  <si>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</si>
  <si>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</si>
  <si>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</si>
  <si>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</si>
  <si>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</si>
  <si>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</si>
  <si>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</si>
  <si>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</si>
  <si>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</si>
  <si>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</si>
  <si>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</si>
  <si>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</si>
  <si>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</si>
  <si>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</si>
  <si>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</si>
  <si>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</si>
  <si>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</si>
  <si>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</si>
  <si>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</si>
  <si>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</si>
  <si>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</si>
  <si>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</si>
  <si>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</si>
  <si>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</si>
  <si>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</si>
  <si>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</si>
  <si>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</si>
  <si>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</si>
  <si>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</si>
  <si>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</si>
  <si>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</si>
  <si>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</si>
  <si>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</si>
  <si>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</si>
  <si>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</si>
  <si>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</si>
  <si>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</si>
  <si>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</si>
  <si>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</si>
  <si>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</si>
  <si>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</si>
  <si>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</si>
  <si>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</si>
  <si>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</si>
  <si>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</si>
  <si>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</si>
  <si>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</si>
  <si>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</si>
  <si>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</si>
  <si>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</si>
  <si>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</si>
  <si>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</si>
  <si>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</si>
  <si>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</si>
  <si>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</si>
  <si>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</si>
  <si>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</si>
  <si>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</si>
  <si>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</si>
  <si>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</si>
  <si>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</si>
  <si>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</si>
  <si>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</si>
  <si>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</si>
  <si>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</si>
  <si>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</si>
  <si>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</si>
  <si>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</si>
  <si>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</si>
  <si>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</si>
  <si>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</si>
  <si>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</si>
  <si>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</si>
  <si>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</si>
  <si>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</si>
  <si>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</si>
  <si>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</si>
  <si>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</si>
  <si>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</si>
  <si>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</si>
  <si>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</si>
  <si>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</si>
  <si>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</si>
  <si>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</si>
  <si>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</si>
  <si>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</si>
  <si>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</si>
  <si>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</si>
  <si>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</si>
  <si>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</si>
  <si>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</si>
  <si>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</si>
  <si>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</si>
  <si>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</si>
  <si>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</si>
  <si>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</si>
  <si>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</si>
  <si>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</si>
  <si>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</si>
  <si>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</si>
  <si>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</si>
  <si>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</si>
  <si>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</si>
  <si>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</si>
  <si>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</si>
  <si>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</si>
  <si>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</si>
  <si>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</si>
  <si>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</si>
  <si>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</si>
  <si>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</si>
  <si>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</si>
  <si>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</si>
  <si>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</si>
  <si>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</si>
  <si>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</si>
  <si>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</si>
  <si>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</si>
  <si>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</si>
  <si>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</si>
  <si>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</si>
  <si>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</si>
  <si>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</si>
  <si>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</si>
  <si>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</si>
  <si>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</si>
  <si>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</si>
  <si>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</si>
  <si>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</si>
  <si>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</si>
  <si>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</si>
  <si>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</si>
  <si>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</si>
  <si>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</si>
  <si>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</si>
  <si>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</si>
  <si>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</si>
  <si>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</si>
  <si>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</si>
  <si>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</si>
  <si>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</si>
  <si>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</si>
  <si>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</si>
  <si>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</si>
  <si>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</si>
  <si>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</si>
  <si>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</si>
  <si>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</si>
  <si>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</si>
  <si>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</si>
  <si>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</si>
  <si>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</si>
  <si>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</si>
  <si>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</si>
  <si>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</si>
  <si>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</si>
  <si>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</si>
  <si>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</si>
  <si>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</si>
  <si>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</si>
  <si>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</si>
  <si>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</si>
  <si>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</si>
  <si>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</si>
  <si>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</si>
  <si>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</si>
  <si>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</si>
  <si>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</si>
  <si>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</si>
  <si>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</si>
  <si>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</si>
  <si>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</si>
  <si>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</si>
  <si>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</si>
  <si>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</si>
  <si>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</si>
  <si>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</si>
  <si>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</si>
  <si>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</si>
  <si>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</si>
  <si>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</si>
  <si>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</si>
  <si>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</si>
  <si>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</si>
  <si>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</si>
  <si>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</si>
  <si>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</si>
  <si>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</si>
  <si>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</si>
  <si>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</si>
  <si>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</si>
  <si>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</si>
  <si>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</si>
  <si>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</si>
  <si>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</si>
  <si>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</si>
  <si>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</si>
  <si>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</si>
  <si>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</si>
  <si>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</si>
  <si>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</si>
  <si>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</si>
  <si>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</si>
  <si>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</si>
  <si>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</si>
  <si>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</si>
  <si>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</si>
  <si>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</si>
  <si>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</si>
  <si>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</si>
  <si>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</si>
  <si>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</si>
  <si>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</si>
  <si>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</si>
  <si>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</si>
  <si>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</si>
  <si>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</si>
  <si>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</si>
  <si>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</si>
  <si>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</si>
  <si>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</si>
  <si>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</si>
  <si>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</si>
  <si>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</si>
  <si>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</si>
  <si>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</si>
  <si>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</si>
  <si>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</si>
  <si>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</si>
  <si>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</si>
  <si>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</si>
  <si>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</si>
  <si>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</si>
  <si>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</si>
  <si>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</si>
  <si>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</si>
  <si>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</si>
  <si>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</si>
  <si>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</si>
  <si>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</si>
  <si>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</si>
  <si>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</si>
  <si>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</si>
  <si>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</si>
  <si>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</si>
  <si>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</si>
  <si>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</si>
  <si>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</si>
  <si>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</si>
  <si>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</si>
  <si>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</si>
  <si>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</si>
  <si>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</si>
  <si>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</si>
  <si>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</si>
  <si>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</si>
  <si>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</si>
  <si>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</si>
  <si>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</si>
  <si>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</si>
  <si>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</si>
  <si>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</si>
  <si>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</si>
  <si>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</si>
  <si>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</si>
  <si>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</si>
  <si>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</si>
  <si>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</si>
  <si>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</si>
  <si>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</si>
  <si>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</si>
  <si>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</si>
  <si>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</si>
  <si>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</si>
  <si>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</si>
  <si>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</si>
  <si>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</si>
  <si>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</si>
  <si>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</si>
  <si>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</si>
  <si>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</si>
  <si>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</si>
  <si>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</si>
  <si>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</si>
  <si>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</si>
  <si>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</si>
  <si>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</si>
  <si>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</si>
  <si>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</si>
  <si>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</si>
  <si>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</si>
  <si>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</si>
  <si>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</si>
  <si>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</si>
  <si>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</si>
  <si>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</si>
  <si>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</si>
  <si>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</si>
  <si>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</si>
  <si>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</si>
  <si>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</si>
  <si>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</si>
  <si>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</si>
  <si>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</si>
  <si>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</si>
  <si>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</si>
  <si>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</si>
  <si>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</si>
  <si>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</si>
  <si>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</si>
  <si>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</si>
  <si>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</si>
  <si>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</si>
  <si>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</si>
  <si>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</si>
  <si>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</si>
  <si>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</si>
  <si>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</si>
  <si>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</si>
  <si>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</si>
  <si>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</si>
  <si>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</si>
  <si>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</si>
  <si>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</si>
  <si>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</si>
  <si>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</si>
  <si>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</si>
  <si>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</si>
  <si>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</si>
  <si>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</si>
  <si>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</si>
  <si>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</si>
  <si>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</si>
  <si>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</si>
  <si>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</si>
  <si>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</si>
  <si>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</si>
  <si>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</si>
  <si>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</si>
  <si>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</si>
  <si>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</si>
  <si>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</si>
  <si>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</si>
  <si>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</si>
  <si>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</si>
  <si>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</si>
  <si>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</si>
  <si>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</si>
  <si>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</si>
  <si>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</si>
  <si>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</si>
  <si>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</si>
  <si>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</si>
  <si>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</si>
  <si>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</si>
  <si>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</si>
  <si>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</si>
  <si>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</si>
  <si>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</si>
  <si>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</si>
  <si>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</si>
  <si>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</si>
  <si>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</si>
  <si>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</si>
  <si>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</si>
  <si>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</si>
  <si>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</si>
  <si>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</si>
  <si>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</si>
  <si>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</si>
  <si>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</si>
  <si>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</si>
  <si>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</si>
  <si>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</si>
  <si>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</si>
  <si>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</si>
  <si>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</si>
  <si>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</si>
  <si>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</si>
  <si>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</si>
  <si>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</si>
  <si>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</si>
  <si>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</si>
  <si>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</si>
  <si>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</si>
  <si>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</si>
  <si>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</si>
  <si>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</si>
  <si>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</si>
  <si>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</si>
  <si>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</si>
  <si>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</si>
  <si>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</si>
  <si>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</si>
  <si>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</si>
  <si>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</si>
  <si>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</si>
  <si>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</si>
  <si>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</si>
  <si>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</si>
  <si>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</si>
  <si>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</si>
  <si>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</si>
  <si>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</si>
  <si>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</si>
  <si>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</si>
  <si>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</si>
  <si>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</si>
  <si>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</si>
  <si>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</si>
  <si>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</si>
  <si>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</si>
  <si>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</si>
  <si>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</si>
  <si>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</si>
  <si>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</si>
  <si>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</si>
  <si>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</si>
  <si>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</si>
  <si>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</si>
  <si>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</si>
  <si>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</si>
  <si>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</si>
  <si>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</si>
  <si>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</si>
  <si>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</si>
  <si>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</si>
  <si>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</si>
  <si>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</si>
  <si>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</si>
  <si>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</si>
  <si>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</si>
  <si>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</si>
  <si>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</si>
  <si>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</si>
  <si>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</si>
  <si>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</si>
  <si>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</si>
  <si>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</si>
  <si>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</si>
  <si>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</si>
  <si>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</si>
  <si>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</si>
  <si>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</si>
  <si>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</si>
  <si>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</si>
  <si>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</si>
  <si>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</si>
  <si>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</si>
  <si>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</si>
  <si>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</si>
  <si>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</si>
  <si>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</si>
  <si>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</si>
  <si>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</si>
  <si>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</si>
  <si>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</si>
  <si>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</si>
  <si>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</si>
  <si>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</si>
  <si>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</si>
  <si>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</si>
  <si>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</si>
  <si>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</si>
  <si>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</si>
  <si>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</si>
  <si>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</si>
  <si>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</si>
  <si>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</si>
  <si>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</si>
  <si>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</si>
  <si>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</si>
  <si>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</si>
  <si>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</si>
  <si>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</si>
  <si>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</si>
  <si>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</si>
  <si>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</si>
  <si>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</si>
  <si>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</si>
  <si>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</si>
  <si>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</si>
  <si>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</si>
  <si>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</si>
  <si>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</si>
  <si>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</si>
  <si>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</si>
  <si>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</si>
  <si>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</si>
  <si>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</si>
  <si>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</si>
  <si>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</si>
  <si>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</si>
  <si>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</si>
  <si>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</si>
  <si>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</si>
  <si>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</si>
  <si>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</si>
  <si>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</si>
  <si>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</si>
  <si>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</si>
  <si>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</si>
  <si>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</si>
  <si>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</si>
  <si>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</si>
  <si>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</si>
  <si>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</si>
  <si>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</si>
  <si>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</si>
  <si>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</si>
  <si>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</si>
  <si>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</si>
  <si>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</si>
  <si>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</si>
  <si>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</si>
  <si>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</si>
  <si>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</si>
  <si>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</si>
  <si>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</si>
  <si>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</si>
  <si>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</si>
  <si>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</si>
  <si>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</si>
  <si>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</si>
  <si>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</si>
  <si>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</si>
  <si>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</si>
  <si>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</si>
  <si>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</si>
  <si>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</si>
  <si>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</si>
  <si>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</si>
  <si>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</si>
  <si>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</si>
  <si>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</si>
  <si>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</si>
  <si>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</si>
  <si>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</si>
  <si>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</si>
  <si>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</si>
  <si>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</si>
  <si>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</si>
  <si>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</si>
  <si>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</si>
  <si>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</si>
  <si>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</si>
  <si>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</si>
  <si>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</si>
  <si>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</si>
  <si>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</si>
  <si>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</si>
  <si>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</si>
  <si>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</si>
  <si>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</si>
  <si>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</si>
  <si>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</si>
  <si>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</si>
  <si>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</si>
  <si>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</si>
  <si>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</si>
  <si>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</si>
  <si>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</si>
  <si>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</si>
  <si>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</si>
  <si>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</si>
  <si>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</si>
  <si>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</si>
  <si>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</si>
  <si>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</si>
  <si>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</si>
  <si>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</si>
  <si>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</si>
  <si>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</si>
  <si>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</si>
  <si>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</si>
  <si>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</si>
  <si>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</si>
  <si>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</si>
  <si>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</si>
  <si>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</si>
  <si>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</si>
  <si>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</si>
  <si>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</si>
  <si>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</si>
  <si>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</si>
  <si>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</si>
  <si>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</si>
  <si>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</si>
  <si>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</si>
  <si>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</si>
  <si>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</si>
  <si>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</si>
  <si>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</si>
  <si>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</si>
  <si>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</si>
  <si>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</si>
  <si>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</si>
  <si>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</si>
  <si>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</si>
  <si>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</si>
  <si>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</si>
  <si>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</si>
  <si>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</si>
  <si>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</si>
  <si>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</si>
  <si>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</si>
  <si>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</si>
  <si>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</si>
  <si>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</si>
  <si>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</si>
  <si>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</si>
  <si>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</si>
  <si>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</si>
  <si>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</si>
  <si>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</si>
  <si>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</si>
  <si>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</si>
  <si>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</si>
  <si>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</si>
  <si>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</si>
  <si>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</si>
  <si>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</si>
  <si>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</si>
  <si>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</si>
  <si>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</si>
  <si>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</si>
  <si>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</si>
  <si>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</si>
  <si>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</si>
  <si>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</si>
  <si>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</si>
  <si>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</si>
  <si>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</si>
  <si>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</si>
  <si>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</si>
  <si>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</si>
  <si>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</si>
  <si>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</si>
  <si>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</si>
  <si>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</si>
  <si>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</si>
  <si>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</si>
  <si>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</si>
  <si>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</si>
  <si>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</si>
  <si>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</si>
  <si>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</si>
  <si>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</si>
  <si>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</si>
  <si>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</si>
  <si>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</si>
  <si>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</si>
  <si>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</si>
  <si>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</si>
  <si>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</si>
  <si>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</si>
  <si>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</si>
  <si>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</si>
  <si>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</si>
  <si>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</si>
  <si>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</si>
  <si>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</si>
  <si>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</si>
  <si>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</si>
  <si>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</si>
  <si>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</si>
  <si>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</si>
  <si>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</si>
  <si>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</si>
  <si>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</si>
  <si>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</si>
  <si>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</si>
  <si>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</si>
  <si>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</si>
  <si>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</si>
  <si>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</si>
  <si>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</si>
  <si>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</si>
  <si>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</si>
  <si>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</si>
  <si>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</si>
  <si>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</si>
  <si>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</si>
  <si>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</si>
  <si>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</si>
  <si>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</si>
  <si>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</si>
  <si>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</si>
  <si>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</si>
  <si>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</si>
  <si>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</si>
  <si>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</si>
  <si>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</si>
  <si>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</si>
  <si>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</si>
  <si>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</si>
  <si>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</si>
  <si>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</si>
  <si>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</si>
  <si>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</si>
  <si>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</si>
  <si>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</si>
  <si>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</si>
  <si>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</si>
  <si>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</si>
  <si>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</si>
  <si>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</si>
  <si>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</si>
  <si>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</si>
  <si>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</si>
  <si>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</si>
  <si>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</si>
  <si>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</si>
  <si>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</si>
  <si>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</si>
  <si>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</si>
  <si>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</si>
  <si>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</si>
  <si>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</si>
  <si>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</si>
  <si>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</si>
  <si>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</si>
  <si>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</si>
  <si>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</si>
  <si>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</si>
  <si>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</si>
  <si>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</si>
  <si>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</si>
  <si>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</si>
  <si>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</si>
  <si>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</si>
  <si>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</si>
  <si>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</si>
  <si>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</si>
  <si>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</si>
  <si>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</si>
  <si>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</si>
  <si>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</si>
  <si>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</si>
  <si>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</si>
  <si>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</si>
  <si>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</si>
  <si>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</si>
  <si>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</si>
  <si>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</si>
  <si>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</si>
  <si>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</si>
  <si>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</si>
  <si>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</si>
  <si>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</si>
  <si>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</si>
  <si>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</si>
  <si>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</si>
  <si>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</si>
  <si>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</si>
  <si>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</si>
  <si>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</si>
  <si>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</si>
  <si>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</si>
  <si>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</si>
  <si>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</si>
  <si>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</si>
  <si>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</si>
  <si>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</si>
  <si>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</si>
  <si>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</si>
  <si>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</si>
  <si>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</si>
  <si>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</si>
  <si>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</si>
  <si>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</si>
  <si>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</si>
  <si>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</si>
  <si>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</si>
  <si>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</si>
  <si>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</si>
  <si>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</si>
  <si>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</si>
  <si>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</si>
  <si>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</si>
  <si>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</si>
  <si>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</si>
  <si>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</si>
  <si>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</si>
  <si>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</si>
  <si>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</si>
  <si>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</si>
  <si>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</si>
  <si>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</si>
  <si>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</si>
  <si>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</si>
  <si>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</si>
  <si>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核定资产</t>
  </si>
  <si>
    <t>房地产市场价值</t>
  </si>
  <si>
    <t>北京市</t>
  </si>
  <si>
    <t>https://paimai.jd.com/293884109</t>
    <phoneticPr fontId="134" type="noConversion"/>
  </si>
  <si>
    <t>企业</t>
  </si>
  <si>
    <t>地上</t>
  </si>
  <si>
    <t>是</t>
  </si>
  <si>
    <t>住宅</t>
  </si>
  <si>
    <t>住宅</t>
    <phoneticPr fontId="7" type="noConversion"/>
  </si>
  <si>
    <t>利息：取LPR加浮动点数</t>
  </si>
  <si>
    <t>成新度</t>
  </si>
  <si>
    <t>城镇住宅用地</t>
  </si>
  <si>
    <t>自定义容积率</t>
  </si>
  <si>
    <t>时间</t>
  </si>
  <si>
    <t>成交套数(套)</t>
  </si>
  <si>
    <t>成交面积(㎡)</t>
  </si>
  <si>
    <t>成交价格(元/㎡)</t>
  </si>
  <si>
    <t>成交金额(万元)</t>
  </si>
  <si>
    <t>可售套数(套)</t>
  </si>
  <si>
    <t>可售面积(㎡)</t>
  </si>
  <si>
    <t>全量汇总</t>
  </si>
  <si>
    <t>当页汇总</t>
  </si>
  <si>
    <t>2024-09</t>
  </si>
  <si>
    <t>2024-08</t>
  </si>
  <si>
    <t>2024-07</t>
  </si>
  <si>
    <t>2024-06</t>
  </si>
  <si>
    <t>2024-05</t>
  </si>
  <si>
    <t>2024-04</t>
  </si>
  <si>
    <t>2024-03</t>
  </si>
  <si>
    <t>2024-02</t>
  </si>
  <si>
    <t>2024-01</t>
  </si>
  <si>
    <t>2023-12</t>
  </si>
  <si>
    <t>2023-11</t>
  </si>
  <si>
    <t>2023-10</t>
  </si>
  <si>
    <t>2023-09</t>
  </si>
  <si>
    <t>2023-08</t>
  </si>
  <si>
    <t>2023-07</t>
  </si>
  <si>
    <t>2023-06</t>
  </si>
  <si>
    <t>2023-05</t>
  </si>
  <si>
    <t>2023-04</t>
  </si>
  <si>
    <t>2023-03</t>
  </si>
  <si>
    <t>2023-02</t>
  </si>
  <si>
    <t>2023-01</t>
  </si>
  <si>
    <t>2022-12</t>
  </si>
  <si>
    <t>2022-11</t>
  </si>
  <si>
    <t>2022-10</t>
  </si>
  <si>
    <t>2022-09</t>
  </si>
  <si>
    <t>2022-08</t>
  </si>
  <si>
    <t>2022-07</t>
  </si>
  <si>
    <t>2022-03</t>
  </si>
  <si>
    <t>2022-01</t>
  </si>
  <si>
    <t>2021-12</t>
  </si>
  <si>
    <t>2021-11</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</si>
  <si>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</si>
  <si>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</si>
  <si>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</si>
  <si>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</si>
  <si>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</si>
  <si>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</si>
  <si>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</si>
  <si>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</si>
  <si>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</si>
  <si>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</si>
  <si>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</si>
  <si>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</si>
  <si>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</si>
  <si>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</si>
  <si>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</si>
  <si>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</si>
  <si>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</si>
  <si>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</si>
  <si>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</si>
  <si>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</si>
  <si>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</si>
  <si>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</si>
  <si>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</si>
  <si>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</si>
  <si>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</si>
  <si>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</si>
  <si>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</si>
  <si>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</si>
  <si>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</si>
  <si>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</si>
  <si>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</si>
  <si>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</si>
  <si>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</si>
  <si>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</si>
  <si>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</si>
  <si>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</si>
  <si>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梵悦万国府</t>
  </si>
  <si>
    <t>正常</t>
  </si>
  <si>
    <t>住宅</t>
    <phoneticPr fontId="24" type="noConversion"/>
  </si>
  <si>
    <t>不临65条商业街</t>
  </si>
  <si>
    <t>有</t>
  </si>
  <si>
    <t>与级别开发程度一致</t>
  </si>
  <si>
    <t>估价对象周边有梵悦108、使馆壹号院、海晟名苑、万国城MOMA等住宅小区，综合评价居住社区成熟度较好</t>
    <phoneticPr fontId="40" type="noConversion"/>
  </si>
  <si>
    <t>七通</t>
    <phoneticPr fontId="24" type="noConversion"/>
  </si>
  <si>
    <t>好</t>
  </si>
  <si>
    <t>较好</t>
  </si>
  <si>
    <t>一般</t>
  </si>
  <si>
    <t>收益法 (元)</t>
  </si>
  <si>
    <t>押一</t>
  </si>
  <si>
    <t>钢混</t>
  </si>
  <si>
    <t>非生产用房</t>
  </si>
  <si>
    <t>小区</t>
  </si>
  <si>
    <t>平米租金(元/㎡·月)</t>
  </si>
  <si>
    <t>评估价(元/㎡)</t>
  </si>
  <si>
    <t>单套模式</t>
  </si>
  <si>
    <t>售价</t>
  </si>
  <si>
    <t>南北</t>
    <phoneticPr fontId="24" type="noConversion"/>
  </si>
  <si>
    <t>东南</t>
  </si>
  <si>
    <t>东南</t>
    <phoneticPr fontId="24" type="noConversion"/>
  </si>
  <si>
    <t>西南</t>
    <phoneticPr fontId="24" type="noConversion"/>
  </si>
  <si>
    <t>塔楼</t>
  </si>
  <si>
    <t>塔楼</t>
    <phoneticPr fontId="24" type="noConversion"/>
  </si>
  <si>
    <t>钢混</t>
    <phoneticPr fontId="24" type="noConversion"/>
  </si>
  <si>
    <t>普通装修</t>
  </si>
  <si>
    <t>普通装修</t>
    <phoneticPr fontId="24" type="noConversion"/>
  </si>
  <si>
    <t>物业公司管理</t>
    <phoneticPr fontId="24" type="noConversion"/>
  </si>
  <si>
    <t>七通</t>
    <phoneticPr fontId="24" type="noConversion"/>
  </si>
  <si>
    <t>平层</t>
    <phoneticPr fontId="24" type="noConversion"/>
  </si>
  <si>
    <t>普通装修</t>
    <phoneticPr fontId="24" type="noConversion"/>
  </si>
  <si>
    <t>景观</t>
    <phoneticPr fontId="24" type="noConversion"/>
  </si>
  <si>
    <t>是</t>
    <phoneticPr fontId="24" type="noConversion"/>
  </si>
  <si>
    <t>否</t>
    <phoneticPr fontId="24" type="noConversion"/>
  </si>
  <si>
    <t>万国城moma</t>
    <phoneticPr fontId="3" type="noConversion"/>
  </si>
  <si>
    <t>东</t>
  </si>
  <si>
    <t>东</t>
    <phoneticPr fontId="24" type="noConversion"/>
  </si>
  <si>
    <t>西</t>
    <phoneticPr fontId="24" type="noConversion"/>
  </si>
  <si>
    <t>东北</t>
    <phoneticPr fontId="24" type="noConversion"/>
  </si>
  <si>
    <t>西北</t>
    <phoneticPr fontId="24" type="noConversion"/>
  </si>
  <si>
    <t>楼层</t>
    <phoneticPr fontId="24" type="noConversion"/>
  </si>
  <si>
    <t>31/35</t>
    <phoneticPr fontId="24" type="noConversion"/>
  </si>
  <si>
    <r>
      <rPr>
        <sz val="11"/>
        <color indexed="8"/>
        <rFont val="宋体"/>
        <family val="3"/>
        <charset val="134"/>
      </rPr>
      <t>高</t>
    </r>
    <r>
      <rPr>
        <sz val="11"/>
        <color indexed="8"/>
        <rFont val="Arial"/>
        <family val="2"/>
      </rPr>
      <t>/26</t>
    </r>
    <phoneticPr fontId="24" type="noConversion"/>
  </si>
  <si>
    <t>24/35</t>
    <phoneticPr fontId="24" type="noConversion"/>
  </si>
  <si>
    <t>西北</t>
  </si>
  <si>
    <t>否</t>
    <phoneticPr fontId="24" type="noConversion"/>
  </si>
  <si>
    <t>梵悦万国府</t>
    <phoneticPr fontId="24" type="noConversion"/>
  </si>
  <si>
    <t>建成年代</t>
    <phoneticPr fontId="24" type="noConversion"/>
  </si>
  <si>
    <t>万国城moma</t>
    <phoneticPr fontId="3" type="noConversion"/>
  </si>
  <si>
    <r>
      <rPr>
        <sz val="11"/>
        <color indexed="8"/>
        <rFont val="宋体"/>
        <family val="3"/>
        <charset val="134"/>
      </rPr>
      <t>中</t>
    </r>
    <r>
      <rPr>
        <sz val="11"/>
        <color indexed="8"/>
        <rFont val="Arial"/>
        <family val="2"/>
      </rPr>
      <t>/26</t>
    </r>
    <phoneticPr fontId="24" type="noConversion"/>
  </si>
  <si>
    <t>否</t>
    <phoneticPr fontId="24" type="noConversion"/>
  </si>
  <si>
    <t>https://bj.lianjia.com/chengjiao/101123131279.html</t>
    <phoneticPr fontId="134" type="noConversion"/>
  </si>
  <si>
    <t>https://bj.lianjia.com/chengjiao/101122180171.html</t>
    <phoneticPr fontId="134" type="noConversion"/>
  </si>
  <si>
    <t>成本法 (元)</t>
  </si>
  <si>
    <t>http://bjjs.zjw.beijing.gov.cn/eportal/ui?pageId=320794&amp;projectID=23777629&amp;systemID=3&amp;srcId=1</t>
    <phoneticPr fontId="134" type="noConversion"/>
  </si>
  <si>
    <t>车位</t>
    <phoneticPr fontId="134" type="noConversion"/>
  </si>
  <si>
    <t>公寓</t>
    <phoneticPr fontId="134" type="noConversion"/>
  </si>
  <si>
    <t>http://bjjs.zjw.beijing.gov.cn/eportal/ui?pageId=320794&amp;projectID=23602840&amp;systemID=3&amp;srcId=1</t>
    <phoneticPr fontId="134" type="noConversion"/>
  </si>
  <si>
    <t>http://bjjs.zjw.beijing.gov.cn/eportal/ui?pageId=320794&amp;projectID=21067604&amp;systemID=3&amp;srcId=1</t>
    <phoneticPr fontId="134" type="noConversion"/>
  </si>
  <si>
    <t>梵悦万国府</t>
    <phoneticPr fontId="3" type="noConversion"/>
  </si>
  <si>
    <t>西南</t>
  </si>
  <si>
    <t>是</t>
    <phoneticPr fontId="24" type="noConversion"/>
  </si>
  <si>
    <t>是</t>
    <phoneticPr fontId="24" type="noConversion"/>
  </si>
  <si>
    <t>比较法-住宅（新）</t>
  </si>
  <si>
    <t>比较法-住宅（新）</t>
    <phoneticPr fontId="16" type="noConversion"/>
  </si>
  <si>
    <t>比较法-住宅（二手）</t>
    <phoneticPr fontId="16" type="noConversion"/>
  </si>
  <si>
    <t>毛坯</t>
  </si>
  <si>
    <t>毛坯</t>
    <phoneticPr fontId="134" type="noConversion"/>
  </si>
  <si>
    <t>毛坯</t>
    <phoneticPr fontId="134" type="noConversion"/>
  </si>
  <si>
    <t>朝向</t>
    <phoneticPr fontId="3" type="noConversion"/>
  </si>
  <si>
    <t>东南</t>
    <phoneticPr fontId="24" type="noConversion"/>
  </si>
  <si>
    <t>西南</t>
    <phoneticPr fontId="24" type="noConversion"/>
  </si>
  <si>
    <t>装修</t>
    <phoneticPr fontId="24" type="noConversion"/>
  </si>
  <si>
    <t>成新度</t>
    <phoneticPr fontId="24" type="noConversion"/>
  </si>
  <si>
    <t>城市次干道——胡家园路</t>
    <phoneticPr fontId="24" type="noConversion"/>
  </si>
  <si>
    <t>区域自然环境：亮马河、东城区亮马河公园；人文环境：工人体育场、东直门外清真寺；综合评价环境状况较好</t>
    <phoneticPr fontId="40" type="noConversion"/>
  </si>
  <si>
    <t>500-1000米</t>
  </si>
  <si>
    <t>估价对象周边有24路、117路、123路、132路、135路、413路、515路等多条公交线路，地铁2号线及13号线换乘站（东直门站），东直门长途汽车站等，综合评价交通便捷度较好</t>
    <phoneticPr fontId="40" type="noConversion"/>
  </si>
  <si>
    <t>未包含在土地购买价格中</t>
  </si>
  <si>
    <t>已包含在土地取得成本中</t>
  </si>
  <si>
    <r>
      <t>31/32</t>
    </r>
    <r>
      <rPr>
        <sz val="11"/>
        <color indexed="8"/>
        <rFont val="宋体"/>
        <family val="3"/>
        <charset val="134"/>
      </rPr>
      <t>（</t>
    </r>
    <r>
      <rPr>
        <sz val="11"/>
        <color indexed="8"/>
        <rFont val="Arial"/>
        <family val="2"/>
      </rPr>
      <t>-3</t>
    </r>
    <r>
      <rPr>
        <sz val="11"/>
        <color indexed="8"/>
        <rFont val="宋体"/>
        <family val="3"/>
        <charset val="134"/>
      </rPr>
      <t>）</t>
    </r>
    <phoneticPr fontId="24" type="noConversion"/>
  </si>
  <si>
    <t>25/32（-3）</t>
    <phoneticPr fontId="24" type="noConversion"/>
  </si>
  <si>
    <r>
      <t>27/32</t>
    </r>
    <r>
      <rPr>
        <sz val="11"/>
        <color indexed="8"/>
        <rFont val="宋体"/>
        <family val="3"/>
        <charset val="134"/>
      </rPr>
      <t>（</t>
    </r>
    <r>
      <rPr>
        <sz val="11"/>
        <color indexed="8"/>
        <rFont val="Arial"/>
        <family val="2"/>
      </rPr>
      <t>-3</t>
    </r>
    <r>
      <rPr>
        <sz val="11"/>
        <color indexed="8"/>
        <rFont val="宋体"/>
        <family val="3"/>
        <charset val="134"/>
      </rPr>
      <t>）</t>
    </r>
    <phoneticPr fontId="24" type="noConversion"/>
  </si>
  <si>
    <t>28/32（-3）</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</si>
</sst>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u/>
      <sz val="11"/>
      <color theme="10"/>
      <name val="宋体"/>
      <family val="3"/>
      <charset val="134"/>
      <scheme val="minor"/>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xf numFmtId="0" fontId="271" fillId="0" borderId="0"/>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0" fontId="271" fillId="0" borderId="0" xfId="20"/>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49" fontId="51" fillId="22" borderId="23" xfId="0" applyNumberFormat="1" applyFont="1" applyFill="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4" fontId="271" fillId="0" borderId="0" xfId="20" applyNumberFormat="1"/>
    <xf numFmtId="0" fontId="271" fillId="0" borderId="0" xfId="20"/>
    <xf numFmtId="0" fontId="100" fillId="6" borderId="9" xfId="0" applyFont="1" applyFill="1" applyBorder="1" applyAlignment="1">
      <alignment horizontal="center" vertical="center" wrapText="1"/>
    </xf>
  </cellXfs>
  <cellStyles count="21">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26.jp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png"/><Relationship Id="rId12" Type="http://schemas.openxmlformats.org/officeDocument/2006/relationships/image" Target="../media/image25.jp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jp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jp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jpg"/><Relationship Id="rId14" Type="http://schemas.openxmlformats.org/officeDocument/2006/relationships/image" Target="../media/image27.jpg"/><Relationship Id="rId22" Type="http://schemas.openxmlformats.org/officeDocument/2006/relationships/image" Target="../media/image3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550793</xdr:colOff>
      <xdr:row>25</xdr:row>
      <xdr:rowOff>114301</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182881"/>
          <a:ext cx="6037193" cy="4503420"/>
        </a:xfrm>
        <a:prstGeom prst="rect">
          <a:avLst/>
        </a:prstGeom>
      </xdr:spPr>
    </xdr:pic>
    <xdr:clientData/>
  </xdr:twoCellAnchor>
  <xdr:twoCellAnchor editAs="oneCell">
    <xdr:from>
      <xdr:col>0</xdr:col>
      <xdr:colOff>0</xdr:colOff>
      <xdr:row>28</xdr:row>
      <xdr:rowOff>38100</xdr:rowOff>
    </xdr:from>
    <xdr:to>
      <xdr:col>9</xdr:col>
      <xdr:colOff>438211</xdr:colOff>
      <xdr:row>52</xdr:row>
      <xdr:rowOff>167640</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0" y="5158740"/>
          <a:ext cx="5924611" cy="4518660"/>
        </a:xfrm>
        <a:prstGeom prst="rect">
          <a:avLst/>
        </a:prstGeom>
      </xdr:spPr>
    </xdr:pic>
    <xdr:clientData/>
  </xdr:twoCellAnchor>
  <xdr:twoCellAnchor editAs="oneCell">
    <xdr:from>
      <xdr:col>0</xdr:col>
      <xdr:colOff>0</xdr:colOff>
      <xdr:row>53</xdr:row>
      <xdr:rowOff>0</xdr:rowOff>
    </xdr:from>
    <xdr:to>
      <xdr:col>9</xdr:col>
      <xdr:colOff>381163</xdr:colOff>
      <xdr:row>77</xdr:row>
      <xdr:rowOff>175260</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9692640"/>
          <a:ext cx="5867563" cy="4564380"/>
        </a:xfrm>
        <a:prstGeom prst="rect">
          <a:avLst/>
        </a:prstGeom>
      </xdr:spPr>
    </xdr:pic>
    <xdr:clientData/>
  </xdr:twoCellAnchor>
  <xdr:twoCellAnchor editAs="oneCell">
    <xdr:from>
      <xdr:col>9</xdr:col>
      <xdr:colOff>419100</xdr:colOff>
      <xdr:row>28</xdr:row>
      <xdr:rowOff>22861</xdr:rowOff>
    </xdr:from>
    <xdr:to>
      <xdr:col>27</xdr:col>
      <xdr:colOff>246300</xdr:colOff>
      <xdr:row>49</xdr:row>
      <xdr:rowOff>147794</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5905500" y="5143501"/>
          <a:ext cx="10800000" cy="3965413"/>
        </a:xfrm>
        <a:prstGeom prst="rect">
          <a:avLst/>
        </a:prstGeom>
      </xdr:spPr>
    </xdr:pic>
    <xdr:clientData/>
  </xdr:twoCellAnchor>
  <xdr:twoCellAnchor editAs="oneCell">
    <xdr:from>
      <xdr:col>9</xdr:col>
      <xdr:colOff>373380</xdr:colOff>
      <xdr:row>52</xdr:row>
      <xdr:rowOff>152400</xdr:rowOff>
    </xdr:from>
    <xdr:to>
      <xdr:col>27</xdr:col>
      <xdr:colOff>200580</xdr:colOff>
      <xdr:row>56</xdr:row>
      <xdr:rowOff>181635</xdr:rowOff>
    </xdr:to>
    <xdr:pic>
      <xdr:nvPicPr>
        <xdr:cNvPr id="6" name="图片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5859780" y="9662160"/>
          <a:ext cx="10800000" cy="760755"/>
        </a:xfrm>
        <a:prstGeom prst="rect">
          <a:avLst/>
        </a:prstGeom>
      </xdr:spPr>
    </xdr:pic>
    <xdr:clientData/>
  </xdr:twoCellAnchor>
  <xdr:twoCellAnchor editAs="oneCell">
    <xdr:from>
      <xdr:col>9</xdr:col>
      <xdr:colOff>411480</xdr:colOff>
      <xdr:row>49</xdr:row>
      <xdr:rowOff>114300</xdr:rowOff>
    </xdr:from>
    <xdr:to>
      <xdr:col>27</xdr:col>
      <xdr:colOff>238680</xdr:colOff>
      <xdr:row>53</xdr:row>
      <xdr:rowOff>37534</xdr:rowOff>
    </xdr:to>
    <xdr:pic>
      <xdr:nvPicPr>
        <xdr:cNvPr id="7" name="图片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5897880" y="9075420"/>
          <a:ext cx="10800000" cy="654754"/>
        </a:xfrm>
        <a:prstGeom prst="rect">
          <a:avLst/>
        </a:prstGeom>
      </xdr:spPr>
    </xdr:pic>
    <xdr:clientData/>
  </xdr:twoCellAnchor>
  <xdr:twoCellAnchor editAs="oneCell">
    <xdr:from>
      <xdr:col>9</xdr:col>
      <xdr:colOff>358140</xdr:colOff>
      <xdr:row>56</xdr:row>
      <xdr:rowOff>144780</xdr:rowOff>
    </xdr:from>
    <xdr:to>
      <xdr:col>27</xdr:col>
      <xdr:colOff>185340</xdr:colOff>
      <xdr:row>62</xdr:row>
      <xdr:rowOff>38</xdr:rowOff>
    </xdr:to>
    <xdr:pic>
      <xdr:nvPicPr>
        <xdr:cNvPr id="8" name="图片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7"/>
        <a:stretch>
          <a:fillRect/>
        </a:stretch>
      </xdr:blipFill>
      <xdr:spPr>
        <a:xfrm>
          <a:off x="5844540" y="10386060"/>
          <a:ext cx="10800000" cy="952538"/>
        </a:xfrm>
        <a:prstGeom prst="rect">
          <a:avLst/>
        </a:prstGeom>
      </xdr:spPr>
    </xdr:pic>
    <xdr:clientData/>
  </xdr:twoCellAnchor>
  <xdr:twoCellAnchor editAs="oneCell">
    <xdr:from>
      <xdr:col>9</xdr:col>
      <xdr:colOff>335280</xdr:colOff>
      <xdr:row>61</xdr:row>
      <xdr:rowOff>129541</xdr:rowOff>
    </xdr:from>
    <xdr:to>
      <xdr:col>27</xdr:col>
      <xdr:colOff>162480</xdr:colOff>
      <xdr:row>66</xdr:row>
      <xdr:rowOff>156362</xdr:rowOff>
    </xdr:to>
    <xdr:pic>
      <xdr:nvPicPr>
        <xdr:cNvPr id="9" name="图片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8"/>
        <a:stretch>
          <a:fillRect/>
        </a:stretch>
      </xdr:blipFill>
      <xdr:spPr>
        <a:xfrm>
          <a:off x="5821680" y="11285221"/>
          <a:ext cx="10800000" cy="941221"/>
        </a:xfrm>
        <a:prstGeom prst="rect">
          <a:avLst/>
        </a:prstGeom>
      </xdr:spPr>
    </xdr:pic>
    <xdr:clientData/>
  </xdr:twoCellAnchor>
  <xdr:twoCellAnchor editAs="oneCell">
    <xdr:from>
      <xdr:col>9</xdr:col>
      <xdr:colOff>312420</xdr:colOff>
      <xdr:row>66</xdr:row>
      <xdr:rowOff>121920</xdr:rowOff>
    </xdr:from>
    <xdr:to>
      <xdr:col>27</xdr:col>
      <xdr:colOff>139620</xdr:colOff>
      <xdr:row>74</xdr:row>
      <xdr:rowOff>163630</xdr:rowOff>
    </xdr:to>
    <xdr:pic>
      <xdr:nvPicPr>
        <xdr:cNvPr id="10" name="图片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stretch>
          <a:fillRect/>
        </a:stretch>
      </xdr:blipFill>
      <xdr:spPr>
        <a:xfrm>
          <a:off x="5798820" y="12192000"/>
          <a:ext cx="10800000" cy="1504750"/>
        </a:xfrm>
        <a:prstGeom prst="rect">
          <a:avLst/>
        </a:prstGeom>
      </xdr:spPr>
    </xdr:pic>
    <xdr:clientData/>
  </xdr:twoCellAnchor>
  <xdr:twoCellAnchor editAs="oneCell">
    <xdr:from>
      <xdr:col>0</xdr:col>
      <xdr:colOff>0</xdr:colOff>
      <xdr:row>78</xdr:row>
      <xdr:rowOff>167641</xdr:rowOff>
    </xdr:from>
    <xdr:to>
      <xdr:col>22</xdr:col>
      <xdr:colOff>205809</xdr:colOff>
      <xdr:row>83</xdr:row>
      <xdr:rowOff>129541</xdr:rowOff>
    </xdr:to>
    <xdr:pic>
      <xdr:nvPicPr>
        <xdr:cNvPr id="11" name="图片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0"/>
        <a:stretch>
          <a:fillRect/>
        </a:stretch>
      </xdr:blipFill>
      <xdr:spPr>
        <a:xfrm>
          <a:off x="0" y="14432281"/>
          <a:ext cx="13617009" cy="876300"/>
        </a:xfrm>
        <a:prstGeom prst="rect">
          <a:avLst/>
        </a:prstGeom>
      </xdr:spPr>
    </xdr:pic>
    <xdr:clientData/>
  </xdr:twoCellAnchor>
  <xdr:twoCellAnchor editAs="oneCell">
    <xdr:from>
      <xdr:col>0</xdr:col>
      <xdr:colOff>0</xdr:colOff>
      <xdr:row>83</xdr:row>
      <xdr:rowOff>175260</xdr:rowOff>
    </xdr:from>
    <xdr:to>
      <xdr:col>22</xdr:col>
      <xdr:colOff>91440</xdr:colOff>
      <xdr:row>87</xdr:row>
      <xdr:rowOff>112822</xdr:rowOff>
    </xdr:to>
    <xdr:pic>
      <xdr:nvPicPr>
        <xdr:cNvPr id="12" name="图片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1"/>
        <a:stretch>
          <a:fillRect/>
        </a:stretch>
      </xdr:blipFill>
      <xdr:spPr>
        <a:xfrm>
          <a:off x="0" y="15354300"/>
          <a:ext cx="13502640" cy="6690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17</xdr:col>
      <xdr:colOff>453311</xdr:colOff>
      <xdr:row>27</xdr:row>
      <xdr:rowOff>99060</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 y="0"/>
          <a:ext cx="10816510" cy="5036820"/>
        </a:xfrm>
        <a:prstGeom prst="rect">
          <a:avLst/>
        </a:prstGeom>
      </xdr:spPr>
    </xdr:pic>
    <xdr:clientData/>
  </xdr:twoCellAnchor>
  <xdr:twoCellAnchor editAs="oneCell">
    <xdr:from>
      <xdr:col>0</xdr:col>
      <xdr:colOff>1</xdr:colOff>
      <xdr:row>29</xdr:row>
      <xdr:rowOff>1</xdr:rowOff>
    </xdr:from>
    <xdr:to>
      <xdr:col>11</xdr:col>
      <xdr:colOff>402367</xdr:colOff>
      <xdr:row>57</xdr:row>
      <xdr:rowOff>91441</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 y="5303521"/>
          <a:ext cx="7107966" cy="5212080"/>
        </a:xfrm>
        <a:prstGeom prst="rect">
          <a:avLst/>
        </a:prstGeom>
      </xdr:spPr>
    </xdr:pic>
    <xdr:clientData/>
  </xdr:twoCellAnchor>
  <xdr:twoCellAnchor editAs="oneCell">
    <xdr:from>
      <xdr:col>0</xdr:col>
      <xdr:colOff>0</xdr:colOff>
      <xdr:row>57</xdr:row>
      <xdr:rowOff>83820</xdr:rowOff>
    </xdr:from>
    <xdr:to>
      <xdr:col>9</xdr:col>
      <xdr:colOff>196430</xdr:colOff>
      <xdr:row>74</xdr:row>
      <xdr:rowOff>160020</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10507980"/>
          <a:ext cx="5682830" cy="3185160"/>
        </a:xfrm>
        <a:prstGeom prst="rect">
          <a:avLst/>
        </a:prstGeom>
      </xdr:spPr>
    </xdr:pic>
    <xdr:clientData/>
  </xdr:twoCellAnchor>
  <xdr:twoCellAnchor editAs="oneCell">
    <xdr:from>
      <xdr:col>0</xdr:col>
      <xdr:colOff>0</xdr:colOff>
      <xdr:row>75</xdr:row>
      <xdr:rowOff>38100</xdr:rowOff>
    </xdr:from>
    <xdr:to>
      <xdr:col>9</xdr:col>
      <xdr:colOff>246933</xdr:colOff>
      <xdr:row>86</xdr:row>
      <xdr:rowOff>178801</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13754100"/>
          <a:ext cx="5733333" cy="2152381"/>
        </a:xfrm>
        <a:prstGeom prst="rect">
          <a:avLst/>
        </a:prstGeom>
      </xdr:spPr>
    </xdr:pic>
    <xdr:clientData/>
  </xdr:twoCellAnchor>
  <xdr:twoCellAnchor editAs="oneCell">
    <xdr:from>
      <xdr:col>0</xdr:col>
      <xdr:colOff>0</xdr:colOff>
      <xdr:row>89</xdr:row>
      <xdr:rowOff>160021</xdr:rowOff>
    </xdr:from>
    <xdr:to>
      <xdr:col>10</xdr:col>
      <xdr:colOff>581800</xdr:colOff>
      <xdr:row>111</xdr:row>
      <xdr:rowOff>15241</xdr:rowOff>
    </xdr:to>
    <xdr:pic>
      <xdr:nvPicPr>
        <xdr:cNvPr id="6" name="图片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0" y="16436341"/>
          <a:ext cx="6677800" cy="3878580"/>
        </a:xfrm>
        <a:prstGeom prst="rect">
          <a:avLst/>
        </a:prstGeom>
      </xdr:spPr>
    </xdr:pic>
    <xdr:clientData/>
  </xdr:twoCellAnchor>
  <xdr:twoCellAnchor editAs="oneCell">
    <xdr:from>
      <xdr:col>0</xdr:col>
      <xdr:colOff>0</xdr:colOff>
      <xdr:row>113</xdr:row>
      <xdr:rowOff>38100</xdr:rowOff>
    </xdr:from>
    <xdr:to>
      <xdr:col>9</xdr:col>
      <xdr:colOff>68580</xdr:colOff>
      <xdr:row>137</xdr:row>
      <xdr:rowOff>164060</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a:stretch>
          <a:fillRect/>
        </a:stretch>
      </xdr:blipFill>
      <xdr:spPr>
        <a:xfrm>
          <a:off x="0" y="20703540"/>
          <a:ext cx="5554980" cy="4515080"/>
        </a:xfrm>
        <a:prstGeom prst="rect">
          <a:avLst/>
        </a:prstGeom>
      </xdr:spPr>
    </xdr:pic>
    <xdr:clientData/>
  </xdr:twoCellAnchor>
  <xdr:twoCellAnchor editAs="oneCell">
    <xdr:from>
      <xdr:col>0</xdr:col>
      <xdr:colOff>1</xdr:colOff>
      <xdr:row>137</xdr:row>
      <xdr:rowOff>137160</xdr:rowOff>
    </xdr:from>
    <xdr:to>
      <xdr:col>9</xdr:col>
      <xdr:colOff>496917</xdr:colOff>
      <xdr:row>145</xdr:row>
      <xdr:rowOff>175260</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a:stretch>
          <a:fillRect/>
        </a:stretch>
      </xdr:blipFill>
      <xdr:spPr>
        <a:xfrm>
          <a:off x="1" y="25191720"/>
          <a:ext cx="5983316" cy="1501140"/>
        </a:xfrm>
        <a:prstGeom prst="rect">
          <a:avLst/>
        </a:prstGeom>
      </xdr:spPr>
    </xdr:pic>
    <xdr:clientData/>
  </xdr:twoCellAnchor>
  <xdr:twoCellAnchor editAs="oneCell">
    <xdr:from>
      <xdr:col>0</xdr:col>
      <xdr:colOff>0</xdr:colOff>
      <xdr:row>237</xdr:row>
      <xdr:rowOff>99060</xdr:rowOff>
    </xdr:from>
    <xdr:to>
      <xdr:col>7</xdr:col>
      <xdr:colOff>372414</xdr:colOff>
      <xdr:row>292</xdr:row>
      <xdr:rowOff>99060</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43441620"/>
          <a:ext cx="4639614" cy="10058400"/>
        </a:xfrm>
        <a:prstGeom prst="rect">
          <a:avLst/>
        </a:prstGeom>
      </xdr:spPr>
    </xdr:pic>
    <xdr:clientData/>
  </xdr:twoCellAnchor>
  <xdr:twoCellAnchor editAs="oneCell">
    <xdr:from>
      <xdr:col>0</xdr:col>
      <xdr:colOff>0</xdr:colOff>
      <xdr:row>284</xdr:row>
      <xdr:rowOff>73800</xdr:rowOff>
    </xdr:from>
    <xdr:to>
      <xdr:col>7</xdr:col>
      <xdr:colOff>372414</xdr:colOff>
      <xdr:row>339</xdr:row>
      <xdr:rowOff>73800</xdr:rowOff>
    </xdr:to>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52011720"/>
          <a:ext cx="4639614" cy="10058400"/>
        </a:xfrm>
        <a:prstGeom prst="rect">
          <a:avLst/>
        </a:prstGeom>
      </xdr:spPr>
    </xdr:pic>
    <xdr:clientData/>
  </xdr:twoCellAnchor>
  <xdr:twoCellAnchor editAs="oneCell">
    <xdr:from>
      <xdr:col>7</xdr:col>
      <xdr:colOff>345720</xdr:colOff>
      <xdr:row>237</xdr:row>
      <xdr:rowOff>101880</xdr:rowOff>
    </xdr:from>
    <xdr:to>
      <xdr:col>15</xdr:col>
      <xdr:colOff>108534</xdr:colOff>
      <xdr:row>292</xdr:row>
      <xdr:rowOff>101880</xdr:rowOff>
    </xdr:to>
    <xdr:pic>
      <xdr:nvPicPr>
        <xdr:cNvPr id="11" name="图片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12920" y="43444440"/>
          <a:ext cx="4639614" cy="10058400"/>
        </a:xfrm>
        <a:prstGeom prst="rect">
          <a:avLst/>
        </a:prstGeom>
      </xdr:spPr>
    </xdr:pic>
    <xdr:clientData/>
  </xdr:twoCellAnchor>
  <xdr:twoCellAnchor editAs="oneCell">
    <xdr:from>
      <xdr:col>7</xdr:col>
      <xdr:colOff>348540</xdr:colOff>
      <xdr:row>145</xdr:row>
      <xdr:rowOff>180900</xdr:rowOff>
    </xdr:from>
    <xdr:to>
      <xdr:col>15</xdr:col>
      <xdr:colOff>111354</xdr:colOff>
      <xdr:row>182</xdr:row>
      <xdr:rowOff>22860</xdr:rowOff>
    </xdr:to>
    <xdr:pic>
      <xdr:nvPicPr>
        <xdr:cNvPr id="13" name="图片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34299"/>
        <a:stretch/>
      </xdr:blipFill>
      <xdr:spPr>
        <a:xfrm>
          <a:off x="4615740" y="26698500"/>
          <a:ext cx="4639614" cy="6608520"/>
        </a:xfrm>
        <a:prstGeom prst="rect">
          <a:avLst/>
        </a:prstGeom>
      </xdr:spPr>
    </xdr:pic>
    <xdr:clientData/>
  </xdr:twoCellAnchor>
  <xdr:twoCellAnchor editAs="oneCell">
    <xdr:from>
      <xdr:col>0</xdr:col>
      <xdr:colOff>0</xdr:colOff>
      <xdr:row>146</xdr:row>
      <xdr:rowOff>3240</xdr:rowOff>
    </xdr:from>
    <xdr:to>
      <xdr:col>7</xdr:col>
      <xdr:colOff>388620</xdr:colOff>
      <xdr:row>182</xdr:row>
      <xdr:rowOff>7620</xdr:rowOff>
    </xdr:to>
    <xdr:pic>
      <xdr:nvPicPr>
        <xdr:cNvPr id="14" name="图片 13">
          <a:extLst>
            <a:ext uri="{FF2B5EF4-FFF2-40B4-BE49-F238E27FC236}">
              <a16:creationId xmlns:a16="http://schemas.microsoft.com/office/drawing/2014/main" id="{00000000-0008-0000-1800-00000E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34730"/>
        <a:stretch/>
      </xdr:blipFill>
      <xdr:spPr>
        <a:xfrm>
          <a:off x="0" y="26703720"/>
          <a:ext cx="4655820" cy="6588060"/>
        </a:xfrm>
        <a:prstGeom prst="rect">
          <a:avLst/>
        </a:prstGeom>
      </xdr:spPr>
    </xdr:pic>
    <xdr:clientData/>
  </xdr:twoCellAnchor>
  <xdr:twoCellAnchor editAs="oneCell">
    <xdr:from>
      <xdr:col>0</xdr:col>
      <xdr:colOff>0</xdr:colOff>
      <xdr:row>182</xdr:row>
      <xdr:rowOff>16080</xdr:rowOff>
    </xdr:from>
    <xdr:to>
      <xdr:col>7</xdr:col>
      <xdr:colOff>372414</xdr:colOff>
      <xdr:row>237</xdr:row>
      <xdr:rowOff>16080</xdr:rowOff>
    </xdr:to>
    <xdr:pic>
      <xdr:nvPicPr>
        <xdr:cNvPr id="15" name="图片 14">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33300240"/>
          <a:ext cx="4639614" cy="10058400"/>
        </a:xfrm>
        <a:prstGeom prst="rect">
          <a:avLst/>
        </a:prstGeom>
      </xdr:spPr>
    </xdr:pic>
    <xdr:clientData/>
  </xdr:twoCellAnchor>
  <xdr:twoCellAnchor editAs="oneCell">
    <xdr:from>
      <xdr:col>7</xdr:col>
      <xdr:colOff>373800</xdr:colOff>
      <xdr:row>182</xdr:row>
      <xdr:rowOff>420</xdr:rowOff>
    </xdr:from>
    <xdr:to>
      <xdr:col>15</xdr:col>
      <xdr:colOff>136614</xdr:colOff>
      <xdr:row>237</xdr:row>
      <xdr:rowOff>420</xdr:rowOff>
    </xdr:to>
    <xdr:pic>
      <xdr:nvPicPr>
        <xdr:cNvPr id="12" name="图片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41000" y="33284580"/>
          <a:ext cx="4639614" cy="10058400"/>
        </a:xfrm>
        <a:prstGeom prst="rect">
          <a:avLst/>
        </a:prstGeom>
      </xdr:spPr>
    </xdr:pic>
    <xdr:clientData/>
  </xdr:twoCellAnchor>
  <xdr:twoCellAnchor editAs="oneCell">
    <xdr:from>
      <xdr:col>0</xdr:col>
      <xdr:colOff>1</xdr:colOff>
      <xdr:row>342</xdr:row>
      <xdr:rowOff>0</xdr:rowOff>
    </xdr:from>
    <xdr:to>
      <xdr:col>13</xdr:col>
      <xdr:colOff>332471</xdr:colOff>
      <xdr:row>363</xdr:row>
      <xdr:rowOff>45720</xdr:rowOff>
    </xdr:to>
    <xdr:pic>
      <xdr:nvPicPr>
        <xdr:cNvPr id="16" name="图片 15">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15"/>
        <a:stretch>
          <a:fillRect/>
        </a:stretch>
      </xdr:blipFill>
      <xdr:spPr>
        <a:xfrm>
          <a:off x="1" y="62544960"/>
          <a:ext cx="8257270" cy="3886200"/>
        </a:xfrm>
        <a:prstGeom prst="rect">
          <a:avLst/>
        </a:prstGeom>
      </xdr:spPr>
    </xdr:pic>
    <xdr:clientData/>
  </xdr:twoCellAnchor>
  <xdr:twoCellAnchor editAs="oneCell">
    <xdr:from>
      <xdr:col>15</xdr:col>
      <xdr:colOff>312420</xdr:colOff>
      <xdr:row>238</xdr:row>
      <xdr:rowOff>152400</xdr:rowOff>
    </xdr:from>
    <xdr:to>
      <xdr:col>19</xdr:col>
      <xdr:colOff>597829</xdr:colOff>
      <xdr:row>257</xdr:row>
      <xdr:rowOff>11013</xdr:rowOff>
    </xdr:to>
    <xdr:pic>
      <xdr:nvPicPr>
        <xdr:cNvPr id="17" name="图片 16">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16"/>
        <a:stretch>
          <a:fillRect/>
        </a:stretch>
      </xdr:blipFill>
      <xdr:spPr>
        <a:xfrm>
          <a:off x="9456420" y="43677840"/>
          <a:ext cx="2723809" cy="3333333"/>
        </a:xfrm>
        <a:prstGeom prst="rect">
          <a:avLst/>
        </a:prstGeom>
      </xdr:spPr>
    </xdr:pic>
    <xdr:clientData/>
  </xdr:twoCellAnchor>
  <xdr:twoCellAnchor editAs="oneCell">
    <xdr:from>
      <xdr:col>0</xdr:col>
      <xdr:colOff>0</xdr:colOff>
      <xdr:row>364</xdr:row>
      <xdr:rowOff>121920</xdr:rowOff>
    </xdr:from>
    <xdr:to>
      <xdr:col>16</xdr:col>
      <xdr:colOff>160686</xdr:colOff>
      <xdr:row>413</xdr:row>
      <xdr:rowOff>36990</xdr:rowOff>
    </xdr:to>
    <xdr:pic>
      <xdr:nvPicPr>
        <xdr:cNvPr id="18" name="图片 17">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17"/>
        <a:stretch>
          <a:fillRect/>
        </a:stretch>
      </xdr:blipFill>
      <xdr:spPr>
        <a:xfrm>
          <a:off x="0" y="66690240"/>
          <a:ext cx="9914286" cy="8876190"/>
        </a:xfrm>
        <a:prstGeom prst="rect">
          <a:avLst/>
        </a:prstGeom>
      </xdr:spPr>
    </xdr:pic>
    <xdr:clientData/>
  </xdr:twoCellAnchor>
  <xdr:twoCellAnchor editAs="oneCell">
    <xdr:from>
      <xdr:col>0</xdr:col>
      <xdr:colOff>0</xdr:colOff>
      <xdr:row>413</xdr:row>
      <xdr:rowOff>106680</xdr:rowOff>
    </xdr:from>
    <xdr:to>
      <xdr:col>20</xdr:col>
      <xdr:colOff>274667</xdr:colOff>
      <xdr:row>444</xdr:row>
      <xdr:rowOff>46924</xdr:rowOff>
    </xdr:to>
    <xdr:pic>
      <xdr:nvPicPr>
        <xdr:cNvPr id="19" name="图片 18">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18"/>
        <a:stretch>
          <a:fillRect/>
        </a:stretch>
      </xdr:blipFill>
      <xdr:spPr>
        <a:xfrm>
          <a:off x="0" y="75636120"/>
          <a:ext cx="12466667" cy="5609524"/>
        </a:xfrm>
        <a:prstGeom prst="rect">
          <a:avLst/>
        </a:prstGeom>
      </xdr:spPr>
    </xdr:pic>
    <xdr:clientData/>
  </xdr:twoCellAnchor>
  <xdr:twoCellAnchor editAs="oneCell">
    <xdr:from>
      <xdr:col>0</xdr:col>
      <xdr:colOff>0</xdr:colOff>
      <xdr:row>444</xdr:row>
      <xdr:rowOff>1</xdr:rowOff>
    </xdr:from>
    <xdr:to>
      <xdr:col>16</xdr:col>
      <xdr:colOff>148305</xdr:colOff>
      <xdr:row>469</xdr:row>
      <xdr:rowOff>160021</xdr:rowOff>
    </xdr:to>
    <xdr:pic>
      <xdr:nvPicPr>
        <xdr:cNvPr id="20" name="图片 19">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19"/>
        <a:stretch>
          <a:fillRect/>
        </a:stretch>
      </xdr:blipFill>
      <xdr:spPr>
        <a:xfrm>
          <a:off x="0" y="81198721"/>
          <a:ext cx="9901905" cy="4732020"/>
        </a:xfrm>
        <a:prstGeom prst="rect">
          <a:avLst/>
        </a:prstGeom>
      </xdr:spPr>
    </xdr:pic>
    <xdr:clientData/>
  </xdr:twoCellAnchor>
  <xdr:twoCellAnchor editAs="oneCell">
    <xdr:from>
      <xdr:col>0</xdr:col>
      <xdr:colOff>0</xdr:colOff>
      <xdr:row>469</xdr:row>
      <xdr:rowOff>114300</xdr:rowOff>
    </xdr:from>
    <xdr:to>
      <xdr:col>16</xdr:col>
      <xdr:colOff>259080</xdr:colOff>
      <xdr:row>479</xdr:row>
      <xdr:rowOff>51965</xdr:rowOff>
    </xdr:to>
    <xdr:pic>
      <xdr:nvPicPr>
        <xdr:cNvPr id="21" name="图片 20">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20"/>
        <a:stretch>
          <a:fillRect/>
        </a:stretch>
      </xdr:blipFill>
      <xdr:spPr>
        <a:xfrm>
          <a:off x="0" y="85885020"/>
          <a:ext cx="10012680" cy="1766465"/>
        </a:xfrm>
        <a:prstGeom prst="rect">
          <a:avLst/>
        </a:prstGeom>
      </xdr:spPr>
    </xdr:pic>
    <xdr:clientData/>
  </xdr:twoCellAnchor>
  <xdr:twoCellAnchor editAs="oneCell">
    <xdr:from>
      <xdr:col>15</xdr:col>
      <xdr:colOff>327660</xdr:colOff>
      <xdr:row>266</xdr:row>
      <xdr:rowOff>121921</xdr:rowOff>
    </xdr:from>
    <xdr:to>
      <xdr:col>24</xdr:col>
      <xdr:colOff>440850</xdr:colOff>
      <xdr:row>304</xdr:row>
      <xdr:rowOff>1</xdr:rowOff>
    </xdr:to>
    <xdr:pic>
      <xdr:nvPicPr>
        <xdr:cNvPr id="22" name="图片 21">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21"/>
        <a:stretch>
          <a:fillRect/>
        </a:stretch>
      </xdr:blipFill>
      <xdr:spPr>
        <a:xfrm>
          <a:off x="9471660" y="48768001"/>
          <a:ext cx="5599590" cy="6827520"/>
        </a:xfrm>
        <a:prstGeom prst="rect">
          <a:avLst/>
        </a:prstGeom>
      </xdr:spPr>
    </xdr:pic>
    <xdr:clientData/>
  </xdr:twoCellAnchor>
  <xdr:twoCellAnchor editAs="oneCell">
    <xdr:from>
      <xdr:col>24</xdr:col>
      <xdr:colOff>419100</xdr:colOff>
      <xdr:row>266</xdr:row>
      <xdr:rowOff>106681</xdr:rowOff>
    </xdr:from>
    <xdr:to>
      <xdr:col>34</xdr:col>
      <xdr:colOff>40118</xdr:colOff>
      <xdr:row>304</xdr:row>
      <xdr:rowOff>38101</xdr:rowOff>
    </xdr:to>
    <xdr:pic>
      <xdr:nvPicPr>
        <xdr:cNvPr id="23" name="图片 22">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22"/>
        <a:stretch>
          <a:fillRect/>
        </a:stretch>
      </xdr:blipFill>
      <xdr:spPr>
        <a:xfrm>
          <a:off x="15049500" y="48752761"/>
          <a:ext cx="5717018" cy="6880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76200</xdr:rowOff>
    </xdr:from>
    <xdr:to>
      <xdr:col>8</xdr:col>
      <xdr:colOff>1478280</xdr:colOff>
      <xdr:row>9</xdr:row>
      <xdr:rowOff>152692</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670560"/>
          <a:ext cx="13670280" cy="1265212"/>
        </a:xfrm>
        <a:prstGeom prst="rect">
          <a:avLst/>
        </a:prstGeom>
      </xdr:spPr>
    </xdr:pic>
    <xdr:clientData/>
  </xdr:twoCellAnchor>
  <xdr:twoCellAnchor editAs="oneCell">
    <xdr:from>
      <xdr:col>0</xdr:col>
      <xdr:colOff>0</xdr:colOff>
      <xdr:row>7</xdr:row>
      <xdr:rowOff>38101</xdr:rowOff>
    </xdr:from>
    <xdr:to>
      <xdr:col>8</xdr:col>
      <xdr:colOff>1508760</xdr:colOff>
      <xdr:row>11</xdr:row>
      <xdr:rowOff>159005</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1424941"/>
          <a:ext cx="13700760" cy="913384"/>
        </a:xfrm>
        <a:prstGeom prst="rect">
          <a:avLst/>
        </a:prstGeom>
      </xdr:spPr>
    </xdr:pic>
    <xdr:clientData/>
  </xdr:twoCellAnchor>
  <xdr:twoCellAnchor editAs="oneCell">
    <xdr:from>
      <xdr:col>0</xdr:col>
      <xdr:colOff>0</xdr:colOff>
      <xdr:row>70</xdr:row>
      <xdr:rowOff>0</xdr:rowOff>
    </xdr:from>
    <xdr:to>
      <xdr:col>11</xdr:col>
      <xdr:colOff>340762</xdr:colOff>
      <xdr:row>117</xdr:row>
      <xdr:rowOff>21693</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0" y="13868400"/>
          <a:ext cx="17104762" cy="9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bjjs.zjw.beijing.gov.cn/eportal/ui?pageId=320794&amp;projectID=21067604&amp;systemID=3&amp;srcId=1" TargetMode="External"/><Relationship Id="rId2" Type="http://schemas.openxmlformats.org/officeDocument/2006/relationships/hyperlink" Target="http://bjjs.zjw.beijing.gov.cn/eportal/ui?pageId=320794&amp;projectID=23602840&amp;systemID=3&amp;srcId=1" TargetMode="External"/><Relationship Id="rId1" Type="http://schemas.openxmlformats.org/officeDocument/2006/relationships/hyperlink" Target="http://bjjs.zjw.beijing.gov.cn/eportal/ui?pageId=320794&amp;projectID=23777629&amp;systemID=3&amp;srcId=1" TargetMode="External"/><Relationship Id="rId4"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hyperlink" Target="https://bj.lianjia.com/chengjiao/101122180171.html" TargetMode="External"/><Relationship Id="rId2" Type="http://schemas.openxmlformats.org/officeDocument/2006/relationships/hyperlink" Target="https://bj.lianjia.com/chengjiao/101123131279.html" TargetMode="External"/><Relationship Id="rId1" Type="http://schemas.openxmlformats.org/officeDocument/2006/relationships/hyperlink" Target="https://paimai.jd.com/293884109" TargetMode="External"/><Relationship Id="rId4"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估价对象为北京市房地产，为所有。根据《国有土地使用证》[]，估价对象（分摊）出让国有建设用地使用权面积为0平方米，建筑面积为375.87平方米。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估价对象为北京市房地产,属开发建设的，该项目尚在开发建设中。根据《国有土地使用证》[]，估价对象（分摊）出让国有建设用地使用权面积为0平方米，规划建筑面积为375.87平方米。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2024年11月26日</v>
      </c>
    </row>
    <row r="13" spans="1:2">
      <c r="A13" s="1118" t="s">
        <v>529</v>
      </c>
      <c r="B13" s="1119" t="str">
        <f>'预评函-1'!A18</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375.87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2" sqref="F22:F23"/>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3339</v>
      </c>
    </row>
    <row r="8" spans="1:23">
      <c r="A8" s="1440" t="s">
        <v>1026</v>
      </c>
      <c r="B8" s="1440" t="s">
        <v>1027</v>
      </c>
      <c r="C8" s="1441" t="s">
        <v>319</v>
      </c>
      <c r="F8" s="1442" t="s">
        <v>1028</v>
      </c>
      <c r="H8" s="1442" t="s">
        <v>2574</v>
      </c>
      <c r="I8" s="1442" t="s">
        <v>3340</v>
      </c>
    </row>
    <row r="9" spans="1:23">
      <c r="A9" s="1440" t="s">
        <v>1029</v>
      </c>
      <c r="B9" s="1440" t="s">
        <v>1030</v>
      </c>
      <c r="C9" s="1441" t="s">
        <v>320</v>
      </c>
      <c r="F9" s="1442" t="s">
        <v>1031</v>
      </c>
      <c r="H9" s="1442"/>
      <c r="I9" s="1444" t="s">
        <v>3341</v>
      </c>
    </row>
    <row r="10" spans="1:23">
      <c r="A10" s="1440" t="s">
        <v>1032</v>
      </c>
      <c r="B10" s="1440" t="s">
        <v>1033</v>
      </c>
      <c r="C10" s="1441" t="s">
        <v>321</v>
      </c>
      <c r="F10" s="1442" t="s">
        <v>2575</v>
      </c>
      <c r="I10" s="1444" t="s">
        <v>3342</v>
      </c>
    </row>
    <row r="11" spans="1:23">
      <c r="A11" s="1440" t="s">
        <v>1034</v>
      </c>
      <c r="B11" s="1440" t="s">
        <v>1035</v>
      </c>
      <c r="C11" s="1441" t="s">
        <v>322</v>
      </c>
      <c r="F11" s="1442" t="s">
        <v>13</v>
      </c>
      <c r="I11" s="1444" t="s">
        <v>3343</v>
      </c>
    </row>
    <row r="12" spans="1:23">
      <c r="A12" s="1440" t="s">
        <v>1036</v>
      </c>
      <c r="B12" s="1440" t="s">
        <v>1037</v>
      </c>
      <c r="C12" s="1441" t="s">
        <v>323</v>
      </c>
      <c r="I12" s="1444" t="s">
        <v>3344</v>
      </c>
    </row>
    <row r="13" spans="1:23">
      <c r="A13" s="1440" t="s">
        <v>1038</v>
      </c>
      <c r="B13" s="1440" t="s">
        <v>1039</v>
      </c>
      <c r="C13" s="1441" t="s">
        <v>324</v>
      </c>
      <c r="I13" s="1444" t="s">
        <v>3345</v>
      </c>
    </row>
    <row r="14" spans="1:23">
      <c r="A14" s="1440" t="s">
        <v>1040</v>
      </c>
      <c r="B14" s="1440" t="s">
        <v>1041</v>
      </c>
      <c r="C14" s="1442" t="s">
        <v>13</v>
      </c>
      <c r="I14" s="1444" t="s">
        <v>3346</v>
      </c>
    </row>
    <row r="15" spans="1:23">
      <c r="A15" s="1440" t="s">
        <v>1042</v>
      </c>
      <c r="B15" s="1440" t="s">
        <v>1043</v>
      </c>
      <c r="C15" s="1441"/>
      <c r="I15" s="1444" t="s">
        <v>3347</v>
      </c>
    </row>
    <row r="16" spans="1:23">
      <c r="A16" s="1440" t="s">
        <v>1044</v>
      </c>
      <c r="B16" s="1440" t="s">
        <v>312</v>
      </c>
      <c r="C16" s="1441"/>
    </row>
    <row r="17" spans="1:3">
      <c r="A17" s="1440" t="s">
        <v>1045</v>
      </c>
      <c r="B17" s="1440" t="s">
        <v>2289</v>
      </c>
      <c r="C17" s="1441"/>
    </row>
    <row r="18" spans="1:3">
      <c r="A18" s="1440" t="s">
        <v>1046</v>
      </c>
      <c r="B18" s="1440" t="s">
        <v>2430</v>
      </c>
      <c r="C18" s="1441"/>
    </row>
    <row r="19" spans="1:3">
      <c r="A19" s="1440" t="s">
        <v>1047</v>
      </c>
      <c r="B19" s="1440" t="s">
        <v>3540</v>
      </c>
      <c r="C19" s="1441"/>
    </row>
    <row r="20" spans="1:3">
      <c r="A20" s="1440" t="s">
        <v>1048</v>
      </c>
      <c r="B20" s="1440" t="s">
        <v>3541</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6" t="s">
        <v>385</v>
      </c>
      <c r="C54" s="1444" t="s">
        <v>583</v>
      </c>
    </row>
    <row r="55" spans="1:4">
      <c r="A55" s="3204"/>
      <c r="B55" s="1446" t="s">
        <v>386</v>
      </c>
      <c r="C55" s="1444" t="s">
        <v>584</v>
      </c>
    </row>
    <row r="56" spans="1:4">
      <c r="A56" s="3204"/>
      <c r="B56" s="1446" t="s">
        <v>387</v>
      </c>
      <c r="C56" s="1444" t="s">
        <v>588</v>
      </c>
    </row>
    <row r="57" spans="1:4">
      <c r="A57" s="320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05" t="s">
        <v>2577</v>
      </c>
      <c r="J2" s="3205"/>
      <c r="K2" s="3205"/>
      <c r="L2" s="3205"/>
      <c r="M2" s="3205"/>
      <c r="N2" s="3205"/>
      <c r="O2" s="3205"/>
      <c r="P2" s="3205"/>
      <c r="Q2" s="3205"/>
      <c r="R2" s="3205"/>
    </row>
    <row r="3" spans="1:18">
      <c r="A3" s="2760" t="s">
        <v>2498</v>
      </c>
      <c r="B3" s="2761">
        <f>项目基本情况!D3</f>
        <v>45622</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2.06</v>
      </c>
      <c r="D5" s="2765">
        <f>IF(ISERROR(ROUND(POWER(1+E5,A5-C5)*(POWER(1+E5,C5)-1)/(POWER(1+E5,A5)-1),3)),0,ROUND(POWER(1+E5,A5-C5)*(POWER(1+E5,C5)-1)/(POWER(1+E5,A5)-1),4))</f>
        <v>9.8000000000000004E-2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12.07</v>
      </c>
      <c r="D6" s="2765">
        <f>IF(ISERROR(ROUND(POWER(1+E6,A6-C6)*(POWER(1+E6,C6)-1)/(POWER(1+E6,A6)-1),3)),0,ROUND(POWER(1+E6,A6-C6)*(POWER(1+E6,C6)-1)/(POWER(1+E6,A6)-1),4))</f>
        <v>0.43890000000000001</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32.08</v>
      </c>
      <c r="D7" s="2765">
        <f>IF(ISERROR(ROUND(POWER(1+E7,A7-C7)*(POWER(1+E7,C7)-1)/(POWER(1+E7,A7)-1),3)),0,ROUND(POWER(1+E7,A7-C7)*(POWER(1+E7,C7)-1)/(POWER(1+E7,A7)-1),4))</f>
        <v>0.76500000000000001</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3">
      <c r="A17" s="2760" t="s">
        <v>2514</v>
      </c>
      <c r="B17" s="2768">
        <v>4810</v>
      </c>
      <c r="C17" s="2762"/>
      <c r="D17" s="2758"/>
      <c r="E17" s="2758"/>
      <c r="F17" s="2759"/>
    </row>
    <row r="18" spans="1:13" ht="14.25" thickBot="1">
      <c r="A18" s="2770" t="s">
        <v>2513</v>
      </c>
      <c r="B18" s="2771">
        <f>ROUND(B17*F11/F12,2)</f>
        <v>5541.87</v>
      </c>
      <c r="C18" s="2771">
        <f>ROUND(F11/F12,4)</f>
        <v>1.1521999999999999</v>
      </c>
      <c r="D18" s="2772"/>
      <c r="E18" s="2772"/>
      <c r="F18" s="2773"/>
    </row>
    <row r="19" spans="1:13" ht="14.25" thickBot="1"/>
    <row r="20" spans="1:13" s="2806" customFormat="1" ht="14.25" thickTop="1">
      <c r="A20" s="2803" t="s">
        <v>2516</v>
      </c>
      <c r="B20" s="2804"/>
      <c r="C20" s="2804"/>
      <c r="D20" s="2804"/>
      <c r="E20" s="2804"/>
      <c r="F20" s="2804"/>
      <c r="G20" s="2805"/>
      <c r="I20" s="2807" t="s">
        <v>2561</v>
      </c>
      <c r="J20" s="2807" t="s">
        <v>2566</v>
      </c>
      <c r="K20" s="2807"/>
      <c r="L20" s="2807"/>
      <c r="M20" s="2807"/>
    </row>
    <row r="21" spans="1:13">
      <c r="A21" s="2774"/>
      <c r="B21" s="2775" t="s">
        <v>2517</v>
      </c>
      <c r="C21" s="2775" t="s">
        <v>2518</v>
      </c>
      <c r="D21" s="2775" t="s">
        <v>2519</v>
      </c>
      <c r="E21" s="2775" t="s">
        <v>2520</v>
      </c>
      <c r="F21" s="2775" t="s">
        <v>2521</v>
      </c>
      <c r="G21" s="2776" t="s">
        <v>2522</v>
      </c>
      <c r="I21" s="2797">
        <v>5</v>
      </c>
      <c r="J21" s="2797">
        <v>54.2</v>
      </c>
    </row>
    <row r="22" spans="1:13">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M23" s="2797" t="s">
        <v>2565</v>
      </c>
    </row>
    <row r="24" spans="1:13">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M24" s="2797">
        <v>10</v>
      </c>
    </row>
    <row r="25" spans="1:13">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M25" s="2797">
        <v>8</v>
      </c>
    </row>
    <row r="26" spans="1:13">
      <c r="A26" s="2779"/>
      <c r="B26" s="2780"/>
      <c r="C26" s="2780"/>
      <c r="D26" s="2780"/>
      <c r="E26" s="2780"/>
      <c r="F26" s="2780"/>
      <c r="G26" s="2781"/>
      <c r="I26" s="2797">
        <v>30</v>
      </c>
      <c r="J26" s="2797">
        <v>90.5</v>
      </c>
      <c r="K26" s="2797">
        <f t="shared" si="2"/>
        <v>4.2000000000000028</v>
      </c>
      <c r="L26" s="2797" t="s">
        <v>2568</v>
      </c>
      <c r="M26" s="2797">
        <v>5</v>
      </c>
    </row>
    <row r="27" spans="1:13">
      <c r="A27" s="2779" t="s">
        <v>2527</v>
      </c>
      <c r="B27" s="2780"/>
      <c r="C27" s="2780"/>
      <c r="D27" s="2780"/>
      <c r="E27" s="2780"/>
      <c r="F27" s="2780"/>
      <c r="G27" s="2781"/>
      <c r="I27" s="2797">
        <v>35</v>
      </c>
      <c r="J27" s="2797">
        <v>93.8</v>
      </c>
      <c r="K27" s="2797">
        <f t="shared" si="2"/>
        <v>3.2999999999999972</v>
      </c>
      <c r="L27" s="2797" t="s">
        <v>2569</v>
      </c>
      <c r="M27" s="2797">
        <v>3</v>
      </c>
    </row>
    <row r="28" spans="1:13">
      <c r="A28" s="2779" t="s">
        <v>2528</v>
      </c>
      <c r="B28" s="2780"/>
      <c r="C28" s="2780"/>
      <c r="D28" s="2780"/>
      <c r="E28" s="2780"/>
      <c r="F28" s="2780"/>
      <c r="G28" s="2781"/>
      <c r="I28" s="2797">
        <v>40</v>
      </c>
      <c r="J28" s="2797">
        <v>96.4</v>
      </c>
      <c r="K28" s="2797">
        <f t="shared" si="2"/>
        <v>2.6000000000000085</v>
      </c>
      <c r="L28" s="2797" t="s">
        <v>2570</v>
      </c>
      <c r="M28" s="2797">
        <v>2</v>
      </c>
    </row>
    <row r="29" spans="1:13">
      <c r="A29" s="2779" t="s">
        <v>2529</v>
      </c>
      <c r="B29" s="2780"/>
      <c r="C29" s="2780"/>
      <c r="D29" s="2780"/>
      <c r="E29" s="2780"/>
      <c r="F29" s="2780"/>
      <c r="G29" s="2781"/>
      <c r="I29" s="2797">
        <v>45</v>
      </c>
      <c r="J29" s="2797">
        <v>98.4</v>
      </c>
      <c r="K29" s="2797">
        <f t="shared" si="2"/>
        <v>2</v>
      </c>
    </row>
    <row r="30" spans="1:13">
      <c r="A30" s="2779" t="s">
        <v>2530</v>
      </c>
      <c r="B30" s="2780"/>
      <c r="C30" s="2780"/>
      <c r="D30" s="2780"/>
      <c r="E30" s="2780"/>
      <c r="F30" s="2780"/>
      <c r="G30" s="2781"/>
      <c r="I30" s="2797">
        <v>50</v>
      </c>
      <c r="J30" s="2797">
        <v>100</v>
      </c>
      <c r="K30" s="2797">
        <f t="shared" si="2"/>
        <v>1.5999999999999943</v>
      </c>
    </row>
    <row r="31" spans="1:13">
      <c r="A31" s="2779" t="s">
        <v>2531</v>
      </c>
      <c r="B31" s="2780"/>
      <c r="C31" s="2780"/>
      <c r="D31" s="2780"/>
      <c r="E31" s="2780"/>
      <c r="F31" s="2780"/>
      <c r="G31" s="2781"/>
      <c r="I31" s="2797" t="s">
        <v>2562</v>
      </c>
    </row>
    <row r="32" spans="1:13">
      <c r="A32" s="2779" t="s">
        <v>2532</v>
      </c>
      <c r="B32" s="2780"/>
      <c r="C32" s="2780"/>
      <c r="D32" s="2780"/>
      <c r="E32" s="2780"/>
      <c r="F32" s="2780"/>
      <c r="G32" s="2781"/>
    </row>
    <row r="33" spans="1:13">
      <c r="A33" s="2779" t="s">
        <v>2533</v>
      </c>
      <c r="B33" s="2780"/>
      <c r="C33" s="2780"/>
      <c r="D33" s="2780"/>
      <c r="E33" s="2780"/>
      <c r="F33" s="2780"/>
      <c r="G33" s="2781"/>
      <c r="I33" s="2797" t="s">
        <v>2561</v>
      </c>
      <c r="J33" s="2797" t="s">
        <v>2571</v>
      </c>
    </row>
    <row r="34" spans="1:13">
      <c r="A34" s="2779" t="s">
        <v>2534</v>
      </c>
      <c r="B34" s="2780"/>
      <c r="C34" s="2780"/>
      <c r="D34" s="2780"/>
      <c r="E34" s="2780"/>
      <c r="F34" s="2780"/>
      <c r="G34" s="2781"/>
      <c r="I34" s="2797">
        <v>5</v>
      </c>
      <c r="J34" s="2797">
        <v>55.1</v>
      </c>
    </row>
    <row r="35" spans="1:13">
      <c r="A35" s="2779" t="s">
        <v>2535</v>
      </c>
      <c r="B35" s="2780"/>
      <c r="C35" s="2780"/>
      <c r="D35" s="2780"/>
      <c r="E35" s="2780"/>
      <c r="F35" s="2780"/>
      <c r="G35" s="2781"/>
      <c r="I35" s="2797">
        <v>10</v>
      </c>
      <c r="J35" s="2797">
        <v>67</v>
      </c>
      <c r="K35" s="2797">
        <f>J35-J34</f>
        <v>11.899999999999999</v>
      </c>
    </row>
    <row r="36" spans="1:13">
      <c r="A36" s="2779" t="s">
        <v>2536</v>
      </c>
      <c r="B36" s="2780"/>
      <c r="C36" s="2780"/>
      <c r="D36" s="2780"/>
      <c r="E36" s="2780"/>
      <c r="F36" s="2780"/>
      <c r="G36" s="2781"/>
      <c r="I36" s="2797">
        <v>15</v>
      </c>
      <c r="J36" s="2797">
        <v>76.3</v>
      </c>
      <c r="K36" s="2797">
        <f t="shared" ref="K36:K41" si="3">J36-J35</f>
        <v>9.2999999999999972</v>
      </c>
      <c r="L36" s="2797" t="s">
        <v>2564</v>
      </c>
      <c r="M36" s="2797" t="s">
        <v>2565</v>
      </c>
    </row>
    <row r="37" spans="1:13">
      <c r="A37" s="2779" t="s">
        <v>2537</v>
      </c>
      <c r="B37" s="2780"/>
      <c r="C37" s="2780"/>
      <c r="D37" s="2780"/>
      <c r="E37" s="2780"/>
      <c r="F37" s="2780"/>
      <c r="G37" s="2781"/>
      <c r="I37" s="2797">
        <v>20</v>
      </c>
      <c r="J37" s="2797">
        <v>83.6</v>
      </c>
      <c r="K37" s="2797">
        <f t="shared" si="3"/>
        <v>7.2999999999999972</v>
      </c>
      <c r="L37" s="2797" t="s">
        <v>2563</v>
      </c>
      <c r="M37" s="2797">
        <v>10</v>
      </c>
    </row>
    <row r="38" spans="1:13">
      <c r="A38" s="2779" t="s">
        <v>2538</v>
      </c>
      <c r="B38" s="2780"/>
      <c r="C38" s="2780"/>
      <c r="D38" s="2780"/>
      <c r="E38" s="2780"/>
      <c r="F38" s="2780"/>
      <c r="G38" s="2781"/>
      <c r="I38" s="2797">
        <v>25</v>
      </c>
      <c r="J38" s="2797">
        <v>89.3</v>
      </c>
      <c r="K38" s="2797">
        <f t="shared" si="3"/>
        <v>5.7000000000000028</v>
      </c>
      <c r="L38" s="2797" t="s">
        <v>2567</v>
      </c>
      <c r="M38" s="2797">
        <v>8</v>
      </c>
    </row>
    <row r="39" spans="1:13">
      <c r="A39" s="2779"/>
      <c r="B39" s="2780"/>
      <c r="C39" s="2780"/>
      <c r="D39" s="2780"/>
      <c r="E39" s="2780"/>
      <c r="F39" s="2780"/>
      <c r="G39" s="2781"/>
      <c r="I39" s="2797">
        <v>30</v>
      </c>
      <c r="J39" s="2797">
        <v>93.8</v>
      </c>
      <c r="K39" s="2797">
        <f t="shared" si="3"/>
        <v>4.5</v>
      </c>
      <c r="L39" s="2797" t="s">
        <v>2568</v>
      </c>
      <c r="M39" s="2797">
        <v>6</v>
      </c>
    </row>
    <row r="40" spans="1:13">
      <c r="A40" s="2782" t="s">
        <v>2539</v>
      </c>
      <c r="B40" s="2783"/>
      <c r="C40" s="2783"/>
      <c r="D40" s="2783"/>
      <c r="E40" s="2783"/>
      <c r="F40" s="2783"/>
      <c r="G40" s="2784"/>
      <c r="I40" s="2797">
        <v>35</v>
      </c>
      <c r="J40" s="2797">
        <v>97.2</v>
      </c>
      <c r="K40" s="2797">
        <f t="shared" si="3"/>
        <v>3.4000000000000057</v>
      </c>
      <c r="L40" s="2797" t="s">
        <v>2569</v>
      </c>
      <c r="M40" s="2797">
        <v>3</v>
      </c>
    </row>
    <row r="41" spans="1:13">
      <c r="A41" s="2785" t="s">
        <v>2540</v>
      </c>
      <c r="B41" s="2786" t="s">
        <v>2541</v>
      </c>
      <c r="C41" s="2787" t="s">
        <v>2542</v>
      </c>
      <c r="D41" s="2787" t="s">
        <v>2543</v>
      </c>
      <c r="E41" s="2788"/>
      <c r="F41" s="2789"/>
      <c r="G41" s="2790"/>
      <c r="I41" s="2797">
        <v>40</v>
      </c>
      <c r="J41" s="2797">
        <v>100</v>
      </c>
      <c r="K41" s="2797">
        <f t="shared" si="3"/>
        <v>2.7999999999999972</v>
      </c>
    </row>
    <row r="42" spans="1:13">
      <c r="A42" s="2785" t="s">
        <v>2544</v>
      </c>
      <c r="B42" s="2786" t="s">
        <v>2545</v>
      </c>
      <c r="C42" s="2787" t="s">
        <v>2546</v>
      </c>
      <c r="D42" s="2791" t="s">
        <v>2547</v>
      </c>
      <c r="E42" s="2783" t="s">
        <v>2548</v>
      </c>
      <c r="F42" s="2783"/>
      <c r="G42" s="2784"/>
    </row>
    <row r="43" spans="1:13">
      <c r="A43" s="2785" t="s">
        <v>2549</v>
      </c>
      <c r="B43" s="2786" t="s">
        <v>2550</v>
      </c>
      <c r="C43" s="2787" t="s">
        <v>2551</v>
      </c>
      <c r="D43" s="2787" t="s">
        <v>2552</v>
      </c>
      <c r="E43" s="2788" t="s">
        <v>2553</v>
      </c>
      <c r="F43" s="2789"/>
      <c r="G43" s="2790"/>
      <c r="I43" s="2797" t="s">
        <v>2561</v>
      </c>
      <c r="J43" s="2797" t="s">
        <v>2572</v>
      </c>
    </row>
    <row r="44" spans="1:13">
      <c r="A44" s="2785" t="s">
        <v>2554</v>
      </c>
      <c r="B44" s="2786" t="s">
        <v>2555</v>
      </c>
      <c r="C44" s="2787" t="s">
        <v>2556</v>
      </c>
      <c r="D44" s="2791">
        <v>0.5</v>
      </c>
      <c r="E44" s="2788" t="s">
        <v>2557</v>
      </c>
      <c r="F44" s="2789"/>
      <c r="G44" s="2790"/>
      <c r="I44" s="2797">
        <v>30</v>
      </c>
      <c r="J44" s="2797">
        <v>81.7</v>
      </c>
    </row>
    <row r="45" spans="1:13" ht="14.25" thickBot="1">
      <c r="A45" s="2792" t="s">
        <v>2558</v>
      </c>
      <c r="B45" s="2793" t="s">
        <v>2545</v>
      </c>
      <c r="C45" s="2794" t="s">
        <v>2545</v>
      </c>
      <c r="D45" s="2794" t="s">
        <v>2559</v>
      </c>
      <c r="E45" s="2795" t="s">
        <v>2560</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B8" sqref="B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06" t="str">
        <f>IF(B10="北京市","北京市",C10)&amp;F10&amp;IF(结果表!G1="在建","出让国有建设用地使用权及在建建筑物",IF(结果表!G1="土地","出让国有建设用地使用权",))&amp;B9&amp;"预评估"</f>
        <v>北京市房地产市场价值预评估</v>
      </c>
      <c r="C1" s="3207"/>
      <c r="D1" s="3207"/>
      <c r="E1" s="3207"/>
      <c r="F1" s="3207"/>
      <c r="G1" s="3207"/>
      <c r="H1" s="3207"/>
      <c r="I1" s="320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2167</v>
      </c>
      <c r="B2" s="122"/>
      <c r="D2" s="2445"/>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2168</v>
      </c>
      <c r="B3" s="2184"/>
      <c r="C3" s="2185" t="s">
        <v>2169</v>
      </c>
      <c r="D3" s="2184">
        <v>45622</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2173</v>
      </c>
      <c r="B7" s="2197"/>
      <c r="C7" s="2195"/>
      <c r="D7" s="2196"/>
      <c r="E7" s="2438"/>
      <c r="F7" s="2439"/>
      <c r="G7" s="2439"/>
      <c r="H7" s="2439"/>
      <c r="I7" s="2439"/>
      <c r="J7" s="2244"/>
      <c r="K7" s="2399"/>
      <c r="L7" s="2396"/>
      <c r="M7" s="2396"/>
      <c r="N7" s="2244"/>
      <c r="O7" s="1669"/>
      <c r="P7" s="2244"/>
      <c r="Q7" s="2244"/>
      <c r="R7" s="2244"/>
    </row>
    <row r="8" spans="1:30">
      <c r="A8" s="2198" t="s">
        <v>2174</v>
      </c>
      <c r="B8" s="2199" t="s">
        <v>3385</v>
      </c>
      <c r="C8" s="2200"/>
      <c r="D8" s="3209" t="s">
        <v>2175</v>
      </c>
      <c r="E8" s="2201"/>
      <c r="F8" s="2202"/>
      <c r="G8" s="2439"/>
      <c r="H8" s="2439"/>
      <c r="I8" s="2439"/>
      <c r="J8" s="2244"/>
      <c r="K8" s="2397"/>
      <c r="L8" s="2396"/>
      <c r="M8" s="2396"/>
      <c r="N8" s="2244"/>
      <c r="O8" s="1669"/>
      <c r="P8" s="2244"/>
      <c r="Q8" s="2244"/>
      <c r="R8" s="2244"/>
    </row>
    <row r="9" spans="1:30" ht="13.5" thickBot="1">
      <c r="A9" s="2203" t="s">
        <v>2176</v>
      </c>
      <c r="B9" s="2204" t="s">
        <v>3386</v>
      </c>
      <c r="C9" s="2205"/>
      <c r="D9" s="3210"/>
      <c r="E9" s="2204"/>
      <c r="F9" s="2206"/>
      <c r="G9" s="2440"/>
      <c r="H9" s="2440"/>
      <c r="I9" s="2440"/>
      <c r="J9" s="2244"/>
      <c r="K9" s="2399"/>
      <c r="L9" s="2396"/>
      <c r="M9" s="2396"/>
      <c r="N9" s="2244"/>
      <c r="O9" s="1669"/>
      <c r="P9" s="2244"/>
      <c r="Q9" s="2244"/>
      <c r="R9" s="2244"/>
    </row>
    <row r="10" spans="1:30" ht="13.5" thickTop="1">
      <c r="A10" s="2207" t="s">
        <v>2177</v>
      </c>
      <c r="B10" s="2208" t="s">
        <v>3387</v>
      </c>
      <c r="C10" s="2209"/>
      <c r="D10" s="2192"/>
      <c r="E10" s="2210" t="s">
        <v>2178</v>
      </c>
      <c r="F10" s="2441"/>
      <c r="G10" s="2442"/>
      <c r="H10" s="2443"/>
      <c r="I10" s="2444"/>
      <c r="J10" s="2244"/>
      <c r="K10" s="2399"/>
      <c r="L10" s="2396"/>
      <c r="M10" s="2396"/>
      <c r="N10" s="2244"/>
      <c r="O10" s="1669"/>
      <c r="P10" s="2244"/>
      <c r="Q10" s="2244"/>
      <c r="R10" s="2244"/>
    </row>
    <row r="11" spans="1:30">
      <c r="A11" s="2211" t="s">
        <v>2179</v>
      </c>
      <c r="B11" s="2212" t="s">
        <v>3389</v>
      </c>
      <c r="C11" s="2213"/>
      <c r="D11" s="2214"/>
      <c r="E11" s="2181"/>
      <c r="F11" s="2181"/>
      <c r="G11" s="2181"/>
      <c r="H11" s="2181"/>
      <c r="I11" s="2181"/>
      <c r="J11" s="2799"/>
      <c r="K11" s="2396"/>
      <c r="L11" s="2396"/>
      <c r="M11" s="2396"/>
      <c r="N11" s="2244"/>
      <c r="O11" s="1669"/>
      <c r="P11" s="2244"/>
      <c r="Q11" s="2244"/>
      <c r="R11" s="2244"/>
    </row>
    <row r="12" spans="1:30">
      <c r="A12" s="2215" t="s">
        <v>2180</v>
      </c>
      <c r="B12" s="315" t="s">
        <v>2181</v>
      </c>
      <c r="C12" s="2216" t="s">
        <v>2182</v>
      </c>
      <c r="D12" s="2216" t="s">
        <v>2183</v>
      </c>
      <c r="E12" s="2216" t="s">
        <v>2184</v>
      </c>
      <c r="F12" s="2216" t="s">
        <v>2185</v>
      </c>
      <c r="G12" s="2216" t="s">
        <v>2186</v>
      </c>
      <c r="H12" s="2216" t="s">
        <v>2187</v>
      </c>
      <c r="I12" s="2798" t="s">
        <v>2573</v>
      </c>
      <c r="J12" s="2800"/>
      <c r="K12" s="2396"/>
      <c r="L12" s="2396"/>
      <c r="M12" s="2244"/>
      <c r="N12" s="1669"/>
      <c r="O12" s="2244"/>
      <c r="P12" s="2244"/>
      <c r="Q12" s="2244"/>
      <c r="AD12" s="1617"/>
    </row>
    <row r="13" spans="1:30">
      <c r="A13" s="3119" t="s">
        <v>3329</v>
      </c>
      <c r="B13" s="2217" t="s">
        <v>2188</v>
      </c>
      <c r="C13" s="803">
        <v>62243</v>
      </c>
      <c r="D13" s="803"/>
      <c r="E13" s="803"/>
      <c r="F13" s="803"/>
      <c r="G13" s="803"/>
      <c r="H13" s="803"/>
      <c r="I13" s="803"/>
      <c r="J13" s="2800"/>
      <c r="K13" s="2396"/>
      <c r="L13" s="2396"/>
      <c r="M13" s="2244"/>
      <c r="N13" s="1669"/>
      <c r="O13" s="2244"/>
      <c r="P13" s="2244"/>
      <c r="Q13" s="2244"/>
      <c r="AD13" s="1617"/>
    </row>
    <row r="14" spans="1:30">
      <c r="A14" s="1018"/>
      <c r="B14" s="2217" t="s">
        <v>2189</v>
      </c>
      <c r="C14" s="2218">
        <v>70</v>
      </c>
      <c r="D14" s="2218"/>
      <c r="E14" s="2218"/>
      <c r="F14" s="2218"/>
      <c r="G14" s="2218"/>
      <c r="H14" s="2218"/>
      <c r="I14" s="2218"/>
      <c r="J14" s="2801"/>
      <c r="K14" s="2396"/>
      <c r="L14" s="2396"/>
      <c r="M14" s="2244"/>
      <c r="N14" s="1669"/>
      <c r="O14" s="2244"/>
      <c r="P14" s="2244"/>
      <c r="Q14" s="2244"/>
      <c r="AD14" s="1617"/>
    </row>
    <row r="15" spans="1:30">
      <c r="A15" s="312"/>
      <c r="B15" s="2219" t="s">
        <v>2190</v>
      </c>
      <c r="C15" s="2220">
        <f>IF(A13="出让",IF(C13="","",ROUNDDOWN(MIN((C13-$D$3)/365,C14),2)),C14)</f>
        <v>45.53</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2191</v>
      </c>
      <c r="B16" s="3216"/>
      <c r="C16" s="3217"/>
      <c r="D16" s="3218"/>
      <c r="E16" s="2221" t="s">
        <v>2192</v>
      </c>
      <c r="F16" s="3219"/>
      <c r="G16" s="3220"/>
      <c r="H16" s="3220"/>
      <c r="I16" s="3221"/>
      <c r="J16" s="2244"/>
      <c r="K16" s="2400"/>
      <c r="L16" s="1669"/>
      <c r="M16" s="1669"/>
      <c r="N16" s="2244"/>
      <c r="O16" s="1669"/>
      <c r="P16" s="2244"/>
      <c r="Q16" s="2244"/>
      <c r="R16" s="2244"/>
    </row>
    <row r="17" spans="1:28">
      <c r="A17" s="305" t="s">
        <v>2193</v>
      </c>
      <c r="B17" s="294" t="s">
        <v>2194</v>
      </c>
      <c r="C17" s="8">
        <f>'数据-汇总表'!E3</f>
        <v>375.87</v>
      </c>
      <c r="D17" s="1255" t="s">
        <v>2195</v>
      </c>
      <c r="E17" s="3222" t="s">
        <v>2196</v>
      </c>
      <c r="F17" s="3223"/>
      <c r="G17" s="3223"/>
      <c r="H17" s="3223"/>
      <c r="I17" s="3224"/>
      <c r="J17" s="2244"/>
      <c r="K17" s="2401"/>
      <c r="L17" s="1669"/>
      <c r="M17" s="1669"/>
      <c r="N17" s="2244"/>
      <c r="O17" s="1669"/>
      <c r="P17" s="2244"/>
      <c r="Q17" s="2244"/>
      <c r="R17" s="2244"/>
      <c r="S17" s="2244"/>
      <c r="T17" s="2244"/>
      <c r="U17" s="2244"/>
      <c r="V17" s="2244"/>
    </row>
    <row r="18" spans="1:28" ht="24.75" thickBot="1">
      <c r="A18" s="2222" t="s">
        <v>2197</v>
      </c>
      <c r="B18" s="1027" t="s">
        <v>2198</v>
      </c>
      <c r="C18" s="2223">
        <f>'数据-汇总表'!D3</f>
        <v>0</v>
      </c>
      <c r="D18" s="1029" t="s">
        <v>2199</v>
      </c>
      <c r="E18" s="3225" t="s">
        <v>2200</v>
      </c>
      <c r="F18" s="3226"/>
      <c r="G18" s="3226"/>
      <c r="H18" s="3226"/>
      <c r="I18" s="3227"/>
      <c r="J18" s="2244"/>
      <c r="K18" s="2401"/>
      <c r="L18" s="1669"/>
      <c r="M18" s="1669"/>
      <c r="N18" s="2244"/>
      <c r="O18" s="1669"/>
      <c r="P18" s="2244"/>
      <c r="Q18" s="2244"/>
      <c r="R18" s="2244"/>
      <c r="S18" s="2244"/>
      <c r="T18" s="2244"/>
      <c r="U18" s="2244"/>
      <c r="V18" s="2244"/>
    </row>
    <row r="19" spans="1:28" ht="37.5" thickTop="1" thickBot="1">
      <c r="A19" s="319" t="s">
        <v>1055</v>
      </c>
      <c r="B19" s="299" t="s">
        <v>2201</v>
      </c>
      <c r="C19" s="1454"/>
      <c r="D19" s="1455" t="s">
        <v>2202</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2203</v>
      </c>
      <c r="B20" s="3212" t="s">
        <v>2204</v>
      </c>
      <c r="C20" s="3213"/>
      <c r="D20" s="3214" t="s">
        <v>2205</v>
      </c>
      <c r="E20" s="3215"/>
      <c r="F20" s="2427" t="s">
        <v>1056</v>
      </c>
      <c r="G20" s="2439"/>
      <c r="H20" s="2439"/>
      <c r="I20" s="2439"/>
      <c r="J20" s="2244"/>
      <c r="K20" s="3211"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2207</v>
      </c>
      <c r="C21" s="2293" t="s">
        <v>1057</v>
      </c>
      <c r="D21" s="1459" t="s">
        <v>2208</v>
      </c>
      <c r="E21" s="2416" t="s">
        <v>1057</v>
      </c>
      <c r="F21" s="2428"/>
      <c r="G21" s="2439"/>
      <c r="H21" s="2439"/>
      <c r="I21" s="2439"/>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2209</v>
      </c>
      <c r="C22" s="2293" t="s">
        <v>1058</v>
      </c>
      <c r="D22" s="2439"/>
      <c r="E22" s="2439"/>
      <c r="F22" s="2439"/>
      <c r="G22" s="2439"/>
      <c r="H22" s="2439"/>
      <c r="I22" s="2439"/>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2210</v>
      </c>
      <c r="B23" s="2290" t="s">
        <v>2211</v>
      </c>
      <c r="C23" s="2419"/>
      <c r="D23" s="2420" t="s">
        <v>2211</v>
      </c>
      <c r="E23" s="2421"/>
      <c r="F23" s="2439"/>
      <c r="G23" s="2439"/>
      <c r="H23" s="2439"/>
      <c r="I23" s="2439"/>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5" thickTop="1">
      <c r="A27" s="3229" t="s">
        <v>2212</v>
      </c>
      <c r="B27" s="312" t="s">
        <v>2213</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29"/>
      <c r="B28" s="294" t="s">
        <v>2214</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29"/>
      <c r="B29" s="294" t="s">
        <v>2215</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30"/>
      <c r="B30" s="294" t="s">
        <v>2216</v>
      </c>
      <c r="C30" s="3231"/>
      <c r="D30" s="3232"/>
      <c r="E30" s="2439"/>
      <c r="F30" s="2439"/>
      <c r="G30" s="2439"/>
      <c r="H30" s="2439"/>
      <c r="I30" s="2439"/>
      <c r="J30" s="2244"/>
      <c r="K30" s="2399"/>
      <c r="L30" s="2396"/>
      <c r="M30" s="2396"/>
      <c r="N30" s="2244"/>
      <c r="O30" s="1669"/>
      <c r="P30" s="2244"/>
      <c r="Q30" s="2244"/>
      <c r="R30" s="2244"/>
      <c r="S30" s="2244"/>
      <c r="T30" s="2244"/>
      <c r="U30" s="2244"/>
      <c r="V30" s="2244"/>
    </row>
    <row r="31" spans="1:28">
      <c r="A31" s="3233" t="s">
        <v>2217</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34"/>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34"/>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4" t="s">
        <v>2218</v>
      </c>
      <c r="B34" s="1869"/>
      <c r="C34" s="1869"/>
      <c r="D34" s="1869"/>
      <c r="E34" s="1869"/>
      <c r="F34" s="1869"/>
      <c r="G34" s="1869"/>
      <c r="H34" s="1869"/>
      <c r="I34" s="2439"/>
      <c r="J34" s="2244"/>
      <c r="K34" s="8">
        <f>COUNTIF(B34:H34,"——")</f>
        <v>0</v>
      </c>
      <c r="L34" s="315" t="s">
        <v>2219</v>
      </c>
      <c r="M34" s="315" t="s">
        <v>2220</v>
      </c>
      <c r="N34" s="315" t="s">
        <v>2221</v>
      </c>
      <c r="O34" s="315" t="s">
        <v>2222</v>
      </c>
      <c r="P34" s="315" t="s">
        <v>2223</v>
      </c>
      <c r="Q34" s="315" t="s">
        <v>2224</v>
      </c>
      <c r="R34" s="315" t="s">
        <v>2225</v>
      </c>
      <c r="S34" s="3228" t="s">
        <v>2226</v>
      </c>
      <c r="T34" s="315" t="str">
        <f>NUMBERSTRING(7-K34,1)&amp;"通"</f>
        <v>七通</v>
      </c>
      <c r="U34" s="2244"/>
      <c r="V34" s="2244"/>
    </row>
    <row r="35" spans="1:30">
      <c r="A35" s="2235"/>
      <c r="B35" s="3228" t="s">
        <v>2227</v>
      </c>
      <c r="C35" s="3228"/>
      <c r="D35" s="3228"/>
      <c r="E35" s="3228"/>
      <c r="F35" s="8">
        <f>C10</f>
        <v>0</v>
      </c>
      <c r="G35" s="2439"/>
      <c r="H35" s="2439"/>
      <c r="I35" s="2439"/>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2"/>
      <c r="B36" s="8" t="s">
        <v>2183</v>
      </c>
      <c r="C36" s="8" t="s">
        <v>2184</v>
      </c>
      <c r="D36" s="8" t="s">
        <v>2182</v>
      </c>
      <c r="E36" s="8" t="s">
        <v>2187</v>
      </c>
      <c r="F36" s="2798" t="s">
        <v>2576</v>
      </c>
      <c r="G36" s="2439"/>
      <c r="H36" s="2439"/>
      <c r="I36" s="2439"/>
      <c r="J36" s="2244"/>
      <c r="K36" s="2399"/>
      <c r="L36" s="2396"/>
      <c r="M36" s="2396"/>
      <c r="N36" s="2244"/>
      <c r="O36" s="1669"/>
      <c r="P36" s="2244"/>
      <c r="Q36" s="2244"/>
      <c r="R36" s="2244"/>
      <c r="S36" s="2244"/>
      <c r="T36" s="2244"/>
      <c r="U36" s="2244"/>
      <c r="V36" s="2244"/>
    </row>
    <row r="37" spans="1:30">
      <c r="A37" s="2412" t="s">
        <v>2228</v>
      </c>
      <c r="B37" s="2236"/>
      <c r="C37" s="2236"/>
      <c r="D37" s="2236" t="s">
        <v>184</v>
      </c>
      <c r="E37" s="2236"/>
      <c r="F37" s="2236"/>
      <c r="G37" s="2439"/>
      <c r="H37" s="2439"/>
      <c r="I37" s="2439"/>
      <c r="J37" s="2244"/>
      <c r="K37" s="2399"/>
      <c r="L37" s="2396"/>
      <c r="M37" s="2396"/>
      <c r="N37" s="2244"/>
      <c r="O37" s="1669"/>
      <c r="P37" s="2244"/>
      <c r="Q37" s="2244"/>
      <c r="R37" s="2244"/>
      <c r="S37" s="2244"/>
      <c r="T37" s="2244"/>
      <c r="U37" s="2244"/>
      <c r="V37" s="2244"/>
    </row>
    <row r="38" spans="1:30" ht="13.5" thickBot="1">
      <c r="A38" s="2413" t="s">
        <v>2229</v>
      </c>
      <c r="B38" s="2237"/>
      <c r="C38" s="2237"/>
      <c r="D38" s="2237" t="s">
        <v>251</v>
      </c>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2232</v>
      </c>
      <c r="B42" s="8" t="s">
        <v>2233</v>
      </c>
      <c r="C42" s="8" t="s">
        <v>2234</v>
      </c>
      <c r="D42" s="8" t="s">
        <v>2235</v>
      </c>
      <c r="E42" s="8" t="s">
        <v>2236</v>
      </c>
      <c r="F42" s="8" t="s">
        <v>2237</v>
      </c>
      <c r="G42" s="8" t="s">
        <v>2238</v>
      </c>
      <c r="H42" s="8" t="s">
        <v>2239</v>
      </c>
      <c r="I42" s="8" t="s">
        <v>2240</v>
      </c>
      <c r="J42" s="2408" t="s">
        <v>2241</v>
      </c>
      <c r="K42" s="2409" t="s">
        <v>2242</v>
      </c>
      <c r="L42" s="2409" t="s">
        <v>2243</v>
      </c>
      <c r="M42" s="2409" t="s">
        <v>2244</v>
      </c>
      <c r="N42" s="2402" t="s">
        <v>2245</v>
      </c>
      <c r="O42" s="2402" t="s">
        <v>2246</v>
      </c>
      <c r="P42" s="2402" t="s">
        <v>2247</v>
      </c>
      <c r="Q42" s="2403" t="s">
        <v>2248</v>
      </c>
      <c r="R42" s="2403" t="s">
        <v>2249</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50" sqref="J5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375.87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375.87</v>
      </c>
      <c r="H5" s="13">
        <f t="shared" ref="H5:AT5" si="0">SUM(H13:H656)</f>
        <v>375.87</v>
      </c>
      <c r="I5" s="13">
        <f t="shared" si="0"/>
        <v>375.87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375.87</v>
      </c>
      <c r="BA5" s="15">
        <f t="shared" si="1"/>
        <v>375.87</v>
      </c>
      <c r="BB5" s="15">
        <f t="shared" si="1"/>
        <v>375.87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3390</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3392</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v>3110</v>
      </c>
      <c r="C13" s="628"/>
      <c r="D13" s="1512" t="s">
        <v>3391</v>
      </c>
      <c r="E13" s="13">
        <f>IF($C$3="是",ROUND($A$3*G13/$B$3,2),ROUND($A$3*(G13-AT13)/$B$3,2))</f>
        <v>0</v>
      </c>
      <c r="F13" s="29"/>
      <c r="G13" s="30">
        <f>H13+AC13+AT13</f>
        <v>375.87</v>
      </c>
      <c r="H13" s="17">
        <f>SUMIF(I$12:AB$12,"总值",I13:AB13)</f>
        <v>375.87</v>
      </c>
      <c r="I13" s="1513">
        <v>375.87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3110</v>
      </c>
      <c r="AX13" s="8">
        <f t="shared" si="6"/>
        <v>0</v>
      </c>
      <c r="AY13" s="1259">
        <f>ROUND($AY$6*AZ13/$AZ$5,2)</f>
        <v>0</v>
      </c>
      <c r="AZ13" s="13">
        <f>BA13+BL13</f>
        <v>375.87</v>
      </c>
      <c r="BA13" s="13">
        <f>SUM(BB13:BK13)</f>
        <v>375.87</v>
      </c>
      <c r="BB13" s="13">
        <f>IF($D13="是",I13-J13,0)</f>
        <v>375.87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4" t="s">
        <v>1131</v>
      </c>
      <c r="B2" s="3244"/>
      <c r="C2" s="3244"/>
      <c r="D2" s="748" t="s">
        <v>1107</v>
      </c>
      <c r="E2" s="1522" t="s">
        <v>1108</v>
      </c>
      <c r="F2" s="2436"/>
      <c r="G2" s="2429"/>
      <c r="H2" s="2430"/>
      <c r="I2" s="2145" t="s">
        <v>1132</v>
      </c>
      <c r="J2" s="2436"/>
      <c r="K2" s="2436"/>
      <c r="L2" s="2436"/>
      <c r="M2" s="2436"/>
      <c r="N2" s="2437"/>
      <c r="O2" s="2436"/>
      <c r="P2" s="2436"/>
    </row>
    <row r="3" spans="1:16" ht="15.75" thickBot="1">
      <c r="A3" s="3245" t="s">
        <v>1105</v>
      </c>
      <c r="B3" s="3245"/>
      <c r="C3" s="3245"/>
      <c r="D3" s="41">
        <f>'数据-基础表'!AY6</f>
        <v>0</v>
      </c>
      <c r="E3" s="41">
        <f>'数据-基础表'!AZ5</f>
        <v>375.87</v>
      </c>
      <c r="F3" s="2436"/>
      <c r="G3" s="42"/>
      <c r="H3" s="43" t="s">
        <v>1106</v>
      </c>
      <c r="I3" s="802" t="e">
        <f>ROUND('数据-基础表'!B3/'数据-基础表'!A3,2)</f>
        <v>#DIV/0!</v>
      </c>
      <c r="J3" s="2436"/>
      <c r="K3" s="2436"/>
      <c r="L3" s="2436"/>
      <c r="M3" s="2436"/>
      <c r="N3" s="2437"/>
      <c r="O3" s="2436"/>
      <c r="P3" s="2436"/>
    </row>
    <row r="4" spans="1:16" ht="15">
      <c r="A4" s="3246"/>
      <c r="B4" s="3247"/>
      <c r="C4" s="3248"/>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49" t="s">
        <v>1110</v>
      </c>
      <c r="C5" s="3249"/>
      <c r="D5" s="43">
        <f>ROUND($D$3*E5/$E$3,2)</f>
        <v>0</v>
      </c>
      <c r="E5" s="44">
        <f>SUMIF('数据-基础表'!$11:$11,"住宅",'数据-基础表'!$5:$5)</f>
        <v>375.87</v>
      </c>
      <c r="F5" s="2436"/>
      <c r="G5" s="42"/>
      <c r="H5" s="43" t="s">
        <v>1106</v>
      </c>
      <c r="I5" s="802" t="e">
        <f>ROUND(E31/D31,2)</f>
        <v>#DIV/0!</v>
      </c>
      <c r="J5" s="2436"/>
      <c r="K5" s="2436"/>
      <c r="L5" s="2436"/>
      <c r="M5" s="2436"/>
      <c r="N5" s="2436"/>
      <c r="O5" s="2436"/>
      <c r="P5" s="2436"/>
    </row>
    <row r="6" spans="1:16" ht="15" thickBot="1">
      <c r="A6" s="1526"/>
      <c r="B6" s="3249" t="s">
        <v>1111</v>
      </c>
      <c r="C6" s="3249"/>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41"/>
      <c r="B7" s="3242"/>
      <c r="C7" s="3243"/>
      <c r="D7" s="1523" t="s">
        <v>1107</v>
      </c>
      <c r="E7" s="1527" t="s">
        <v>1114</v>
      </c>
      <c r="F7" s="2436"/>
      <c r="G7" s="2433" t="s">
        <v>1115</v>
      </c>
      <c r="H7" s="95"/>
      <c r="I7" s="2434">
        <v>11.72</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375.87</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375.87</v>
      </c>
      <c r="F16" s="2436"/>
      <c r="G16" s="2436"/>
      <c r="H16" s="1530" t="s">
        <v>1135</v>
      </c>
      <c r="I16" s="1531"/>
      <c r="J16" s="1071"/>
      <c r="K16" s="3238" t="s">
        <v>1135</v>
      </c>
      <c r="L16" s="3239"/>
      <c r="M16" s="3239"/>
      <c r="N16" s="3239"/>
      <c r="O16" s="3239"/>
      <c r="P16" s="3240"/>
    </row>
    <row r="17" spans="1:19" ht="15">
      <c r="A17" s="1532" t="s">
        <v>1136</v>
      </c>
      <c r="B17" s="1533" t="s">
        <v>1137</v>
      </c>
      <c r="C17" s="1534" t="s">
        <v>1138</v>
      </c>
      <c r="D17" s="1535" t="s">
        <v>1126</v>
      </c>
      <c r="E17" s="1536" t="s">
        <v>1127</v>
      </c>
      <c r="F17" s="1537"/>
      <c r="G17" s="1538"/>
      <c r="H17" s="1539" t="s">
        <v>1139</v>
      </c>
      <c r="I17" s="1540" t="s">
        <v>1124</v>
      </c>
      <c r="J17" s="1071"/>
      <c r="K17" s="3235" t="s">
        <v>1140</v>
      </c>
      <c r="L17" s="3236"/>
      <c r="M17" s="3237"/>
      <c r="N17" s="3235" t="s">
        <v>1141</v>
      </c>
      <c r="O17" s="3236"/>
      <c r="P17" s="3237"/>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3393</v>
      </c>
      <c r="D19" s="43">
        <f>ROUND($D$3*E19/$E$3,2)</f>
        <v>0</v>
      </c>
      <c r="E19" s="51">
        <f t="shared" ref="E19:E26" si="1">SUM(F19:G19)</f>
        <v>375.87</v>
      </c>
      <c r="F19" s="2555">
        <f>'数据-基础表'!I13</f>
        <v>375.87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375.87</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375.87</v>
      </c>
      <c r="F27" s="1072">
        <f>IF(SUM(F19:F26)=E8,SUM(F19:F26),"地上面积有误")</f>
        <v>375.87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375.87</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375.87</v>
      </c>
      <c r="F31" s="644">
        <f>F27+F30</f>
        <v>375.87</v>
      </c>
      <c r="G31" s="645">
        <f>G27+G30</f>
        <v>0</v>
      </c>
      <c r="H31" s="2436"/>
      <c r="I31" s="2436"/>
      <c r="J31" s="2436"/>
      <c r="K31" s="2436"/>
      <c r="L31" s="2436"/>
      <c r="M31" s="2436"/>
      <c r="N31" s="2436"/>
      <c r="O31" s="2436"/>
      <c r="P31" s="2436"/>
    </row>
    <row r="32" spans="1:19">
      <c r="A32" s="1525"/>
      <c r="B32" s="1525" t="s">
        <v>1159</v>
      </c>
      <c r="C32" s="1525"/>
      <c r="D32" s="1525"/>
      <c r="E32" s="990">
        <f>SUMIF(C19:C26,"*住宅*",E19:E26)</f>
        <v>375.87</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45622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3392</v>
      </c>
      <c r="D6" s="805">
        <f>SUMIF(项目基本情况!C$12:I$12,C6,项目基本情况!C$14:I$14)</f>
        <v>70</v>
      </c>
      <c r="E6" s="804">
        <f>IF(B6="","",SUMIF(项目基本情况!C$12:I$12,C6,项目基本情况!C$13:I$13))</f>
        <v>62243</v>
      </c>
      <c r="F6" s="61">
        <f>SUMIF(项目基本情况!C$12:I$12,C6,项目基本情况!C$15:I$15)</f>
        <v>45.53</v>
      </c>
      <c r="G6" s="62">
        <f>IF(ISERROR(ROUND(POWER(1+H6,D6-F6)*(POWER(1+H6,F6)-1)/(POWER(1+H6,D6)-1),3)),0,ROUND(POWER(1+H6,D6-F6)*(POWER(1+H6,F6)-1)/(POWER(1+H6,D6)-1),3))</f>
        <v>0.88900000000000001</v>
      </c>
      <c r="H6" s="691">
        <v>0.04</v>
      </c>
      <c r="I6" s="691">
        <v>4.4999999999999998E-2</v>
      </c>
      <c r="J6" s="63"/>
      <c r="K6" s="970">
        <f>SUMIF('数据-汇总表'!C$19:C$33,A6,'数据-汇总表'!E$19:E$33)</f>
        <v>375.87</v>
      </c>
      <c r="L6" s="692">
        <v>20000</v>
      </c>
      <c r="M6" s="64">
        <f t="shared" ref="M6:M14" si="0">ROUND(K6*L6/10000,0)</f>
        <v>752</v>
      </c>
      <c r="N6" s="690">
        <v>0.88</v>
      </c>
      <c r="O6" s="64" t="str">
        <f>IF($N$5="成新度","——",ROUND(M6*N6,0))</f>
        <v>——</v>
      </c>
      <c r="P6" s="65" t="str">
        <f>IF($N$5="成新度","——",M6-O6)</f>
        <v>——</v>
      </c>
      <c r="Q6" s="693">
        <v>0.25</v>
      </c>
      <c r="R6" s="66">
        <f ca="1">SUMIF('数据-汇总表'!C$19:C$33,A6,'数据-汇总表'!R$19:R$27)</f>
        <v>0</v>
      </c>
      <c r="S6" s="49">
        <f>IF('数据-汇总表'!$I$17="按面积比例",SUMIF('数据-汇总表'!C$19:C$33,A6,'数据-汇总表'!K$19:K$33),SUMIF('数据-汇总表'!C$19:C$33,A6,'数据-汇总表'!N$19:N$33))</f>
        <v>0</v>
      </c>
      <c r="T6" s="1092">
        <f>ROUND($L$14*S6/10000,0)</f>
        <v>0</v>
      </c>
      <c r="U6" s="3124">
        <v>260</v>
      </c>
      <c r="V6" s="67">
        <v>0.03</v>
      </c>
      <c r="W6" s="67">
        <v>0.1</v>
      </c>
      <c r="X6" s="979"/>
      <c r="Y6" s="68">
        <f>N6</f>
        <v>0.88</v>
      </c>
      <c r="Z6" s="69"/>
      <c r="AA6" s="63"/>
      <c r="AB6" s="63"/>
      <c r="AC6" s="979"/>
      <c r="AD6" s="70"/>
      <c r="AE6" s="980">
        <f ca="1">IF(AN6="",0,SUMIF(INDIRECT("'"&amp;AN6&amp;"'"&amp;"!E:E"),$AE$5,INDIRECT("'"&amp;AN6&amp;"'"&amp;"!F:F")))</f>
        <v>45.53</v>
      </c>
      <c r="AF6" s="74"/>
      <c r="AG6" s="130">
        <f>IF(AF6="",0,AE6-AF6)</f>
        <v>0</v>
      </c>
      <c r="AH6" s="71">
        <f>'数据-汇总表'!F19</f>
        <v>375.87</v>
      </c>
      <c r="AI6" s="73">
        <v>12</v>
      </c>
      <c r="AJ6" s="74"/>
      <c r="AK6" s="75">
        <v>2E-3</v>
      </c>
      <c r="AL6" s="76">
        <v>1E-3</v>
      </c>
      <c r="AM6" s="77">
        <v>0.01</v>
      </c>
      <c r="AN6" s="1588" t="s">
        <v>3485</v>
      </c>
      <c r="AO6" s="50">
        <f ca="1">SUMIF(INDIRECT("'"&amp;AN6&amp;"'"&amp;"!A:A"),"总价",INDIRECT("'"&amp;AN6&amp;"'"&amp;"!B:B"))</f>
        <v>2667.7177999999999</v>
      </c>
      <c r="AP6" s="1589">
        <f>IF(C6="住宅",K6*L6,0)</f>
        <v>7517400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0.88900000000000001</v>
      </c>
      <c r="H16" s="84">
        <f>ROUND(SUMPRODUCT(H6:H13,K6:K13)/SUMPRODUCT((H6:H13&gt;0)*(K6:K13)),3)</f>
        <v>0.04</v>
      </c>
      <c r="I16" s="85"/>
      <c r="J16" s="85"/>
      <c r="K16" s="86">
        <f>SUM(K6:K15)</f>
        <v>375.87</v>
      </c>
      <c r="L16" s="87">
        <f>ROUND(M16*10000/SUM(K6:K14),0)</f>
        <v>20007</v>
      </c>
      <c r="M16" s="87">
        <f>SUM(M6:M14)</f>
        <v>752</v>
      </c>
      <c r="N16" s="88">
        <f>ROUND(SUMPRODUCT(M6:M14,N6:N14)/M16,3)</f>
        <v>0.88</v>
      </c>
      <c r="O16" s="87">
        <f>SUM(O6:O14)</f>
        <v>0</v>
      </c>
      <c r="P16" s="87">
        <f>SUM(P6:P14)</f>
        <v>0</v>
      </c>
      <c r="Q16" s="89">
        <f>ROUND(SUMPRODUCT(Q6:Q13,K6:K13)/SUMPRODUCT((Q6:Q13&gt;0)*(K6:K13)),2)</f>
        <v>0.25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ROUND(1-(2024-2002)/60,2)</f>
        <v>0.63</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2299</v>
      </c>
      <c r="D19" s="2449"/>
      <c r="E19" s="2436"/>
      <c r="F19" s="2436"/>
      <c r="G19" s="2436"/>
      <c r="H19" s="2436"/>
      <c r="I19" s="2436"/>
      <c r="J19" s="2436"/>
      <c r="K19" s="2447"/>
      <c r="L19" s="2447"/>
      <c r="M19" s="2446"/>
      <c r="N19" s="2446">
        <f>ROUND(1-(2024-2017)/60,2)</f>
        <v>0.88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2297</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2301</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2290</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0.1</v>
      </c>
      <c r="C33" s="2562" t="s">
        <v>3373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0.1</v>
      </c>
      <c r="C34" s="2562" t="s">
        <v>2291</v>
      </c>
      <c r="D34" s="2457" t="s">
        <v>2298</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2292</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0.03</v>
      </c>
      <c r="C36" s="2562" t="s">
        <v>3374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0.03</v>
      </c>
      <c r="C37" s="2562" t="s">
        <v>2293</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0.03</v>
      </c>
      <c r="C38" s="2562" t="s">
        <v>2293</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3394</v>
      </c>
      <c r="B40" s="1015">
        <f ca="1">IF(A40="利息：取LPR",存贷款利率!G1,存贷款利率!G1+C40)</f>
        <v>4.7500000000000001E-2</v>
      </c>
      <c r="C40" s="2570">
        <v>1.6500000000000001E-2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2302</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2294</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2295</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2294</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2296</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2300</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8" customFormat="1" ht="18.75" thickBot="1">
      <c r="A1" s="3250" t="s">
        <v>2282</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4"/>
      <c r="E2" s="2259"/>
      <c r="F2" s="2262"/>
      <c r="G2" s="2261" t="s">
        <v>2279</v>
      </c>
      <c r="H2" s="751"/>
      <c r="I2" s="751"/>
      <c r="J2" s="751"/>
      <c r="K2" s="751"/>
      <c r="L2" s="751"/>
      <c r="M2" s="751"/>
      <c r="N2" s="751"/>
      <c r="O2" s="751"/>
      <c r="P2" s="751"/>
      <c r="Q2" s="751"/>
    </row>
    <row r="3" spans="1:29" ht="48">
      <c r="A3" s="2246" t="s">
        <v>2280</v>
      </c>
      <c r="B3" s="2263" t="s">
        <v>2250</v>
      </c>
      <c r="C3" s="3145" t="s">
        <v>3480</v>
      </c>
      <c r="D3" s="2264"/>
      <c r="E3" s="2247" t="s">
        <v>2280</v>
      </c>
      <c r="F3" s="2265" t="s">
        <v>2251</v>
      </c>
      <c r="G3" s="2266" t="s">
        <v>2281</v>
      </c>
      <c r="H3" s="751"/>
      <c r="I3" s="751"/>
      <c r="J3" s="751"/>
      <c r="K3" s="751"/>
      <c r="L3" s="751"/>
      <c r="M3" s="751"/>
      <c r="N3" s="751"/>
      <c r="O3" s="751"/>
      <c r="P3" s="751"/>
      <c r="Q3" s="751"/>
    </row>
    <row r="4" spans="1:29" ht="36.75">
      <c r="A4" s="2247"/>
      <c r="B4" s="315" t="s">
        <v>2252</v>
      </c>
      <c r="C4" s="2267" t="s">
        <v>2253</v>
      </c>
      <c r="D4" s="2264"/>
      <c r="E4" s="2268"/>
      <c r="F4" s="1280" t="s">
        <v>2254</v>
      </c>
      <c r="G4" s="2269" t="s">
        <v>2255</v>
      </c>
      <c r="H4" s="751"/>
      <c r="I4" s="751"/>
      <c r="J4" s="751"/>
      <c r="K4" s="751"/>
      <c r="L4" s="751"/>
      <c r="M4" s="751"/>
      <c r="N4" s="751"/>
      <c r="O4" s="751"/>
      <c r="P4" s="751"/>
      <c r="Q4" s="751"/>
    </row>
    <row r="5" spans="1:29" ht="36.75">
      <c r="A5" s="2247"/>
      <c r="B5" s="315" t="s">
        <v>2256</v>
      </c>
      <c r="C5" s="2267" t="s">
        <v>2257</v>
      </c>
      <c r="D5" s="2264"/>
      <c r="E5" s="2268"/>
      <c r="F5" s="315" t="s">
        <v>2258</v>
      </c>
      <c r="G5" s="2269" t="s">
        <v>2259</v>
      </c>
      <c r="H5" s="751"/>
      <c r="I5" s="751"/>
      <c r="J5" s="751"/>
      <c r="K5" s="751"/>
      <c r="L5" s="751"/>
      <c r="M5" s="751"/>
      <c r="N5" s="751"/>
      <c r="O5" s="751"/>
      <c r="P5" s="751"/>
      <c r="Q5" s="751"/>
    </row>
    <row r="6" spans="1:29" ht="72">
      <c r="A6" s="2247"/>
      <c r="B6" s="315" t="s">
        <v>2260</v>
      </c>
      <c r="C6" s="3146" t="s">
        <v>3553</v>
      </c>
      <c r="D6" s="2264"/>
      <c r="E6" s="2268"/>
      <c r="F6" s="315" t="s">
        <v>2261</v>
      </c>
      <c r="G6" s="2269" t="s">
        <v>2262</v>
      </c>
      <c r="H6" s="751"/>
      <c r="I6" s="751"/>
      <c r="J6" s="751"/>
      <c r="K6" s="751"/>
      <c r="L6" s="751"/>
      <c r="M6" s="751"/>
      <c r="N6" s="751"/>
      <c r="O6" s="751"/>
      <c r="P6" s="751"/>
      <c r="Q6" s="751"/>
    </row>
    <row r="7" spans="1:29" ht="24.75" thickBot="1">
      <c r="A7" s="2247"/>
      <c r="B7" s="315" t="s">
        <v>2258</v>
      </c>
      <c r="C7" s="2269" t="s">
        <v>2259</v>
      </c>
      <c r="D7" s="2244"/>
      <c r="E7" s="2270"/>
      <c r="F7" s="2271" t="s">
        <v>2263</v>
      </c>
      <c r="G7" s="2272" t="s">
        <v>2264</v>
      </c>
      <c r="H7" s="751"/>
      <c r="I7" s="751"/>
      <c r="J7" s="751"/>
      <c r="K7" s="751"/>
      <c r="L7" s="751"/>
      <c r="M7" s="751"/>
      <c r="N7" s="751"/>
      <c r="O7" s="751"/>
      <c r="P7" s="751"/>
      <c r="Q7" s="751"/>
    </row>
    <row r="8" spans="1:29">
      <c r="A8" s="2247"/>
      <c r="B8" s="315" t="s">
        <v>2261</v>
      </c>
      <c r="C8" s="3146" t="s">
        <v>3481</v>
      </c>
      <c r="D8" s="2244"/>
      <c r="E8" s="2244"/>
      <c r="F8" s="121"/>
      <c r="G8" s="121"/>
      <c r="H8" s="751"/>
      <c r="I8" s="751"/>
      <c r="J8" s="751"/>
      <c r="K8" s="751"/>
      <c r="L8" s="751"/>
      <c r="M8" s="751"/>
      <c r="N8" s="751"/>
      <c r="O8" s="751"/>
      <c r="P8" s="751"/>
      <c r="Q8" s="751"/>
    </row>
    <row r="9" spans="1:29" ht="48">
      <c r="A9" s="2247"/>
      <c r="B9" s="315" t="s">
        <v>2265</v>
      </c>
      <c r="C9" s="3147" t="s">
        <v>3551</v>
      </c>
      <c r="D9" s="2264"/>
      <c r="E9" s="2244"/>
      <c r="F9" s="121"/>
      <c r="G9" s="121"/>
      <c r="H9" s="751"/>
      <c r="I9" s="751"/>
      <c r="J9" s="751"/>
      <c r="K9" s="751"/>
      <c r="L9" s="751"/>
      <c r="M9" s="751"/>
      <c r="N9" s="751"/>
      <c r="O9" s="751"/>
      <c r="P9" s="751"/>
      <c r="Q9" s="751"/>
    </row>
    <row r="10" spans="1:29" ht="15" thickBot="1">
      <c r="A10" s="2248"/>
      <c r="B10" s="2273" t="s">
        <v>2266</v>
      </c>
      <c r="C10" s="3148" t="s">
        <v>3550</v>
      </c>
      <c r="D10" s="2264"/>
      <c r="E10" s="2264"/>
      <c r="F10" s="121"/>
      <c r="G10" s="121"/>
      <c r="J10" s="2275"/>
      <c r="M10" s="2275"/>
      <c r="P10" s="2275"/>
      <c r="R10" s="2274"/>
    </row>
    <row r="11" spans="1:29">
      <c r="A11" s="2276"/>
      <c r="B11" s="2244"/>
      <c r="C11" s="2264"/>
      <c r="D11" s="2264"/>
      <c r="E11" s="2264"/>
      <c r="F11" s="2244"/>
      <c r="G11" s="2244"/>
      <c r="J11" s="2275"/>
      <c r="M11" s="2275"/>
      <c r="P11" s="2275"/>
      <c r="R11" s="2274"/>
    </row>
    <row r="12" spans="1:29" s="2258" customFormat="1" ht="18">
      <c r="A12" s="2276"/>
      <c r="B12" s="2244"/>
      <c r="C12" s="2264"/>
      <c r="D12" s="2277"/>
      <c r="E12" s="2264"/>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2283</v>
      </c>
      <c r="B13" s="2277"/>
      <c r="C13" s="2277"/>
      <c r="D13" s="2276"/>
      <c r="E13" s="2277"/>
      <c r="F13" s="2277"/>
      <c r="G13" s="2277"/>
    </row>
    <row r="14" spans="1:29" ht="15" thickBot="1">
      <c r="A14" s="2282"/>
      <c r="B14" s="2282"/>
      <c r="C14" s="2283" t="s">
        <v>2267</v>
      </c>
      <c r="D14" s="2264"/>
      <c r="E14" s="2284"/>
      <c r="F14" s="2284"/>
      <c r="G14" s="2261" t="s">
        <v>2268</v>
      </c>
    </row>
    <row r="15" spans="1:29" ht="51">
      <c r="A15" s="2249" t="s">
        <v>2269</v>
      </c>
      <c r="B15" s="2285" t="s">
        <v>2250</v>
      </c>
      <c r="C15" s="2286" t="str">
        <f>C3</f>
        <v>估价对象周边有梵悦108、使馆壹号院、海晟名苑、万国城MOMA等住宅小区，综合评价居住社区成熟度较好</v>
      </c>
      <c r="D15" s="2264"/>
      <c r="E15" s="2250" t="s">
        <v>2270</v>
      </c>
      <c r="F15" s="2285" t="s">
        <v>2271</v>
      </c>
      <c r="G15" s="2287" t="str">
        <f>G3</f>
        <v>估价对象位于XX开发区，园区建设成熟度XX，产业集聚程度XX</v>
      </c>
    </row>
    <row r="16" spans="1:29" ht="38.25">
      <c r="A16" s="2251"/>
      <c r="B16" s="2288" t="s">
        <v>2252</v>
      </c>
      <c r="C16" s="2289" t="str">
        <f>C4</f>
        <v>估价对象位于XX商圈，周边商业氛围成熟，人流量大，商业繁华度好</v>
      </c>
      <c r="D16" s="2264"/>
      <c r="E16" s="2252"/>
      <c r="F16" s="2290" t="s">
        <v>2254</v>
      </c>
      <c r="G16" s="2291" t="str">
        <f>G4</f>
        <v>估价对象周边道路状况、公共交通通达情况、停车便捷程度，综合评价交通便捷度较好</v>
      </c>
    </row>
    <row r="17" spans="1:17" ht="38.25">
      <c r="A17" s="2251"/>
      <c r="B17" s="2288" t="s">
        <v>2256</v>
      </c>
      <c r="C17" s="2289" t="str">
        <f>C5</f>
        <v>估价对象位于XX商圈，周边办公楼项目较多，入驻率高，办公集聚程度较好</v>
      </c>
      <c r="D17" s="2244"/>
      <c r="E17" s="2252"/>
      <c r="F17" s="2290" t="s">
        <v>2272</v>
      </c>
      <c r="G17" s="2292"/>
    </row>
    <row r="18" spans="1:17" ht="76.5">
      <c r="A18" s="2251"/>
      <c r="B18" s="2290" t="s">
        <v>2260</v>
      </c>
      <c r="C18" s="2291" t="str">
        <f>C6</f>
        <v>估价对象周边有24路、117路、123路、132路、135路、413路、515路等多条公交线路，地铁2号线及13号线换乘站（东直门站），东直门长途汽车站等，综合评价交通便捷度较好</v>
      </c>
      <c r="D18" s="2244"/>
      <c r="E18" s="2252"/>
      <c r="F18" s="2290" t="s">
        <v>2263</v>
      </c>
      <c r="G18" s="2291" t="str">
        <f>G7</f>
        <v>该园区内是否有污染型企业，绿化情况，卫生条件，整体环境状况判断</v>
      </c>
    </row>
    <row r="19" spans="1:17" ht="25.5">
      <c r="A19" s="2251"/>
      <c r="B19" s="2290" t="s">
        <v>2273</v>
      </c>
      <c r="C19" s="2292"/>
      <c r="D19" s="2264"/>
      <c r="E19" s="2252"/>
      <c r="F19" s="315" t="s">
        <v>2258</v>
      </c>
      <c r="G19" s="2291" t="str">
        <f>G5</f>
        <v>估价对象所在区域公共配套设施齐备情况</v>
      </c>
    </row>
    <row r="20" spans="1:17" ht="51">
      <c r="A20" s="2251"/>
      <c r="B20" s="2290" t="s">
        <v>2274</v>
      </c>
      <c r="C20" s="2289" t="str">
        <f>C9</f>
        <v>区域自然环境：亮马河、东城区亮马河公园；人文环境：工人体育场、东直门外清真寺；综合评价环境状况较好</v>
      </c>
      <c r="D20" s="2244"/>
      <c r="E20" s="2252"/>
      <c r="F20" s="315" t="s">
        <v>2261</v>
      </c>
      <c r="G20" s="2291" t="str">
        <f>G6</f>
        <v>估价对象所在区域基础设施水平</v>
      </c>
    </row>
    <row r="21" spans="1:17" ht="25.5">
      <c r="A21" s="2251"/>
      <c r="B21" s="315" t="s">
        <v>2258</v>
      </c>
      <c r="C21" s="2291" t="str">
        <f>C7</f>
        <v>估价对象所在区域公共配套设施齐备情况</v>
      </c>
      <c r="D21" s="2264"/>
      <c r="E21" s="2252"/>
      <c r="F21" s="2290" t="s">
        <v>2275</v>
      </c>
      <c r="G21" s="2293"/>
    </row>
    <row r="22" spans="1:17" ht="13.5" customHeight="1">
      <c r="A22" s="2251"/>
      <c r="B22" s="315" t="s">
        <v>2261</v>
      </c>
      <c r="C22" s="2291" t="str">
        <f>C8</f>
        <v>七通</v>
      </c>
      <c r="D22" s="2264"/>
      <c r="E22" s="2252"/>
      <c r="F22" s="2290" t="s">
        <v>2266</v>
      </c>
      <c r="G22" s="2292"/>
    </row>
    <row r="23" spans="1:17" s="751" customFormat="1" ht="15" thickBot="1">
      <c r="A23" s="2251"/>
      <c r="B23" s="2290" t="s">
        <v>2275</v>
      </c>
      <c r="C23" s="2293"/>
      <c r="D23" s="1613"/>
      <c r="E23" s="2253"/>
      <c r="F23" s="2294" t="s">
        <v>2276</v>
      </c>
      <c r="G23" s="2295"/>
      <c r="H23" s="2274"/>
      <c r="I23" s="2274"/>
      <c r="J23" s="2274"/>
      <c r="K23" s="2274"/>
      <c r="L23" s="2274"/>
      <c r="M23" s="2274"/>
      <c r="N23" s="2274"/>
      <c r="O23" s="2274"/>
      <c r="P23" s="2274"/>
      <c r="Q23" s="2274"/>
    </row>
    <row r="24" spans="1:17" s="751" customFormat="1" ht="15" thickBot="1">
      <c r="A24" s="2254"/>
      <c r="B24" s="2294" t="s">
        <v>2277</v>
      </c>
      <c r="C24" s="2296" t="str">
        <f>C10</f>
        <v>城市次干道——胡家园路</v>
      </c>
      <c r="D24" s="1613"/>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6" sqref="F16"/>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375.87</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45622</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3830</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3353</v>
      </c>
      <c r="D10" s="2297" t="s">
        <v>3354</v>
      </c>
      <c r="E10" s="3134"/>
      <c r="F10" s="3138" t="s">
        <v>3355</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'数据-基础表'!I13</f>
        <v>375.87</v>
      </c>
      <c r="C14" s="2303"/>
      <c r="D14" s="2303">
        <f ca="1">结果表!G19</f>
        <v>3830</v>
      </c>
      <c r="E14" s="2303">
        <f ca="1">结果表!G20</f>
        <v>101908</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 zoomScale="80" zoomScaleNormal="100" zoomScaleSheetLayoutView="80" zoomScalePageLayoutView="80" workbookViewId="0">
      <selection activeCell="D20" sqref="D2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3392</v>
      </c>
      <c r="D1" s="646"/>
      <c r="E1" s="646"/>
      <c r="F1" s="1620" t="s">
        <v>1263</v>
      </c>
      <c r="G1" s="1452"/>
      <c r="H1" s="1620" t="str">
        <f>IF(G1="现房","——","估价对象范围")</f>
        <v>估价对象范围</v>
      </c>
      <c r="I1" s="1621"/>
    </row>
    <row r="2" spans="1:12" ht="21.75" customHeight="1" thickBot="1">
      <c r="A2" s="3319" t="str">
        <f>项目基本情况!S2</f>
        <v>北京市房地产</v>
      </c>
      <c r="B2" s="3320"/>
      <c r="C2" s="3320"/>
      <c r="D2" s="3320"/>
      <c r="E2" s="3320"/>
      <c r="F2" s="3320"/>
      <c r="G2" s="3320"/>
      <c r="H2" s="3320"/>
      <c r="I2" s="3321"/>
    </row>
    <row r="3" spans="1:12" ht="12.75">
      <c r="A3" s="3323" t="s">
        <v>1264</v>
      </c>
      <c r="B3" s="3324"/>
      <c r="C3" s="3324"/>
      <c r="D3" s="3324"/>
      <c r="E3" s="3324"/>
      <c r="F3" s="3324"/>
      <c r="G3" s="3324"/>
      <c r="H3" s="3324"/>
      <c r="I3" s="3324"/>
    </row>
    <row r="4" spans="1:12" ht="14.25">
      <c r="A4" s="1623" t="s">
        <v>1265</v>
      </c>
      <c r="B4" s="1624" t="s">
        <v>1266</v>
      </c>
      <c r="C4" s="1625" t="s">
        <v>3539</v>
      </c>
      <c r="D4" s="1625" t="s">
        <v>3529</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67" t="s">
        <v>1268</v>
      </c>
      <c r="B5" s="3322">
        <v>25</v>
      </c>
      <c r="C5" s="3325">
        <v>8</v>
      </c>
      <c r="D5" s="3313">
        <f>10-C5</f>
        <v>2</v>
      </c>
      <c r="E5" s="123" t="s">
        <v>1269</v>
      </c>
      <c r="F5" s="1626"/>
      <c r="G5" s="1626"/>
      <c r="H5" s="1626"/>
      <c r="I5" s="1280"/>
    </row>
    <row r="6" spans="1:12" ht="12.75">
      <c r="A6" s="3267"/>
      <c r="B6" s="3322"/>
      <c r="C6" s="3327"/>
      <c r="D6" s="3313"/>
      <c r="E6" s="123" t="s">
        <v>1270</v>
      </c>
      <c r="F6" s="1626"/>
      <c r="G6" s="1626"/>
      <c r="H6" s="1626"/>
      <c r="I6" s="1280"/>
    </row>
    <row r="7" spans="1:12" ht="12.75">
      <c r="A7" s="3267"/>
      <c r="B7" s="3322"/>
      <c r="C7" s="3326"/>
      <c r="D7" s="3313"/>
      <c r="E7" s="123" t="s">
        <v>1271</v>
      </c>
      <c r="F7" s="1626"/>
      <c r="G7" s="1626"/>
      <c r="H7" s="1626"/>
      <c r="I7" s="1280"/>
    </row>
    <row r="8" spans="1:12" ht="12.75">
      <c r="A8" s="3267" t="s">
        <v>1272</v>
      </c>
      <c r="B8" s="3322">
        <v>15</v>
      </c>
      <c r="C8" s="3325"/>
      <c r="D8" s="3313"/>
      <c r="E8" s="123" t="s">
        <v>1273</v>
      </c>
      <c r="F8" s="1626"/>
      <c r="G8" s="1626"/>
      <c r="H8" s="1626"/>
      <c r="I8" s="1280"/>
    </row>
    <row r="9" spans="1:12" ht="12.75">
      <c r="A9" s="3267"/>
      <c r="B9" s="3322"/>
      <c r="C9" s="3326"/>
      <c r="D9" s="3313"/>
      <c r="E9" s="123" t="s">
        <v>1274</v>
      </c>
      <c r="F9" s="1626"/>
      <c r="G9" s="1626"/>
      <c r="H9" s="1626"/>
      <c r="I9" s="1280"/>
    </row>
    <row r="10" spans="1:12" ht="12.75">
      <c r="A10" s="3267" t="s">
        <v>1275</v>
      </c>
      <c r="B10" s="3322">
        <v>15</v>
      </c>
      <c r="C10" s="3325"/>
      <c r="D10" s="3313"/>
      <c r="E10" s="123" t="s">
        <v>1276</v>
      </c>
      <c r="F10" s="1626"/>
      <c r="G10" s="1626"/>
      <c r="H10" s="1626"/>
      <c r="I10" s="1280"/>
    </row>
    <row r="11" spans="1:12" ht="12.75">
      <c r="A11" s="3267"/>
      <c r="B11" s="3322"/>
      <c r="C11" s="3326"/>
      <c r="D11" s="3313"/>
      <c r="E11" s="123" t="s">
        <v>1277</v>
      </c>
      <c r="F11" s="1626"/>
      <c r="G11" s="1626"/>
      <c r="H11" s="1626"/>
      <c r="I11" s="1280"/>
    </row>
    <row r="12" spans="1:12" ht="12.75">
      <c r="A12" s="3267" t="s">
        <v>1278</v>
      </c>
      <c r="B12" s="3322">
        <v>15</v>
      </c>
      <c r="C12" s="3325"/>
      <c r="D12" s="3313"/>
      <c r="E12" s="123" t="s">
        <v>1279</v>
      </c>
      <c r="F12" s="1626"/>
      <c r="G12" s="1626"/>
      <c r="H12" s="1626"/>
      <c r="I12" s="1280"/>
    </row>
    <row r="13" spans="1:12" ht="12.75">
      <c r="A13" s="3267"/>
      <c r="B13" s="3322"/>
      <c r="C13" s="3326"/>
      <c r="D13" s="3313"/>
      <c r="E13" s="123" t="s">
        <v>1280</v>
      </c>
      <c r="F13" s="1626"/>
      <c r="G13" s="1626"/>
      <c r="H13" s="1626"/>
      <c r="I13" s="1280"/>
    </row>
    <row r="14" spans="1:12" ht="12.75">
      <c r="A14" s="3267" t="s">
        <v>1281</v>
      </c>
      <c r="B14" s="3322">
        <v>30</v>
      </c>
      <c r="C14" s="3325"/>
      <c r="D14" s="3313"/>
      <c r="E14" s="123" t="s">
        <v>1282</v>
      </c>
      <c r="F14" s="1626"/>
      <c r="G14" s="1626"/>
      <c r="H14" s="1626"/>
      <c r="I14" s="1280"/>
    </row>
    <row r="15" spans="1:12" ht="12.75">
      <c r="A15" s="3267"/>
      <c r="B15" s="3322"/>
      <c r="C15" s="3327"/>
      <c r="D15" s="3313"/>
      <c r="E15" s="123" t="s">
        <v>1283</v>
      </c>
      <c r="F15" s="1626"/>
      <c r="G15" s="1626"/>
      <c r="H15" s="1626"/>
      <c r="I15" s="1280"/>
    </row>
    <row r="16" spans="1:12" ht="12.75">
      <c r="A16" s="3267"/>
      <c r="B16" s="3322"/>
      <c r="C16" s="3326"/>
      <c r="D16" s="3313"/>
      <c r="E16" s="123" t="s">
        <v>1284</v>
      </c>
      <c r="F16" s="1626"/>
      <c r="G16" s="1626"/>
      <c r="H16" s="1626"/>
      <c r="I16" s="1280"/>
    </row>
    <row r="17" spans="1:36" ht="15">
      <c r="A17" s="1627" t="s">
        <v>1285</v>
      </c>
      <c r="B17" s="54"/>
      <c r="C17" s="124">
        <f>SUM(C5:C16)</f>
        <v>8</v>
      </c>
      <c r="D17" s="124">
        <f>SUM(D5:D16)</f>
        <v>2</v>
      </c>
      <c r="E17" s="121"/>
      <c r="F17" s="121"/>
      <c r="G17" s="121"/>
      <c r="H17" s="121"/>
      <c r="I17" s="121"/>
      <c r="K17" s="294"/>
      <c r="L17" s="294" t="s">
        <v>1286</v>
      </c>
      <c r="M17" s="294" t="s">
        <v>1287</v>
      </c>
    </row>
    <row r="18" spans="1:36" ht="31.9" customHeight="1" thickBot="1">
      <c r="A18" s="1628" t="s">
        <v>1288</v>
      </c>
      <c r="B18" s="1541"/>
      <c r="C18" s="125">
        <f>ROUND(C17/SUM(C17:D17),2)</f>
        <v>0.8</v>
      </c>
      <c r="D18" s="125">
        <f>1-C18</f>
        <v>0.19999999999999996</v>
      </c>
      <c r="E18" s="3344" t="s">
        <v>2129</v>
      </c>
      <c r="F18" s="3345"/>
      <c r="G18" s="3345"/>
      <c r="H18" s="3345"/>
      <c r="I18" s="3345"/>
      <c r="K18" s="294" t="s">
        <v>1289</v>
      </c>
      <c r="L18" s="294">
        <f>IF(C1="",'数据-汇总表'!E3,SUMIF(项目类型,C1,'数据-汇总表'!E17:E26)+SUMIF(项目类型,C1,'数据-汇总表'!I17:I26))</f>
        <v>375.87</v>
      </c>
      <c r="M18" s="294">
        <f>IF(C1="",'数据-汇总表'!E3,SUMIF(项目类型,C1,'数据-汇总表'!E17:E26))</f>
        <v>375.87</v>
      </c>
    </row>
    <row r="19" spans="1:36" ht="15">
      <c r="A19" s="1629" t="s">
        <v>1290</v>
      </c>
      <c r="B19" s="1630" t="s">
        <v>1291</v>
      </c>
      <c r="C19" s="126">
        <f ca="1">SUMIF(INDIRECT("'"&amp;C4&amp;"'"&amp;"!A:A"),结果表!B19,INDIRECT("'"&amp;C4&amp;"'"&amp;"!B:B"))</f>
        <v>4167.7217000000001</v>
      </c>
      <c r="D19" s="127">
        <f ca="1">SUMIF(INDIRECT("'"&amp;D4&amp;"'"&amp;"!A:A"),结果表!B19,INDIRECT("'"&amp;D4&amp;"'"&amp;"!B:B"))</f>
        <v>2481.2460000000001</v>
      </c>
      <c r="E19" s="1629" t="s">
        <v>1292</v>
      </c>
      <c r="F19" s="1630" t="s">
        <v>1291</v>
      </c>
      <c r="G19" s="128">
        <f ca="1">ROUND(C19*$C$18+D19*$D$18,0)</f>
        <v>3830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110882</v>
      </c>
      <c r="D20" s="130">
        <f ca="1">SUMIF(INDIRECT("'"&amp;D4&amp;"'"&amp;"!A:A"),结果表!B20,INDIRECT("'"&amp;D4&amp;"'"&amp;"!B:B"))</f>
        <v>66013</v>
      </c>
      <c r="E20" s="1632"/>
      <c r="F20" s="43" t="s">
        <v>1295</v>
      </c>
      <c r="G20" s="131">
        <f ca="1">ROUND(C20*$C$18+D20*$D$18,0)</f>
        <v>101908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0.67968903526695867</v>
      </c>
      <c r="E22" s="121"/>
      <c r="F22" s="121"/>
      <c r="G22" s="121"/>
      <c r="H22" s="121"/>
      <c r="I22" s="121"/>
    </row>
    <row r="23" spans="1:36" ht="13.5" thickBot="1">
      <c r="A23" s="646"/>
      <c r="B23" s="646"/>
      <c r="C23" s="646"/>
      <c r="D23" s="646"/>
      <c r="E23" s="121"/>
      <c r="F23" s="121"/>
      <c r="G23" s="121"/>
      <c r="H23" s="121"/>
      <c r="I23" s="121"/>
    </row>
    <row r="24" spans="1:36" ht="14.25">
      <c r="A24" s="3337" t="s">
        <v>1299</v>
      </c>
      <c r="B24" s="1630" t="s">
        <v>1291</v>
      </c>
      <c r="C24" s="128">
        <f>IF(B30=0,0,D30)</f>
        <v>0</v>
      </c>
      <c r="D24" s="1636"/>
      <c r="E24" s="121"/>
      <c r="F24" s="121"/>
      <c r="G24" s="121"/>
      <c r="H24" s="121"/>
      <c r="I24" s="121"/>
    </row>
    <row r="25" spans="1:36" ht="14.25">
      <c r="A25" s="3338"/>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2130</v>
      </c>
      <c r="F30" s="121"/>
      <c r="G30" s="121"/>
      <c r="H30" s="121"/>
      <c r="I30" s="121"/>
    </row>
    <row r="31" spans="1:36" s="2132" customFormat="1" ht="26.45" customHeight="1" thickTop="1" thickBot="1">
      <c r="A31" s="2127"/>
      <c r="B31" s="2128"/>
      <c r="C31" s="2128"/>
      <c r="D31" s="2128"/>
      <c r="E31" s="2128"/>
      <c r="F31" s="2128"/>
      <c r="G31" s="2128"/>
      <c r="H31" s="2128"/>
      <c r="I31" s="2129" t="s">
        <v>2131</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101908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4" t="s">
        <v>1312</v>
      </c>
      <c r="B36" s="1651" t="s">
        <v>1313</v>
      </c>
      <c r="C36" s="137"/>
      <c r="D36" s="1652"/>
      <c r="E36" s="1566"/>
      <c r="F36" s="1653"/>
      <c r="G36" s="121"/>
      <c r="H36" s="121"/>
      <c r="I36" s="121"/>
    </row>
    <row r="37" spans="1:15" ht="15.75" thickBot="1">
      <c r="A37" s="3315"/>
      <c r="B37" s="1554" t="s">
        <v>1314</v>
      </c>
      <c r="C37" s="139"/>
      <c r="D37" s="1071"/>
      <c r="E37" s="1071"/>
      <c r="F37" s="1653"/>
      <c r="G37" s="121"/>
      <c r="H37" s="121"/>
      <c r="I37" s="121"/>
    </row>
    <row r="38" spans="1:15" ht="15.75" thickBot="1">
      <c r="A38" s="331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4" t="s">
        <v>1326</v>
      </c>
      <c r="B45" s="3335"/>
      <c r="C45" s="3336"/>
      <c r="D45" s="147" t="e">
        <f ca="1">ROUND(H101*F45,0)</f>
        <v>#REF!</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7"/>
      <c r="I46" s="151"/>
      <c r="J46" s="2307">
        <v>1</v>
      </c>
      <c r="K46" s="3255" t="s">
        <v>1331</v>
      </c>
      <c r="L46" s="3255"/>
      <c r="M46" s="3256"/>
      <c r="N46" s="3256"/>
      <c r="O46" s="3256"/>
    </row>
    <row r="47" spans="1:15" ht="12" customHeight="1">
      <c r="A47" s="152" t="s">
        <v>1332</v>
      </c>
      <c r="B47" s="153"/>
      <c r="C47" s="154"/>
      <c r="D47" s="1024" t="s">
        <v>1333</v>
      </c>
      <c r="E47" s="294" t="s">
        <v>1334</v>
      </c>
      <c r="F47" s="155" t="s">
        <v>1335</v>
      </c>
      <c r="G47" s="2330" t="s">
        <v>1336</v>
      </c>
      <c r="H47" s="2331"/>
      <c r="I47" s="151"/>
      <c r="J47" s="2307">
        <v>2</v>
      </c>
      <c r="K47" s="3255" t="s">
        <v>1337</v>
      </c>
      <c r="L47" s="3255"/>
      <c r="M47" s="3257">
        <f>'数据-取费表'!B2</f>
        <v>45622</v>
      </c>
      <c r="N47" s="3257"/>
      <c r="O47" s="3257"/>
    </row>
    <row r="48" spans="1:15" ht="25.5">
      <c r="A48" s="3317" t="s">
        <v>1338</v>
      </c>
      <c r="B48" s="3318"/>
      <c r="C48" s="3318"/>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55" t="s">
        <v>1340</v>
      </c>
      <c r="L48" s="3255"/>
      <c r="M48" s="3258" t="e">
        <f ca="1">H101</f>
        <v>#REF!</v>
      </c>
      <c r="N48" s="3258"/>
      <c r="O48" s="3258"/>
    </row>
    <row r="49" spans="1:35" ht="25.5" customHeight="1">
      <c r="A49" s="2151" t="s">
        <v>1341</v>
      </c>
      <c r="B49" s="3303" t="s">
        <v>1342</v>
      </c>
      <c r="C49" s="3303"/>
      <c r="D49" s="1477">
        <v>0</v>
      </c>
      <c r="E49" s="316" t="s">
        <v>1343</v>
      </c>
      <c r="F49" s="2232" t="s">
        <v>28</v>
      </c>
      <c r="G49" s="3286"/>
      <c r="H49" s="2133" t="s">
        <v>2132</v>
      </c>
      <c r="I49" s="2134"/>
      <c r="J49" s="2307">
        <v>4</v>
      </c>
      <c r="K49" s="3255" t="str">
        <f>IF(项目基本情况!E8="房地产抵押价值","房地产抵押价值","抵押担保权已注销时的房地产抵押价值")</f>
        <v>抵押担保权已注销时的房地产抵押价值</v>
      </c>
      <c r="L49" s="3255"/>
      <c r="M49" s="3258" t="str">
        <f>IF(项目基本情况!E8="房地产抵押价值",H107,H109)</f>
        <v>——</v>
      </c>
      <c r="N49" s="3258"/>
      <c r="O49" s="3258"/>
    </row>
    <row r="50" spans="1:35" ht="25.5" customHeight="1">
      <c r="A50" s="2335"/>
      <c r="B50" s="3303" t="s">
        <v>1344</v>
      </c>
      <c r="C50" s="3303"/>
      <c r="D50" s="2188"/>
      <c r="E50" s="323"/>
      <c r="F50" s="2232"/>
      <c r="G50" s="3287"/>
      <c r="H50" s="2135" t="s">
        <v>2133</v>
      </c>
      <c r="I50" s="2134"/>
      <c r="J50" s="3254" t="s">
        <v>1345</v>
      </c>
      <c r="K50" s="3254"/>
      <c r="L50" s="3254"/>
      <c r="M50" s="3254"/>
      <c r="N50" s="3254"/>
      <c r="O50" s="3254"/>
    </row>
    <row r="51" spans="1:35" ht="20.45" customHeight="1">
      <c r="A51" s="2336"/>
      <c r="B51" s="3303" t="s">
        <v>1346</v>
      </c>
      <c r="C51" s="3303"/>
      <c r="D51" s="1024"/>
      <c r="E51" s="319"/>
      <c r="F51" s="2232"/>
      <c r="G51" s="3288"/>
      <c r="H51" s="2135" t="s">
        <v>2134</v>
      </c>
      <c r="I51" s="2134"/>
      <c r="J51" s="2308" t="s">
        <v>1347</v>
      </c>
      <c r="K51" s="3255" t="s">
        <v>1348</v>
      </c>
      <c r="L51" s="3255"/>
      <c r="M51" s="2308" t="s">
        <v>1349</v>
      </c>
      <c r="N51" s="2308" t="s">
        <v>1350</v>
      </c>
      <c r="O51" s="2308" t="s">
        <v>1351</v>
      </c>
    </row>
    <row r="52" spans="1:35" ht="24" customHeight="1">
      <c r="A52" s="2152" t="s">
        <v>1352</v>
      </c>
      <c r="B52" s="3303" t="s">
        <v>1353</v>
      </c>
      <c r="C52" s="3303"/>
      <c r="D52" s="1024" t="e">
        <f ca="1">ROUND(D45*'数据-取费表'!B41/(1+'数据-取费表'!C42),0)</f>
        <v>#REF!</v>
      </c>
      <c r="E52" s="1255" t="s">
        <v>1354</v>
      </c>
      <c r="F52" s="2337">
        <f>'数据-取费表'!B41</f>
        <v>5.6000000000000001E-2</v>
      </c>
      <c r="G52" s="2338"/>
      <c r="H52" s="2328"/>
      <c r="I52" s="1668"/>
      <c r="J52" s="2307">
        <v>1</v>
      </c>
      <c r="K52" s="3280" t="s">
        <v>1355</v>
      </c>
      <c r="L52" s="3280"/>
      <c r="M52" s="2309" t="b">
        <f>D48</f>
        <v>0</v>
      </c>
      <c r="N52" s="2307" t="str">
        <f>E48</f>
        <v>销售额×税（费）率</v>
      </c>
      <c r="O52" s="2310">
        <f>F48</f>
        <v>5.6000000000000001E-2</v>
      </c>
    </row>
    <row r="53" spans="1:35" ht="12" customHeight="1">
      <c r="A53" s="2152" t="s">
        <v>1356</v>
      </c>
      <c r="B53" s="3304" t="s">
        <v>2287</v>
      </c>
      <c r="C53" s="3305"/>
      <c r="D53" s="1024" t="e">
        <f ca="1">ROUND(D45*'数据-取费表'!B41/(1+'数据-取费表'!C42),0)</f>
        <v>#REF!</v>
      </c>
      <c r="E53" s="1255" t="s">
        <v>1354</v>
      </c>
      <c r="F53" s="2337">
        <f>'数据-取费表'!B41</f>
        <v>5.6000000000000001E-2</v>
      </c>
      <c r="G53" s="2338"/>
      <c r="H53" s="2328"/>
      <c r="I53" s="1668"/>
      <c r="J53" s="2307">
        <v>2</v>
      </c>
      <c r="K53" s="3280" t="s">
        <v>1357</v>
      </c>
      <c r="L53" s="3280"/>
      <c r="M53" s="2309" t="e">
        <f t="shared" ref="M53:O54" ca="1" si="0">D55</f>
        <v>#REF!</v>
      </c>
      <c r="N53" s="2307" t="str">
        <f t="shared" si="0"/>
        <v>销售额×税（费）率</v>
      </c>
      <c r="O53" s="2310" t="str">
        <f t="shared" si="0"/>
        <v>免征</v>
      </c>
    </row>
    <row r="54" spans="1:35" ht="12" customHeight="1">
      <c r="A54" s="2152" t="s">
        <v>1358</v>
      </c>
      <c r="B54" s="3304" t="s">
        <v>2288</v>
      </c>
      <c r="C54" s="3305"/>
      <c r="D54" s="1024" t="e">
        <f ca="1">C68</f>
        <v>#REF!</v>
      </c>
      <c r="E54" s="319" t="s">
        <v>1359</v>
      </c>
      <c r="F54" s="2337">
        <f>'数据-取费表'!B41</f>
        <v>5.6000000000000001E-2</v>
      </c>
      <c r="G54" s="2338"/>
      <c r="H54" s="2339"/>
      <c r="I54" s="1668"/>
      <c r="J54" s="2307">
        <v>3</v>
      </c>
      <c r="K54" s="3280" t="s">
        <v>1360</v>
      </c>
      <c r="L54" s="3280"/>
      <c r="M54" s="2309" t="e">
        <f t="shared" ca="1" si="0"/>
        <v>#REF!</v>
      </c>
      <c r="N54" s="2307" t="str">
        <f t="shared" si="0"/>
        <v>增值额×税（费）率</v>
      </c>
      <c r="O54" s="2311" t="str">
        <f t="shared" si="0"/>
        <v>免征</v>
      </c>
    </row>
    <row r="55" spans="1:35" ht="24" customHeight="1">
      <c r="A55" s="3340" t="s">
        <v>1361</v>
      </c>
      <c r="B55" s="3318"/>
      <c r="C55" s="3318"/>
      <c r="D55" s="12" t="e">
        <f ca="1">IF(H55="个人住宅",0,ROUND(D45*I55,0))</f>
        <v>#REF!</v>
      </c>
      <c r="E55" s="1255" t="s">
        <v>1362</v>
      </c>
      <c r="F55" s="2337" t="str">
        <f>IF(H55="正常",I55,"免征")</f>
        <v>免征</v>
      </c>
      <c r="G55" s="2338"/>
      <c r="H55" s="2334"/>
      <c r="I55" s="157">
        <f>'数据-取费表'!B49</f>
        <v>5.0000000000000001E-4</v>
      </c>
      <c r="J55" s="2307">
        <f>IF(H59="非个人房产","",4)</f>
        <v>4</v>
      </c>
      <c r="K55" s="3280" t="str">
        <f>IF(H59="非个人房产","——","个人所得税")</f>
        <v>个人所得税</v>
      </c>
      <c r="L55" s="3280"/>
      <c r="M55" s="2312" t="e">
        <f ca="1">D59</f>
        <v>#REF!</v>
      </c>
      <c r="N55" s="1882" t="str">
        <f>E59</f>
        <v>差额计税</v>
      </c>
      <c r="O55" s="2313">
        <f>F59</f>
        <v>0.01</v>
      </c>
    </row>
    <row r="56" spans="1:35" ht="24.75">
      <c r="A56" s="3340" t="s">
        <v>1363</v>
      </c>
      <c r="B56" s="3318"/>
      <c r="C56" s="3318"/>
      <c r="D56" s="12" t="e">
        <f ca="1">IF(H56="个人住宅",D57,D58)</f>
        <v>#REF!</v>
      </c>
      <c r="E56" s="1255" t="s">
        <v>1364</v>
      </c>
      <c r="F56" s="2337" t="str">
        <f>IF(H56="正常",F58,"免征")</f>
        <v>免征</v>
      </c>
      <c r="G56" s="2340" t="s">
        <v>1365</v>
      </c>
      <c r="H56" s="2341"/>
      <c r="I56" s="1669"/>
      <c r="J56" s="2307" t="str">
        <f>IF(项目基本情况!K6="上海银行",IF(J55="",4,J55+1),"")</f>
        <v/>
      </c>
      <c r="K56" s="3261" t="str">
        <f>IF(项目基本情况!K6="上海银行","其他处置费用","")</f>
        <v/>
      </c>
      <c r="L56" s="3262"/>
      <c r="M56" s="2309" t="str">
        <f>IF(项目基本情况!K6="上海银行",M69,"")</f>
        <v/>
      </c>
      <c r="N56" s="3261" t="str">
        <f>IF(项目基本情况!K6="上海银行","包含处置中涉及的律师、诉讼、拍卖、评估等费用","")</f>
        <v/>
      </c>
      <c r="O56" s="3264"/>
    </row>
    <row r="57" spans="1:35" ht="12.75">
      <c r="A57" s="2152" t="s">
        <v>1341</v>
      </c>
      <c r="B57" s="3304" t="s">
        <v>1366</v>
      </c>
      <c r="C57" s="3305"/>
      <c r="D57" s="1477">
        <v>0</v>
      </c>
      <c r="E57" s="316" t="s">
        <v>1343</v>
      </c>
      <c r="F57" s="294"/>
      <c r="G57" s="2338"/>
      <c r="H57" s="2342"/>
      <c r="I57" s="1669"/>
      <c r="J57" s="3280">
        <f>IF(AND(J55="",J56=""),4,IF(项目基本情况!K6="上海银行",结果表!J56+1,结果表!J55+1))</f>
        <v>5</v>
      </c>
      <c r="K57" s="3280" t="s">
        <v>1367</v>
      </c>
      <c r="L57" s="2314" t="s">
        <v>1368</v>
      </c>
      <c r="M57" s="2315"/>
      <c r="N57" s="2316">
        <f ca="1">SUMIF(M52:M56,"&lt;9e307")</f>
        <v>0</v>
      </c>
      <c r="O57" s="2317"/>
      <c r="P57" s="2462" t="e">
        <f ca="1">N57/M49</f>
        <v>#VALUE!</v>
      </c>
    </row>
    <row r="58" spans="1:35" ht="24.75">
      <c r="A58" s="2152" t="s">
        <v>1352</v>
      </c>
      <c r="B58" s="3304" t="s">
        <v>1369</v>
      </c>
      <c r="C58" s="3303"/>
      <c r="D58" s="12" t="e">
        <f ca="1">IF(H58="转让取得",C81,C97)</f>
        <v>#REF!</v>
      </c>
      <c r="E58" s="1255" t="s">
        <v>1364</v>
      </c>
      <c r="F58" s="294" t="s">
        <v>28</v>
      </c>
      <c r="G58" s="2338"/>
      <c r="H58" s="2341"/>
      <c r="I58" s="1669"/>
      <c r="J58" s="3280"/>
      <c r="K58" s="3280"/>
      <c r="L58" s="2314" t="s">
        <v>1370</v>
      </c>
      <c r="M58" s="2318"/>
      <c r="N58" s="2319" t="str">
        <f ca="1">NUMBERSTRING(INT(N57*10000),2)&amp;"元整"</f>
        <v>零元整</v>
      </c>
      <c r="O58" s="2320"/>
    </row>
    <row r="59" spans="1:35" ht="24.75" thickBot="1">
      <c r="A59" s="3284" t="s">
        <v>1371</v>
      </c>
      <c r="B59" s="3285"/>
      <c r="C59" s="328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2135</v>
      </c>
      <c r="J59" s="3282">
        <f>J57+1</f>
        <v>6</v>
      </c>
      <c r="K59" s="3280" t="s">
        <v>1372</v>
      </c>
      <c r="L59" s="2307" t="s">
        <v>1368</v>
      </c>
      <c r="M59" s="2321"/>
      <c r="N59" s="2322" t="e">
        <f ca="1">M49-N57</f>
        <v>#VALUE!</v>
      </c>
      <c r="O59" s="2323"/>
    </row>
    <row r="60" spans="1:35" ht="12" customHeight="1">
      <c r="A60" s="1670"/>
      <c r="B60" s="646"/>
      <c r="C60" s="646"/>
      <c r="D60" s="646"/>
      <c r="E60" s="1465"/>
      <c r="F60" s="1669"/>
      <c r="G60" s="1669"/>
      <c r="H60" s="151"/>
      <c r="I60" s="121"/>
      <c r="J60" s="3283"/>
      <c r="K60" s="3280"/>
      <c r="L60" s="2314" t="s">
        <v>1370</v>
      </c>
      <c r="M60" s="2318"/>
      <c r="N60" s="2319" t="e">
        <f ca="1">NUMBERSTRING(INT(N59*10000),2)&amp;"元整"</f>
        <v>#VALUE!</v>
      </c>
      <c r="O60" s="2320"/>
    </row>
    <row r="61" spans="1:35" ht="13.5" thickBot="1">
      <c r="A61" s="3339" t="s">
        <v>1373</v>
      </c>
      <c r="B61" s="3339"/>
      <c r="C61" s="3339"/>
      <c r="D61" s="3339"/>
      <c r="E61" s="3339"/>
      <c r="F61" s="1669"/>
      <c r="G61" s="1669"/>
      <c r="H61" s="151"/>
      <c r="I61" s="121"/>
      <c r="J61" s="2307">
        <f>J59+1</f>
        <v>7</v>
      </c>
      <c r="K61" s="3280" t="s">
        <v>1374</v>
      </c>
      <c r="L61" s="3280"/>
      <c r="M61" s="2324"/>
      <c r="N61" s="2325" t="e">
        <f ca="1">ROUND(N59*10000/'数据-汇总表'!E3,0)</f>
        <v>#VALUE!</v>
      </c>
      <c r="O61" s="2326"/>
    </row>
    <row r="62" spans="1:35" ht="12.75">
      <c r="A62" s="3299" t="s">
        <v>1375</v>
      </c>
      <c r="B62" s="3300"/>
      <c r="C62" s="1864"/>
      <c r="D62" s="1864"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263"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26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263"/>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263"/>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26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263"/>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263"/>
      <c r="K69" s="1244" t="s">
        <v>1393</v>
      </c>
      <c r="L69" s="1244"/>
      <c r="M69" s="294" t="e">
        <f>ROUND(SUM(M63:M68),0)</f>
        <v>#VALUE!</v>
      </c>
      <c r="N69" s="2329" t="e">
        <f>M69/M49</f>
        <v>#VALUE!</v>
      </c>
      <c r="Z69" s="1622"/>
      <c r="AI69" s="1560"/>
    </row>
    <row r="70" spans="1:35" s="642" customFormat="1" ht="15" thickBot="1">
      <c r="A70" s="3307" t="s">
        <v>1394</v>
      </c>
      <c r="B70" s="3308"/>
      <c r="C70" s="3308"/>
      <c r="D70" s="3308"/>
      <c r="E70" s="3308"/>
      <c r="F70" s="3308"/>
      <c r="G70" s="3308"/>
      <c r="H70" s="330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9" t="s">
        <v>1375</v>
      </c>
      <c r="B71" s="330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04" t="s">
        <v>1402</v>
      </c>
      <c r="F76" s="3303"/>
      <c r="G76" s="3303"/>
      <c r="H76" s="330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296" t="s">
        <v>1406</v>
      </c>
      <c r="F78" s="3297"/>
      <c r="G78" s="3297"/>
      <c r="H78" s="329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7" t="s">
        <v>1410</v>
      </c>
      <c r="B83" s="3308"/>
      <c r="C83" s="3308"/>
      <c r="D83" s="3308"/>
      <c r="E83" s="3308"/>
      <c r="F83" s="3308"/>
      <c r="G83" s="3308"/>
      <c r="H83" s="330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9" t="s">
        <v>1375</v>
      </c>
      <c r="B84" s="330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7"/>
      <c r="G88" s="186" t="s">
        <v>1414</v>
      </c>
      <c r="H88" s="1683"/>
      <c r="I88" s="1680"/>
      <c r="J88" s="2305"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7"/>
      <c r="G90" s="3265" t="s">
        <v>2127</v>
      </c>
      <c r="H90" s="3266"/>
      <c r="I90" s="1680"/>
      <c r="J90" s="2305"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6" t="s">
        <v>1419</v>
      </c>
      <c r="F91" s="3297"/>
      <c r="G91" s="329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6" t="s">
        <v>1422</v>
      </c>
      <c r="F92" s="3297"/>
      <c r="G92" s="3297"/>
      <c r="H92" s="3298"/>
      <c r="I92" s="1680"/>
      <c r="J92" s="2306"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296" t="s">
        <v>1406</v>
      </c>
      <c r="F93" s="3297"/>
      <c r="G93" s="3297"/>
      <c r="H93" s="329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41" t="s">
        <v>1426</v>
      </c>
      <c r="F94" s="3342"/>
      <c r="G94" s="3342"/>
      <c r="H94" s="334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68" t="str">
        <f>C4</f>
        <v>比较法-住宅（新）</v>
      </c>
      <c r="D101" s="2369" t="str">
        <f>D4</f>
        <v>成本法 (元)</v>
      </c>
      <c r="E101" s="3259" t="s">
        <v>1431</v>
      </c>
      <c r="F101" s="3260"/>
      <c r="G101" s="1686" t="s">
        <v>1432</v>
      </c>
      <c r="H101" s="2378" t="e">
        <f ca="1">H118</f>
        <v>#REF!</v>
      </c>
      <c r="I101" s="121"/>
    </row>
    <row r="102" spans="1:35" ht="18.75" customHeight="1">
      <c r="A102" s="3291" t="s">
        <v>1433</v>
      </c>
      <c r="B102" s="2367" t="s">
        <v>1432</v>
      </c>
      <c r="C102" s="2368">
        <f ca="1">IF(D32="楼面单价",ROUND(C19,0),C19)</f>
        <v>4167.7217000000001</v>
      </c>
      <c r="D102" s="2369">
        <f ca="1">IF(D32="楼面单价",ROUND(D19,0),D19)</f>
        <v>2481.2460000000001</v>
      </c>
      <c r="E102" s="3259"/>
      <c r="F102" s="3260"/>
      <c r="G102" s="1686" t="s">
        <v>1434</v>
      </c>
      <c r="H102" s="2338" t="e">
        <f ca="1">I118</f>
        <v>#REF!</v>
      </c>
      <c r="I102" s="121"/>
    </row>
    <row r="103" spans="1:35" ht="42.75" customHeight="1">
      <c r="A103" s="3291"/>
      <c r="B103" s="2367" t="s">
        <v>1434</v>
      </c>
      <c r="C103" s="2370">
        <f ca="1">C20</f>
        <v>110882</v>
      </c>
      <c r="D103" s="2371">
        <f ca="1">D20</f>
        <v>66013</v>
      </c>
      <c r="E103" s="3252" t="s">
        <v>1435</v>
      </c>
      <c r="F103" s="3253"/>
      <c r="G103" s="1687" t="s">
        <v>1436</v>
      </c>
      <c r="H103" s="2378">
        <f>IF(D36="正常操作",H104+H105+H106,H105+H106)</f>
        <v>0</v>
      </c>
      <c r="I103" s="121"/>
    </row>
    <row r="104" spans="1:35" ht="18.75" customHeight="1">
      <c r="A104" s="3291"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01"/>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292" t="str">
        <f>IF(项目基本情况!E8="已注销","——","3.房地产抵押价值")</f>
        <v>3.房地产抵押价值</v>
      </c>
      <c r="F107" s="3260"/>
      <c r="G107" s="1686" t="s">
        <v>1432</v>
      </c>
      <c r="H107" s="2378" t="e">
        <f ca="1">IF(E107="——","——",H101-H103)</f>
        <v>#REF!</v>
      </c>
      <c r="I107" s="121"/>
    </row>
    <row r="108" spans="1:35" ht="18.75" customHeight="1">
      <c r="A108" s="121"/>
      <c r="B108" s="121"/>
      <c r="C108" s="121"/>
      <c r="D108" s="121"/>
      <c r="E108" s="3292"/>
      <c r="F108" s="3260"/>
      <c r="G108" s="1686" t="s">
        <v>1434</v>
      </c>
      <c r="H108" s="2338">
        <f ca="1">IF(H107=H101,H102,ROUND(H107*10000/'数据-汇总表'!E3,0))</f>
        <v>0</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6" t="s">
        <v>1432</v>
      </c>
      <c r="H109" s="2381" t="str">
        <f>IF(E109="——","——",H101-H105-H106)</f>
        <v>——</v>
      </c>
      <c r="I109" s="121"/>
    </row>
    <row r="110" spans="1:35" ht="18.75" customHeight="1">
      <c r="A110" s="121"/>
      <c r="B110" s="121"/>
      <c r="C110" s="121"/>
      <c r="D110" s="121"/>
      <c r="E110" s="3292"/>
      <c r="F110" s="3260"/>
      <c r="G110" s="1686" t="s">
        <v>1434</v>
      </c>
      <c r="H110" s="2338"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6" t="s">
        <v>1432</v>
      </c>
      <c r="H111" s="2378" t="str">
        <f>IF(E111="——","——",N59)</f>
        <v>——</v>
      </c>
      <c r="I111" s="121"/>
    </row>
    <row r="112" spans="1:35" ht="18.75" customHeight="1" thickBot="1">
      <c r="A112" s="121"/>
      <c r="B112" s="121"/>
      <c r="C112" s="121"/>
      <c r="D112" s="121"/>
      <c r="E112" s="3294"/>
      <c r="F112" s="3295"/>
      <c r="G112" s="1689" t="s">
        <v>1434</v>
      </c>
      <c r="H112" s="2382"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0"/>
      <c r="F114" s="1670"/>
      <c r="G114" s="1670"/>
      <c r="H114" s="1670"/>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49" t="s">
        <v>1449</v>
      </c>
      <c r="E117" s="2149" t="s">
        <v>1450</v>
      </c>
      <c r="F117" s="2149" t="s">
        <v>1449</v>
      </c>
      <c r="G117" s="2149" t="s">
        <v>1451</v>
      </c>
      <c r="H117" s="2149" t="s">
        <v>1449</v>
      </c>
      <c r="I117" s="2149" t="s">
        <v>1451</v>
      </c>
    </row>
    <row r="118" spans="1:27" ht="24.75" customHeight="1">
      <c r="A118" s="2383" t="str">
        <f>项目基本情况!S2</f>
        <v>北京市房地产</v>
      </c>
      <c r="B118" s="2149">
        <f>M18</f>
        <v>375.87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67" t="s">
        <v>1452</v>
      </c>
      <c r="B119" s="3267"/>
      <c r="C119" s="3267"/>
      <c r="D119" s="3273" t="e">
        <f ca="1">NUMBERSTRING(INT(D118*10000),2)&amp;"元整"</f>
        <v>#REF!</v>
      </c>
      <c r="E119" s="3274"/>
      <c r="F119" s="3273" t="e">
        <f ca="1">NUMBERSTRING(INT(F118*10000),2)&amp;"元整"</f>
        <v>#REF!</v>
      </c>
      <c r="G119" s="3274"/>
      <c r="H119" s="3273" t="e">
        <f ca="1">NUMBERSTRING(INT(H118*10000),2)&amp;"元整"</f>
        <v>#REF!</v>
      </c>
      <c r="I119" s="3274"/>
    </row>
    <row r="120" spans="1:27" ht="18.75" customHeight="1">
      <c r="A120" s="3268" t="str">
        <f>IF(项目基本情况!B9="房地产市场价值","",MID(E103,3,LEN(E103)-2))</f>
        <v/>
      </c>
      <c r="B120" s="3269"/>
      <c r="C120" s="3270"/>
      <c r="D120" s="3268">
        <f>H103</f>
        <v>0</v>
      </c>
      <c r="E120" s="3269"/>
      <c r="F120" s="3269"/>
      <c r="G120" s="3269"/>
      <c r="H120" s="3269"/>
      <c r="I120" s="3270"/>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
      </c>
      <c r="B122" s="3279"/>
      <c r="C122" s="3279"/>
      <c r="D122" s="3268" t="e">
        <f ca="1">H107</f>
        <v>#REF!</v>
      </c>
      <c r="E122" s="3269"/>
      <c r="F122" s="3269"/>
      <c r="G122" s="3269"/>
      <c r="H122" s="3269"/>
      <c r="I122" s="3270"/>
      <c r="AA122" s="684"/>
    </row>
    <row r="123" spans="1:27" ht="18.75" customHeight="1">
      <c r="A123" s="3267" t="s">
        <v>1452</v>
      </c>
      <c r="B123" s="3267"/>
      <c r="C123" s="3267"/>
      <c r="D123" s="3273" t="e">
        <f ca="1">NUMBERSTRING(INT(D122*10000),2)&amp;"元整"</f>
        <v>#REF!</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
      </c>
      <c r="B126" s="3279"/>
      <c r="C126" s="3279"/>
      <c r="D126" s="3268" t="str">
        <f>H111</f>
        <v>——</v>
      </c>
      <c r="E126" s="3269"/>
      <c r="F126" s="3269"/>
      <c r="G126" s="3269"/>
      <c r="H126" s="3269"/>
      <c r="I126" s="3270"/>
      <c r="AA126" s="684"/>
    </row>
    <row r="127" spans="1:27" ht="18.75" customHeight="1">
      <c r="A127" s="3267" t="s">
        <v>1452</v>
      </c>
      <c r="B127" s="3267"/>
      <c r="C127" s="3267"/>
      <c r="D127" s="3273" t="e">
        <f>NUMBERSTRING(INT(D126*10000),2)&amp;"元整"</f>
        <v>#VALUE!</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1220</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32458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6</v>
      </c>
      <c r="D9" s="795">
        <f ca="1">IF(B1="",'数据-汇总表'!E5,IF(INDIRECT("'数据-取费表'!c"&amp;$G$1)="住宅",INDIRECT("'数据-取费表'!k"&amp;$G$1),0))</f>
        <v>375.87</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8</v>
      </c>
      <c r="D19" s="204">
        <f ca="1">D9+D10</f>
        <v>375.87</v>
      </c>
      <c r="E19" s="203">
        <f>'数据-取费表'!B31</f>
        <v>200</v>
      </c>
      <c r="F19" s="223"/>
      <c r="G19" s="1713"/>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1.4E-3</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2</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933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752</v>
      </c>
      <c r="D34" s="209"/>
      <c r="E34" s="212"/>
      <c r="F34" s="249">
        <f ca="1">IF('数据-取费表'!B24=0,1,IF(B1="",'数据-取费表'!N16,INDIRECT("'数据-取费表'!n"&amp;$G$1)))</f>
        <v>1</v>
      </c>
      <c r="G34" s="211" t="s">
        <v>1526</v>
      </c>
    </row>
    <row r="35" spans="1:7" ht="13.5" customHeight="1">
      <c r="A35" s="734" t="s">
        <v>351</v>
      </c>
      <c r="B35" s="207" t="s">
        <v>1527</v>
      </c>
      <c r="C35" s="212">
        <f ca="1">ROUND(C34*F35,0)</f>
        <v>75</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75</v>
      </c>
      <c r="D36" s="212"/>
      <c r="E36" s="212"/>
      <c r="F36" s="251">
        <f>'数据-取费表'!B34</f>
        <v>0.1</v>
      </c>
      <c r="G36" s="252" t="s">
        <v>1530</v>
      </c>
    </row>
    <row r="37" spans="1:7" s="250" customFormat="1" ht="13.5" customHeight="1">
      <c r="A37" s="734" t="s">
        <v>353</v>
      </c>
      <c r="B37" s="207" t="s">
        <v>1531</v>
      </c>
      <c r="C37" s="241">
        <f ca="1">ROUND(E37*D37*F34/10000,0)</f>
        <v>8</v>
      </c>
      <c r="D37" s="209">
        <f ca="1">D19</f>
        <v>375.87</v>
      </c>
      <c r="E37" s="241">
        <f>'数据-取费表'!B35</f>
        <v>200</v>
      </c>
      <c r="F37" s="251"/>
      <c r="G37" s="253" t="s">
        <v>1532</v>
      </c>
    </row>
    <row r="38" spans="1:7" ht="13.5" customHeight="1">
      <c r="A38" s="734" t="s">
        <v>354</v>
      </c>
      <c r="B38" s="207" t="s">
        <v>1533</v>
      </c>
      <c r="C38" s="212">
        <f ca="1">ROUND(C34*F38,0)</f>
        <v>23</v>
      </c>
      <c r="D38" s="212"/>
      <c r="E38" s="212"/>
      <c r="F38" s="251">
        <f>'数据-取费表'!B36</f>
        <v>0.03</v>
      </c>
      <c r="G38" s="211" t="s">
        <v>1528</v>
      </c>
    </row>
    <row r="39" spans="1:7" s="206" customFormat="1" ht="13.5" customHeight="1">
      <c r="A39" s="247" t="s">
        <v>1534</v>
      </c>
      <c r="B39" s="202" t="s">
        <v>1535</v>
      </c>
      <c r="C39" s="224">
        <f ca="1">ROUND(C33*F20,0)</f>
        <v>28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45</v>
      </c>
      <c r="D41" s="227">
        <f ca="1">C44</f>
        <v>1.4E-3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44</v>
      </c>
      <c r="D42" s="230"/>
      <c r="E42" s="230"/>
      <c r="F42" s="231"/>
      <c r="G42" s="3346" t="s">
        <v>1544</v>
      </c>
    </row>
    <row r="43" spans="1:7" ht="13.5" customHeight="1">
      <c r="A43" s="734" t="s">
        <v>347</v>
      </c>
      <c r="B43" s="207" t="s">
        <v>1545</v>
      </c>
      <c r="C43" s="230">
        <f ca="1">ROUND(IF('数据-取费表'!B22&lt;=1,C39*F22*'数据-取费表'!B21/2,C39*(POWER((1+F22),'数据-取费表'!B21/2)-1)),0)</f>
        <v>1</v>
      </c>
      <c r="D43" s="230"/>
      <c r="E43" s="230"/>
      <c r="F43" s="231"/>
      <c r="G43" s="3347"/>
    </row>
    <row r="44" spans="1:7" ht="13.5" customHeight="1">
      <c r="A44" s="734" t="s">
        <v>348</v>
      </c>
      <c r="B44" s="207" t="s">
        <v>1546</v>
      </c>
      <c r="C44" s="230">
        <f ca="1">ROUND(IF('数据-取费表'!B22&lt;=1,C40*F22*'数据-取费表'!B21/2,C40*(POWER((1+F22),'数据-取费表'!B21/2)-1)),4)</f>
        <v>1.4E-3</v>
      </c>
      <c r="D44" s="230"/>
      <c r="E44" s="230"/>
      <c r="F44" s="231"/>
      <c r="G44" s="3348"/>
    </row>
    <row r="45" spans="1:7" s="206" customFormat="1" ht="13.5" customHeight="1">
      <c r="A45" s="247" t="s">
        <v>1547</v>
      </c>
      <c r="B45" s="236" t="s">
        <v>1513</v>
      </c>
      <c r="C45" s="237">
        <f ca="1">C46</f>
        <v>240</v>
      </c>
      <c r="D45" s="227">
        <f ca="1">C47</f>
        <v>7.4999999999999997E-3</v>
      </c>
      <c r="E45" s="228" t="s">
        <v>1539</v>
      </c>
      <c r="F45" s="238">
        <f ca="1">F27</f>
        <v>0.25</v>
      </c>
      <c r="G45" s="239" t="s">
        <v>1548</v>
      </c>
    </row>
    <row r="46" spans="1:7" s="206" customFormat="1" ht="13.5" customHeight="1">
      <c r="A46" s="734" t="s">
        <v>346</v>
      </c>
      <c r="B46" s="240" t="s">
        <v>1549</v>
      </c>
      <c r="C46" s="241">
        <f ca="1">ROUND((C33+C39)*F27,0)</f>
        <v>240</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1373</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1208</v>
      </c>
      <c r="D51" s="224"/>
      <c r="E51" s="224"/>
      <c r="F51" s="256"/>
      <c r="G51" s="226" t="s">
        <v>1560</v>
      </c>
    </row>
    <row r="52" spans="1:7" s="200" customFormat="1" ht="16.5" thickBot="1">
      <c r="A52" s="257" t="s">
        <v>1561</v>
      </c>
      <c r="B52" s="258"/>
      <c r="C52" s="259">
        <f ca="1">C31+C51</f>
        <v>1220</v>
      </c>
      <c r="D52" s="258"/>
      <c r="E52" s="258"/>
      <c r="F52" s="258"/>
      <c r="G52" s="260"/>
    </row>
    <row r="55" spans="1:7" ht="15">
      <c r="B55" s="262" t="s">
        <v>1562</v>
      </c>
      <c r="C55" s="263"/>
    </row>
    <row r="56" spans="1:7">
      <c r="B56" s="265" t="s">
        <v>802</v>
      </c>
      <c r="C56" s="267">
        <f ca="1">1-C57</f>
        <v>1.0000000000000009E-2</v>
      </c>
    </row>
    <row r="57" spans="1:7">
      <c r="B57" s="265" t="s">
        <v>803</v>
      </c>
      <c r="C57" s="266">
        <f ca="1">ROUND(C51/C52,3)</f>
        <v>0.99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北京市房地产市场价值预评估</v>
      </c>
      <c r="C37" s="3164"/>
      <c r="D37" s="3164"/>
      <c r="E37" s="3164"/>
      <c r="F37" s="3164"/>
      <c r="G37" s="3164"/>
      <c r="H37" s="3164"/>
      <c r="I37" s="3164"/>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AC148"/>
  <sheetViews>
    <sheetView view="pageBreakPreview" topLeftCell="A28" zoomScale="85" zoomScaleNormal="60" zoomScaleSheetLayoutView="85" workbookViewId="0">
      <selection activeCell="C42" sqref="C42"/>
    </sheetView>
  </sheetViews>
  <sheetFormatPr defaultColWidth="9" defaultRowHeight="14.25"/>
  <cols>
    <col min="1" max="1" width="10.5" style="347" customWidth="1"/>
    <col min="2" max="2" width="15.75" style="347" customWidth="1"/>
    <col min="3" max="3" width="1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1" width="6.125" style="347" customWidth="1"/>
    <col min="22" max="22" width="8.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3392</v>
      </c>
      <c r="E1" s="3122" t="s">
        <v>3492</v>
      </c>
      <c r="F1" s="1734" t="s">
        <v>3493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4167.7217000000001</v>
      </c>
      <c r="C2" s="1736" t="s">
        <v>43</v>
      </c>
      <c r="D2" s="1052" t="e">
        <f ca="1">IF(E1="项目模式",SUMIF(INDIRECT("'"&amp;F2&amp;"'"&amp;"!A:A"),"承租人权益价值",INDIRECT("'"&amp;F2&amp;"'"&amp;"!c:c")),SUMIF(INDIRECT("'"&amp;F2&amp;"'"&amp;"!A:A"),"承租人权益价值（单套）",INDIRECT("'"&amp;F2&amp;"'"&amp;"!c:c")))</f>
        <v>#REF!</v>
      </c>
      <c r="E2" s="1737" t="s">
        <v>1463</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110882</v>
      </c>
      <c r="C3" s="344" t="s">
        <v>1665</v>
      </c>
      <c r="D3" s="343">
        <f>IF(D1="",'数据-汇总表'!E3,SUMIF('数据-汇总表'!$C19:$C33,D1,'数据-汇总表'!$E19:$E33))</f>
        <v>375.87</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52" t="s">
        <v>1667</v>
      </c>
      <c r="D4" s="3353"/>
      <c r="E4" s="3354" t="s">
        <v>1668</v>
      </c>
      <c r="F4" s="3355"/>
      <c r="G4" s="3352" t="s">
        <v>1669</v>
      </c>
      <c r="H4" s="3353"/>
      <c r="I4" s="3352" t="s">
        <v>1670</v>
      </c>
      <c r="J4" s="3353"/>
      <c r="K4" s="1743" t="s">
        <v>1671</v>
      </c>
      <c r="L4" s="2484"/>
      <c r="M4" s="2485"/>
      <c r="N4" s="2485"/>
      <c r="O4" s="2485"/>
      <c r="P4" s="3356" t="s">
        <v>1672</v>
      </c>
      <c r="Q4" s="3357"/>
      <c r="R4" s="3362" t="s">
        <v>1668</v>
      </c>
      <c r="S4" s="3363"/>
      <c r="T4" s="3362" t="s">
        <v>1669</v>
      </c>
      <c r="U4" s="3363"/>
      <c r="V4" s="3376" t="s">
        <v>1670</v>
      </c>
      <c r="W4" s="3376"/>
      <c r="X4" s="1264"/>
      <c r="Y4" s="3362" t="s">
        <v>1672</v>
      </c>
      <c r="Z4" s="3363"/>
      <c r="AA4" s="3349" t="s">
        <v>1668</v>
      </c>
      <c r="AB4" s="3349" t="s">
        <v>1669</v>
      </c>
      <c r="AC4" s="3349" t="s">
        <v>1670</v>
      </c>
    </row>
    <row r="5" spans="1:29" ht="15">
      <c r="A5" s="348"/>
      <c r="B5" s="349"/>
      <c r="C5" s="3366" t="s">
        <v>3535</v>
      </c>
      <c r="D5" s="3367"/>
      <c r="E5" s="3368" t="str">
        <f>C5</f>
        <v>梵悦万国府</v>
      </c>
      <c r="F5" s="3369"/>
      <c r="G5" s="3366" t="str">
        <f>C5</f>
        <v>梵悦万国府</v>
      </c>
      <c r="H5" s="3367"/>
      <c r="I5" s="3366" t="str">
        <f>C5</f>
        <v>梵悦万国府</v>
      </c>
      <c r="J5" s="3367"/>
      <c r="K5" s="1744"/>
      <c r="L5" s="2484"/>
      <c r="M5" s="2485"/>
      <c r="N5" s="2485"/>
      <c r="O5" s="2485"/>
      <c r="P5" s="3358"/>
      <c r="Q5" s="3359"/>
      <c r="R5" s="3364"/>
      <c r="S5" s="3365"/>
      <c r="T5" s="3364"/>
      <c r="U5" s="3365"/>
      <c r="V5" s="3376"/>
      <c r="W5" s="3376"/>
      <c r="X5" s="1264"/>
      <c r="Y5" s="3364"/>
      <c r="Z5" s="3365"/>
      <c r="AA5" s="3350"/>
      <c r="AB5" s="3350"/>
      <c r="AC5" s="3350"/>
    </row>
    <row r="6" spans="1:29" ht="15.75" thickBot="1">
      <c r="A6" s="350"/>
      <c r="B6" s="351"/>
      <c r="C6" s="3370">
        <v>3110</v>
      </c>
      <c r="D6" s="3371"/>
      <c r="E6" s="3372">
        <v>2509</v>
      </c>
      <c r="F6" s="3373"/>
      <c r="G6" s="3370">
        <v>2711</v>
      </c>
      <c r="H6" s="3371"/>
      <c r="I6" s="3370">
        <v>2811</v>
      </c>
      <c r="J6" s="3371"/>
      <c r="K6" s="1744" t="s">
        <v>1678</v>
      </c>
      <c r="L6" s="2484"/>
      <c r="M6" s="2485"/>
      <c r="N6" s="2485"/>
      <c r="O6" s="2485"/>
      <c r="P6" s="3360"/>
      <c r="Q6" s="3361"/>
      <c r="R6" s="3364"/>
      <c r="S6" s="3365"/>
      <c r="T6" s="3374"/>
      <c r="U6" s="3375"/>
      <c r="V6" s="3376"/>
      <c r="W6" s="3376"/>
      <c r="X6" s="1264"/>
      <c r="Y6" s="3374"/>
      <c r="Z6" s="3375"/>
      <c r="AA6" s="3351"/>
      <c r="AB6" s="3351"/>
      <c r="AC6" s="3351"/>
    </row>
    <row r="7" spans="1:29" s="102" customFormat="1" ht="15.75" thickBot="1">
      <c r="A7" s="352" t="s">
        <v>1679</v>
      </c>
      <c r="B7" s="353"/>
      <c r="C7" s="354">
        <f>'数据-取费表'!B2</f>
        <v>45622</v>
      </c>
      <c r="D7" s="355">
        <v>100</v>
      </c>
      <c r="E7" s="356">
        <v>45598</v>
      </c>
      <c r="F7" s="357">
        <f>SUMIF(58:58,YEAR(E7)&amp;"-"&amp;MONTH(E7),59:59)</f>
        <v>100</v>
      </c>
      <c r="G7" s="356">
        <v>45069</v>
      </c>
      <c r="H7" s="355">
        <f>SUMIF(58:58,YEAR(G7)&amp;"-"&amp;MONTH(G7),59:59)</f>
        <v>101.20000000000002</v>
      </c>
      <c r="I7" s="356">
        <v>45042</v>
      </c>
      <c r="J7" s="355">
        <f>SUMIF(58:58,YEAR(I7)&amp;"-"&amp;MONTH(I7),59:59)</f>
        <v>101.20000000000002</v>
      </c>
      <c r="K7" s="1745"/>
      <c r="L7" s="2486"/>
      <c r="M7" s="2437"/>
      <c r="N7" s="2437"/>
      <c r="O7" s="2437"/>
      <c r="P7" s="3377" t="s">
        <v>1680</v>
      </c>
      <c r="Q7" s="3378"/>
      <c r="R7" s="664" t="s">
        <v>14</v>
      </c>
      <c r="S7" s="665">
        <f t="shared" ref="S7:S15" si="0">F7</f>
        <v>100</v>
      </c>
      <c r="T7" s="664" t="s">
        <v>14</v>
      </c>
      <c r="U7" s="665">
        <f t="shared" ref="U7:U15" si="1">H7</f>
        <v>101.20000000000002</v>
      </c>
      <c r="V7" s="664" t="s">
        <v>14</v>
      </c>
      <c r="W7" s="665">
        <f t="shared" ref="W7:W15" si="2">J7</f>
        <v>101.20000000000002</v>
      </c>
      <c r="X7" s="666"/>
      <c r="Y7" s="3377" t="s">
        <v>1680</v>
      </c>
      <c r="Z7" s="3379"/>
      <c r="AA7" s="50">
        <f>D7/F7</f>
        <v>1</v>
      </c>
      <c r="AB7" s="50">
        <f>D7/H7</f>
        <v>0.98814229249011842</v>
      </c>
      <c r="AC7" s="50">
        <f>D7/J7</f>
        <v>0.98814229249011842</v>
      </c>
    </row>
    <row r="8" spans="1:29" s="102" customFormat="1" ht="15.75" thickBot="1">
      <c r="A8" s="352" t="s">
        <v>1681</v>
      </c>
      <c r="B8" s="353"/>
      <c r="C8" s="358" t="s">
        <v>3475</v>
      </c>
      <c r="D8" s="355">
        <v>100</v>
      </c>
      <c r="E8" s="1746" t="s">
        <v>3475</v>
      </c>
      <c r="F8" s="357">
        <f>SUMIF(61:61,E8,62:62)-SUMIF(61:61,C8,62:62)+100</f>
        <v>100</v>
      </c>
      <c r="G8" s="358" t="s">
        <v>3475</v>
      </c>
      <c r="H8" s="355">
        <f>SUMIF(61:61,G8,62:62)-SUMIF(61:61,C8,62:62)+100</f>
        <v>100</v>
      </c>
      <c r="I8" s="1746" t="s">
        <v>3475</v>
      </c>
      <c r="J8" s="355">
        <f>SUMIF(61:61,I8,62:62)-SUMIF(61:61,C8,62:62)+100</f>
        <v>100</v>
      </c>
      <c r="K8" s="1745"/>
      <c r="L8" s="2486"/>
      <c r="M8" s="2437"/>
      <c r="N8" s="2437"/>
      <c r="O8" s="2437"/>
      <c r="P8" s="3377" t="s">
        <v>1683</v>
      </c>
      <c r="Q8" s="3379"/>
      <c r="R8" s="664" t="s">
        <v>14</v>
      </c>
      <c r="S8" s="665">
        <f t="shared" si="0"/>
        <v>100</v>
      </c>
      <c r="T8" s="664" t="s">
        <v>14</v>
      </c>
      <c r="U8" s="665">
        <f t="shared" si="1"/>
        <v>100</v>
      </c>
      <c r="V8" s="664" t="s">
        <v>14</v>
      </c>
      <c r="W8" s="665">
        <f t="shared" si="2"/>
        <v>100</v>
      </c>
      <c r="X8" s="666"/>
      <c r="Y8" s="3377" t="s">
        <v>1683</v>
      </c>
      <c r="Z8" s="3379"/>
      <c r="AA8" s="50">
        <f t="shared" ref="AA8:AA19" si="3">D8/F8</f>
        <v>1</v>
      </c>
      <c r="AB8" s="50">
        <f t="shared" ref="AB8:AB19" si="4">D8/H8</f>
        <v>1</v>
      </c>
      <c r="AC8" s="50">
        <f t="shared" ref="AC8:AC19" si="5">D8/J8</f>
        <v>1</v>
      </c>
    </row>
    <row r="9" spans="1:29" s="102" customFormat="1">
      <c r="A9" s="359" t="s">
        <v>1684</v>
      </c>
      <c r="B9" s="60" t="s">
        <v>1685</v>
      </c>
      <c r="C9" s="3144" t="s">
        <v>3476</v>
      </c>
      <c r="D9" s="59">
        <v>100</v>
      </c>
      <c r="E9" s="361" t="s">
        <v>3392</v>
      </c>
      <c r="F9" s="60">
        <f>SUMIF(63:63,E9,64:64)-SUMIF(63:63,C9,64:64)+100</f>
        <v>100</v>
      </c>
      <c r="G9" s="362" t="s">
        <v>3392</v>
      </c>
      <c r="H9" s="59">
        <f>SUMIF(63:63,G9,64:64)-SUMIF(63:63,C9,64:64)+100</f>
        <v>100</v>
      </c>
      <c r="I9" s="362" t="s">
        <v>3392</v>
      </c>
      <c r="J9" s="59">
        <f>SUMIF(63:63,I9,64:64)-SUMIF(63:63,C9,64:64)+100</f>
        <v>100</v>
      </c>
      <c r="K9" s="1745"/>
      <c r="L9" s="2486"/>
      <c r="M9" s="2437"/>
      <c r="N9" s="2437"/>
      <c r="O9" s="2437"/>
      <c r="P9" s="338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8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v>11.72</v>
      </c>
      <c r="D11" s="119">
        <v>100</v>
      </c>
      <c r="E11" s="369">
        <f>C11</f>
        <v>11.72</v>
      </c>
      <c r="F11" s="364">
        <f>LOOKUP(E11,68:68,69:69)-LOOKUP(C11,68:68,69:69)+100</f>
        <v>100</v>
      </c>
      <c r="G11" s="368">
        <f>C11</f>
        <v>11.72</v>
      </c>
      <c r="H11" s="119">
        <f>LOOKUP(G11,68:68,69:69)-LOOKUP(C11,68:68,69:69)+100</f>
        <v>100</v>
      </c>
      <c r="I11" s="368">
        <f>C11</f>
        <v>11.72</v>
      </c>
      <c r="J11" s="119">
        <f>LOOKUP(I11,68:68,69:69)-LOOKUP(C11,68:68,69:69)+100</f>
        <v>100</v>
      </c>
      <c r="K11" s="365"/>
      <c r="L11" s="2489"/>
      <c r="M11" s="2485"/>
      <c r="N11" s="2485"/>
      <c r="O11" s="2485"/>
      <c r="P11" s="338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38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8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8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85.5">
      <c r="A15" s="379" t="s">
        <v>1690</v>
      </c>
      <c r="B15" s="58" t="s">
        <v>1257</v>
      </c>
      <c r="C15" s="1749" t="str">
        <f>估价对象房地状况!C3</f>
        <v>估价对象周边有梵悦108、使馆壹号院、海晟名苑、万国城MOMA等住宅小区，综合评价居住社区成熟度较好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1" t="s">
        <v>1691</v>
      </c>
      <c r="Q15" s="1262" t="str">
        <f t="shared" si="6"/>
        <v>居住社区成熟度</v>
      </c>
      <c r="R15" s="667" t="s">
        <v>14</v>
      </c>
      <c r="S15" s="668">
        <f t="shared" si="0"/>
        <v>100</v>
      </c>
      <c r="T15" s="667" t="s">
        <v>14</v>
      </c>
      <c r="U15" s="668">
        <f t="shared" si="1"/>
        <v>100</v>
      </c>
      <c r="V15" s="667" t="s">
        <v>14</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382"/>
      <c r="Q16" s="1262"/>
      <c r="R16" s="667"/>
      <c r="S16" s="668"/>
      <c r="T16" s="667"/>
      <c r="U16" s="668"/>
      <c r="V16" s="667"/>
      <c r="W16" s="668"/>
      <c r="X16" s="1264"/>
      <c r="Y16" s="3384"/>
      <c r="Z16" s="1263"/>
      <c r="AA16" s="1263">
        <v>1</v>
      </c>
      <c r="AB16" s="1263">
        <v>1</v>
      </c>
      <c r="AC16" s="1263">
        <v>1</v>
      </c>
    </row>
    <row r="17" spans="1:29" ht="142.5">
      <c r="A17" s="367"/>
      <c r="B17" s="390" t="s">
        <v>1259</v>
      </c>
      <c r="C17" s="1753" t="str">
        <f>估价对象房地状况!C6</f>
        <v>估价对象周边有24路、117路、123路、132路、135路、413路、515路等多条公交线路，地铁2号线及13号线换乘站（东直门站），东直门长途汽车站等，综合评价交通便捷度较好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2"/>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382"/>
      <c r="Q18" s="1262"/>
      <c r="R18" s="667"/>
      <c r="S18" s="668"/>
      <c r="T18" s="667"/>
      <c r="U18" s="668"/>
      <c r="V18" s="667"/>
      <c r="W18" s="668"/>
      <c r="X18" s="1264"/>
      <c r="Y18" s="3384"/>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2"/>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382"/>
      <c r="Q20" s="1262"/>
      <c r="R20" s="667"/>
      <c r="S20" s="668"/>
      <c r="T20" s="667"/>
      <c r="U20" s="668"/>
      <c r="V20" s="667"/>
      <c r="W20" s="668"/>
      <c r="X20" s="1264"/>
      <c r="Y20" s="3384"/>
      <c r="Z20" s="1263"/>
      <c r="AA20" s="1263">
        <v>1</v>
      </c>
      <c r="AB20" s="1263">
        <v>1</v>
      </c>
      <c r="AC20" s="1263">
        <v>1</v>
      </c>
    </row>
    <row r="21" spans="1:29" ht="15">
      <c r="A21" s="367"/>
      <c r="B21" s="586"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2"/>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382"/>
      <c r="Q22" s="1262"/>
      <c r="R22" s="667"/>
      <c r="S22" s="668"/>
      <c r="T22" s="667"/>
      <c r="U22" s="668"/>
      <c r="V22" s="667"/>
      <c r="W22" s="668"/>
      <c r="X22" s="1264"/>
      <c r="Y22" s="3384"/>
      <c r="Z22" s="1263"/>
      <c r="AA22" s="1263">
        <v>1</v>
      </c>
      <c r="AB22" s="1263">
        <v>1</v>
      </c>
      <c r="AC22" s="1263">
        <v>1</v>
      </c>
    </row>
    <row r="23" spans="1:29" ht="85.5">
      <c r="A23" s="367"/>
      <c r="B23" s="390" t="s">
        <v>1261</v>
      </c>
      <c r="C23" s="1753" t="str">
        <f>估价对象房地状况!C9</f>
        <v>区域自然环境：亮马河、东城区亮马河公园；人文环境：工人体育场、东直门外清真寺；综合评价环境状况较好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2"/>
      <c r="Q23" s="1262" t="str">
        <f>B23</f>
        <v>自然及人文环境</v>
      </c>
      <c r="R23" s="667" t="s">
        <v>14</v>
      </c>
      <c r="S23" s="668">
        <f>F23</f>
        <v>100</v>
      </c>
      <c r="T23" s="667" t="s">
        <v>14</v>
      </c>
      <c r="U23" s="668">
        <f>H23</f>
        <v>100</v>
      </c>
      <c r="V23" s="667" t="s">
        <v>14</v>
      </c>
      <c r="W23" s="668">
        <f>J23</f>
        <v>100</v>
      </c>
      <c r="X23" s="1264"/>
      <c r="Y23" s="338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382"/>
      <c r="Q24" s="1262"/>
      <c r="R24" s="667"/>
      <c r="S24" s="668"/>
      <c r="T24" s="667"/>
      <c r="U24" s="668"/>
      <c r="V24" s="667"/>
      <c r="W24" s="668"/>
      <c r="X24" s="1264"/>
      <c r="Y24" s="338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82"/>
      <c r="Q25" s="1262" t="str">
        <f t="shared" ref="Q25:Q46" si="11">B25</f>
        <v>楼层-1</v>
      </c>
      <c r="R25" s="667" t="s">
        <v>14</v>
      </c>
      <c r="S25" s="668">
        <f t="shared" ref="S25:S46" si="12">F25</f>
        <v>100</v>
      </c>
      <c r="T25" s="667" t="s">
        <v>14</v>
      </c>
      <c r="U25" s="668">
        <f t="shared" ref="U25:U46" si="13">H25</f>
        <v>100</v>
      </c>
      <c r="V25" s="667" t="s">
        <v>14</v>
      </c>
      <c r="W25" s="668">
        <f t="shared" ref="W25:W46" si="14">J25</f>
        <v>100</v>
      </c>
      <c r="X25" s="1264"/>
      <c r="Y25" s="3384"/>
      <c r="Z25" s="1263" t="str">
        <f>Q25</f>
        <v>楼层-1</v>
      </c>
      <c r="AA25" s="1263">
        <f t="shared" ref="AA25:AA46" si="15">D25/F25</f>
        <v>1</v>
      </c>
      <c r="AB25" s="1263">
        <f t="shared" ref="AB25:AB46" si="16">D25/H25</f>
        <v>1</v>
      </c>
      <c r="AC25" s="1263">
        <f t="shared" ref="AC25:AC46" si="17">D25/J25</f>
        <v>1</v>
      </c>
    </row>
    <row r="26" spans="1:29" ht="15">
      <c r="A26" s="367"/>
      <c r="B26" s="364" t="s">
        <v>1693</v>
      </c>
      <c r="C26" s="399" t="s">
        <v>3495</v>
      </c>
      <c r="D26" s="374">
        <v>100</v>
      </c>
      <c r="E26" s="3156" t="s">
        <v>3536</v>
      </c>
      <c r="F26" s="374">
        <f>SUMIF(88:88,E26,89:89)-SUMIF(88:88,C26,89:89)+100</f>
        <v>98</v>
      </c>
      <c r="G26" s="1760" t="s">
        <v>3536</v>
      </c>
      <c r="H26" s="374">
        <f>SUMIF(88:88,G26,89:89)-SUMIF(88:88,C26,89:89)+100</f>
        <v>98</v>
      </c>
      <c r="I26" s="1760" t="s">
        <v>3536</v>
      </c>
      <c r="J26" s="374">
        <f>SUMIF(88:88,I26,89:89)-SUMIF(88:88,C26,89:89)+100</f>
        <v>98</v>
      </c>
      <c r="K26" s="365">
        <v>2</v>
      </c>
      <c r="L26" s="2490"/>
      <c r="M26" s="2485"/>
      <c r="N26" s="2485"/>
      <c r="O26" s="2485"/>
      <c r="P26" s="3382"/>
      <c r="Q26" s="1262" t="str">
        <f t="shared" si="11"/>
        <v>朝向</v>
      </c>
      <c r="R26" s="667" t="s">
        <v>14</v>
      </c>
      <c r="S26" s="668">
        <f t="shared" si="12"/>
        <v>98</v>
      </c>
      <c r="T26" s="667" t="s">
        <v>14</v>
      </c>
      <c r="U26" s="668">
        <f t="shared" si="13"/>
        <v>98</v>
      </c>
      <c r="V26" s="667" t="s">
        <v>14</v>
      </c>
      <c r="W26" s="668">
        <f t="shared" si="14"/>
        <v>98</v>
      </c>
      <c r="X26" s="1264"/>
      <c r="Y26" s="3384"/>
      <c r="Z26" s="1263" t="str">
        <f>Q26</f>
        <v>朝向</v>
      </c>
      <c r="AA26" s="1263">
        <f t="shared" si="15"/>
        <v>1.0204081632653061</v>
      </c>
      <c r="AB26" s="1263">
        <f t="shared" si="16"/>
        <v>1.0204081632653061</v>
      </c>
      <c r="AC26" s="1263">
        <f t="shared" si="17"/>
        <v>1.0204081632653061</v>
      </c>
    </row>
    <row r="27" spans="1:29" s="102" customFormat="1" ht="15">
      <c r="A27" s="370"/>
      <c r="B27" s="3152" t="s">
        <v>3516</v>
      </c>
      <c r="C27" s="371" t="s">
        <v>3556</v>
      </c>
      <c r="D27" s="401">
        <v>100</v>
      </c>
      <c r="E27" s="3157" t="s">
        <v>3557</v>
      </c>
      <c r="F27" s="401">
        <f>SUMIF(90:90,E27,91:91)-SUMIF(90:90,C27,91:91)+100</f>
        <v>88</v>
      </c>
      <c r="G27" s="402" t="s">
        <v>3558</v>
      </c>
      <c r="H27" s="401">
        <f>SUMIF(90:90,G27,91:91)-SUMIF(90:90,C27,91:91)+100</f>
        <v>92</v>
      </c>
      <c r="I27" s="3158" t="s">
        <v>3559</v>
      </c>
      <c r="J27" s="401">
        <f>SUMIF(90:90,I27,91:91)-SUMIF(90:90,C27,91:91)+100</f>
        <v>94</v>
      </c>
      <c r="K27" s="1747"/>
      <c r="L27" s="2486"/>
      <c r="M27" s="2437"/>
      <c r="N27" s="2437"/>
      <c r="O27" s="2437"/>
      <c r="P27" s="3382"/>
      <c r="Q27" s="530" t="str">
        <f t="shared" si="11"/>
        <v>楼层</v>
      </c>
      <c r="R27" s="664" t="s">
        <v>14</v>
      </c>
      <c r="S27" s="665">
        <f t="shared" si="12"/>
        <v>88</v>
      </c>
      <c r="T27" s="664" t="s">
        <v>14</v>
      </c>
      <c r="U27" s="665">
        <f t="shared" si="13"/>
        <v>92</v>
      </c>
      <c r="V27" s="664" t="s">
        <v>14</v>
      </c>
      <c r="W27" s="665">
        <f t="shared" si="14"/>
        <v>94</v>
      </c>
      <c r="X27" s="666"/>
      <c r="Y27" s="3384"/>
      <c r="Z27" s="50" t="str">
        <f>Q27</f>
        <v>楼层</v>
      </c>
      <c r="AA27" s="1263">
        <f t="shared" si="15"/>
        <v>1.1363636363636365</v>
      </c>
      <c r="AB27" s="1263">
        <f t="shared" si="16"/>
        <v>1.0869565217391304</v>
      </c>
      <c r="AC27" s="1263">
        <f t="shared" si="17"/>
        <v>1.0638297872340425</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82"/>
      <c r="Q28" s="1262">
        <f t="shared" si="11"/>
        <v>111</v>
      </c>
      <c r="R28" s="667" t="s">
        <v>14</v>
      </c>
      <c r="S28" s="668">
        <f t="shared" si="12"/>
        <v>100</v>
      </c>
      <c r="T28" s="667" t="s">
        <v>14</v>
      </c>
      <c r="U28" s="668">
        <f t="shared" si="13"/>
        <v>100</v>
      </c>
      <c r="V28" s="667" t="s">
        <v>14</v>
      </c>
      <c r="W28" s="668">
        <f t="shared" si="14"/>
        <v>100</v>
      </c>
      <c r="X28" s="1264"/>
      <c r="Y28" s="3384"/>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82"/>
      <c r="Q29" s="1262">
        <f t="shared" si="11"/>
        <v>111</v>
      </c>
      <c r="R29" s="667" t="s">
        <v>14</v>
      </c>
      <c r="S29" s="668">
        <f t="shared" si="12"/>
        <v>100</v>
      </c>
      <c r="T29" s="667" t="s">
        <v>14</v>
      </c>
      <c r="U29" s="668">
        <f t="shared" si="13"/>
        <v>100</v>
      </c>
      <c r="V29" s="667" t="s">
        <v>14</v>
      </c>
      <c r="W29" s="668">
        <f t="shared" si="14"/>
        <v>100</v>
      </c>
      <c r="X29" s="1264"/>
      <c r="Y29" s="3384"/>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82"/>
      <c r="Q30" s="1262">
        <f t="shared" si="11"/>
        <v>111</v>
      </c>
      <c r="R30" s="667" t="s">
        <v>14</v>
      </c>
      <c r="S30" s="668">
        <f t="shared" si="12"/>
        <v>100</v>
      </c>
      <c r="T30" s="667" t="s">
        <v>14</v>
      </c>
      <c r="U30" s="668">
        <f t="shared" si="13"/>
        <v>100</v>
      </c>
      <c r="V30" s="667" t="s">
        <v>14</v>
      </c>
      <c r="W30" s="668">
        <f t="shared" si="14"/>
        <v>100</v>
      </c>
      <c r="X30" s="1264"/>
      <c r="Y30" s="3384"/>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82"/>
      <c r="Q31" s="1262">
        <f t="shared" si="11"/>
        <v>111</v>
      </c>
      <c r="R31" s="667" t="s">
        <v>14</v>
      </c>
      <c r="S31" s="668">
        <f t="shared" si="12"/>
        <v>100</v>
      </c>
      <c r="T31" s="667" t="s">
        <v>14</v>
      </c>
      <c r="U31" s="668">
        <f t="shared" si="13"/>
        <v>100</v>
      </c>
      <c r="V31" s="667" t="s">
        <v>14</v>
      </c>
      <c r="W31" s="668">
        <f t="shared" si="14"/>
        <v>100</v>
      </c>
      <c r="X31" s="1264"/>
      <c r="Y31" s="3384"/>
      <c r="Z31" s="1263">
        <f t="shared" si="18"/>
        <v>111</v>
      </c>
      <c r="AA31" s="1263">
        <f t="shared" si="15"/>
        <v>1</v>
      </c>
      <c r="AB31" s="1263">
        <f t="shared" si="16"/>
        <v>1</v>
      </c>
      <c r="AC31" s="1263">
        <f t="shared" si="17"/>
        <v>1</v>
      </c>
    </row>
    <row r="32" spans="1:29" ht="15">
      <c r="A32" s="379" t="s">
        <v>1694</v>
      </c>
      <c r="B32" s="60" t="s">
        <v>1695</v>
      </c>
      <c r="C32" s="1763" t="s">
        <v>3498</v>
      </c>
      <c r="D32" s="405">
        <v>100</v>
      </c>
      <c r="E32" s="1764" t="s">
        <v>3498</v>
      </c>
      <c r="F32" s="400">
        <f>SUMIF(100:100,E32,101:101)-SUMIF(100:100,C32,101:101)+100</f>
        <v>100</v>
      </c>
      <c r="G32" s="1763" t="s">
        <v>3498</v>
      </c>
      <c r="H32" s="405">
        <f>SUMIF(100:100,G32,101:101)-SUMIF(100:100,C32,101:101)+100</f>
        <v>100</v>
      </c>
      <c r="I32" s="1764" t="s">
        <v>3498</v>
      </c>
      <c r="J32" s="374">
        <f>SUMIF(100:100,I32,101:101)-SUMIF(100:100,C32,101:101)+100</f>
        <v>100</v>
      </c>
      <c r="K32" s="365"/>
      <c r="L32" s="2490"/>
      <c r="M32" s="2485"/>
      <c r="N32" s="2485"/>
      <c r="O32" s="2485"/>
      <c r="P32" s="3385" t="s">
        <v>1696</v>
      </c>
      <c r="Q32" s="1262" t="str">
        <f t="shared" si="11"/>
        <v>建筑类型</v>
      </c>
      <c r="R32" s="667" t="s">
        <v>14</v>
      </c>
      <c r="S32" s="668">
        <f t="shared" si="12"/>
        <v>100</v>
      </c>
      <c r="T32" s="667" t="s">
        <v>14</v>
      </c>
      <c r="U32" s="668">
        <f t="shared" si="13"/>
        <v>100</v>
      </c>
      <c r="V32" s="667" t="s">
        <v>14</v>
      </c>
      <c r="W32" s="668">
        <f t="shared" si="14"/>
        <v>100</v>
      </c>
      <c r="X32" s="1264"/>
      <c r="Y32" s="3388" t="s">
        <v>1696</v>
      </c>
      <c r="Z32" s="1263" t="str">
        <f t="shared" si="18"/>
        <v>建筑类型</v>
      </c>
      <c r="AA32" s="1263">
        <f t="shared" si="15"/>
        <v>1</v>
      </c>
      <c r="AB32" s="1263">
        <f t="shared" si="16"/>
        <v>1</v>
      </c>
      <c r="AC32" s="1263">
        <f t="shared" si="17"/>
        <v>1</v>
      </c>
    </row>
    <row r="33" spans="1:29" s="408" customFormat="1" ht="15">
      <c r="A33" s="406"/>
      <c r="B33" s="364" t="s">
        <v>1697</v>
      </c>
      <c r="C33" s="407">
        <f>'数据-基础表'!I13</f>
        <v>375.87</v>
      </c>
      <c r="D33" s="119">
        <v>100</v>
      </c>
      <c r="E33" s="369">
        <v>344.13</v>
      </c>
      <c r="F33" s="364">
        <f>LOOKUP(E33,103:103,104:104)-LOOKUP(C33,103:103,104:104)+100</f>
        <v>100</v>
      </c>
      <c r="G33" s="368">
        <v>343.56</v>
      </c>
      <c r="H33" s="119">
        <f>LOOKUP(G33,103:103,104:104)-LOOKUP(C33,103:103,104:104)+100</f>
        <v>100</v>
      </c>
      <c r="I33" s="369">
        <v>343.56</v>
      </c>
      <c r="J33" s="119">
        <f>LOOKUP(I33,103:103,104:104)-LOOKUP(C33,103:103,104:104)+100</f>
        <v>100</v>
      </c>
      <c r="K33" s="1747"/>
      <c r="L33" s="2489"/>
      <c r="M33" s="2491"/>
      <c r="N33" s="2491"/>
      <c r="O33" s="2491"/>
      <c r="P33" s="3386"/>
      <c r="Q33" s="531" t="str">
        <f t="shared" si="11"/>
        <v>项目建筑规模</v>
      </c>
      <c r="R33" s="669" t="s">
        <v>14</v>
      </c>
      <c r="S33" s="670">
        <f t="shared" si="12"/>
        <v>100</v>
      </c>
      <c r="T33" s="669" t="s">
        <v>14</v>
      </c>
      <c r="U33" s="670">
        <f t="shared" si="13"/>
        <v>100</v>
      </c>
      <c r="V33" s="669" t="s">
        <v>14</v>
      </c>
      <c r="W33" s="670">
        <f t="shared" si="14"/>
        <v>100</v>
      </c>
      <c r="X33" s="671"/>
      <c r="Y33" s="3388"/>
      <c r="Z33" s="672" t="str">
        <f t="shared" si="18"/>
        <v>项目建筑规模</v>
      </c>
      <c r="AA33" s="1263">
        <f t="shared" si="15"/>
        <v>1</v>
      </c>
      <c r="AB33" s="1263">
        <f t="shared" si="16"/>
        <v>1</v>
      </c>
      <c r="AC33" s="1263">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386"/>
      <c r="Q34" s="1262" t="str">
        <f t="shared" si="11"/>
        <v>建筑结构</v>
      </c>
      <c r="R34" s="667" t="s">
        <v>14</v>
      </c>
      <c r="S34" s="668">
        <f t="shared" si="12"/>
        <v>100</v>
      </c>
      <c r="T34" s="667" t="s">
        <v>14</v>
      </c>
      <c r="U34" s="668">
        <f t="shared" si="13"/>
        <v>100</v>
      </c>
      <c r="V34" s="667" t="s">
        <v>14</v>
      </c>
      <c r="W34" s="668">
        <f t="shared" si="14"/>
        <v>100</v>
      </c>
      <c r="X34" s="1264"/>
      <c r="Y34" s="338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86"/>
      <c r="Q35" s="1262" t="str">
        <f t="shared" si="11"/>
        <v>建筑品质</v>
      </c>
      <c r="R35" s="667" t="s">
        <v>14</v>
      </c>
      <c r="S35" s="668">
        <f t="shared" si="12"/>
        <v>100</v>
      </c>
      <c r="T35" s="667" t="s">
        <v>14</v>
      </c>
      <c r="U35" s="668">
        <f t="shared" si="13"/>
        <v>100</v>
      </c>
      <c r="V35" s="667" t="s">
        <v>14</v>
      </c>
      <c r="W35" s="668">
        <f t="shared" si="14"/>
        <v>100</v>
      </c>
      <c r="X35" s="1264"/>
      <c r="Y35" s="338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86"/>
      <c r="Q36" s="1262" t="str">
        <f t="shared" si="11"/>
        <v>公共部分装修</v>
      </c>
      <c r="R36" s="667" t="s">
        <v>14</v>
      </c>
      <c r="S36" s="668">
        <f t="shared" si="12"/>
        <v>100</v>
      </c>
      <c r="T36" s="667" t="s">
        <v>14</v>
      </c>
      <c r="U36" s="668">
        <f t="shared" si="13"/>
        <v>100</v>
      </c>
      <c r="V36" s="667" t="s">
        <v>14</v>
      </c>
      <c r="W36" s="668">
        <f t="shared" si="14"/>
        <v>100</v>
      </c>
      <c r="X36" s="1264"/>
      <c r="Y36" s="3388"/>
      <c r="Z36" s="1263" t="str">
        <f t="shared" si="18"/>
        <v>公共部分装修</v>
      </c>
      <c r="AA36" s="1263">
        <f t="shared" si="15"/>
        <v>1</v>
      </c>
      <c r="AB36" s="1263">
        <f t="shared" si="16"/>
        <v>1</v>
      </c>
      <c r="AC36" s="1263">
        <f t="shared" si="17"/>
        <v>1</v>
      </c>
    </row>
    <row r="37" spans="1:29" s="102" customFormat="1" ht="15">
      <c r="A37" s="410"/>
      <c r="B37" s="364" t="s">
        <v>1701</v>
      </c>
      <c r="C37" s="411">
        <f>'数据-取费表'!N6</f>
        <v>0.88</v>
      </c>
      <c r="D37" s="119">
        <v>100</v>
      </c>
      <c r="E37" s="411">
        <f>C37</f>
        <v>0.88</v>
      </c>
      <c r="F37" s="364">
        <f>LOOKUP(E37,112:112,113:113)-LOOKUP(C37,112:112,113:113)+100</f>
        <v>100</v>
      </c>
      <c r="G37" s="413">
        <f>C37</f>
        <v>0.88</v>
      </c>
      <c r="H37" s="119">
        <f>LOOKUP(G37,112:112,113:113)-LOOKUP(C37,112:112,113:113)+100</f>
        <v>100</v>
      </c>
      <c r="I37" s="412">
        <f>C37</f>
        <v>0.88</v>
      </c>
      <c r="J37" s="119">
        <f>LOOKUP(I37,112:112,113:113)-LOOKUP(C37,112:112,113:113)+100</f>
        <v>100</v>
      </c>
      <c r="K37" s="365">
        <v>3</v>
      </c>
      <c r="L37" s="2486"/>
      <c r="M37" s="2437"/>
      <c r="N37" s="2437"/>
      <c r="O37" s="2437"/>
      <c r="P37" s="3386"/>
      <c r="Q37" s="530" t="str">
        <f t="shared" si="11"/>
        <v>成新度</v>
      </c>
      <c r="R37" s="664" t="s">
        <v>14</v>
      </c>
      <c r="S37" s="665">
        <f t="shared" si="12"/>
        <v>100</v>
      </c>
      <c r="T37" s="664" t="s">
        <v>14</v>
      </c>
      <c r="U37" s="665">
        <f t="shared" si="13"/>
        <v>100</v>
      </c>
      <c r="V37" s="664" t="s">
        <v>14</v>
      </c>
      <c r="W37" s="665">
        <f t="shared" si="14"/>
        <v>100</v>
      </c>
      <c r="X37" s="666"/>
      <c r="Y37" s="3388"/>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86" t="s">
        <v>1696</v>
      </c>
      <c r="Q38" s="1262" t="str">
        <f t="shared" si="11"/>
        <v>物业管理</v>
      </c>
      <c r="R38" s="667" t="s">
        <v>14</v>
      </c>
      <c r="S38" s="668">
        <f t="shared" si="12"/>
        <v>100</v>
      </c>
      <c r="T38" s="667" t="s">
        <v>14</v>
      </c>
      <c r="U38" s="668">
        <f t="shared" si="13"/>
        <v>100</v>
      </c>
      <c r="V38" s="667" t="s">
        <v>14</v>
      </c>
      <c r="W38" s="668">
        <f t="shared" si="14"/>
        <v>100</v>
      </c>
      <c r="X38" s="1264"/>
      <c r="Y38" s="338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86"/>
      <c r="Q39" s="1262" t="str">
        <f t="shared" si="11"/>
        <v>市政基础设施</v>
      </c>
      <c r="R39" s="667" t="s">
        <v>14</v>
      </c>
      <c r="S39" s="668">
        <f t="shared" si="12"/>
        <v>100</v>
      </c>
      <c r="T39" s="667" t="s">
        <v>14</v>
      </c>
      <c r="U39" s="668">
        <f t="shared" si="13"/>
        <v>100</v>
      </c>
      <c r="V39" s="667" t="s">
        <v>14</v>
      </c>
      <c r="W39" s="668">
        <f t="shared" si="14"/>
        <v>100</v>
      </c>
      <c r="X39" s="1264"/>
      <c r="Y39" s="338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386"/>
      <c r="Q40" s="1262" t="str">
        <f t="shared" si="11"/>
        <v>房型</v>
      </c>
      <c r="R40" s="667" t="s">
        <v>14</v>
      </c>
      <c r="S40" s="668">
        <f t="shared" si="12"/>
        <v>100</v>
      </c>
      <c r="T40" s="667" t="s">
        <v>14</v>
      </c>
      <c r="U40" s="668">
        <f t="shared" si="13"/>
        <v>100</v>
      </c>
      <c r="V40" s="667" t="s">
        <v>14</v>
      </c>
      <c r="W40" s="668">
        <f t="shared" si="14"/>
        <v>100</v>
      </c>
      <c r="X40" s="1264"/>
      <c r="Y40" s="338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386"/>
      <c r="Q41" s="531" t="str">
        <f t="shared" si="11"/>
        <v>单套/主力户型建筑面积</v>
      </c>
      <c r="R41" s="669" t="s">
        <v>14</v>
      </c>
      <c r="S41" s="670">
        <f t="shared" si="12"/>
        <v>100</v>
      </c>
      <c r="T41" s="669" t="s">
        <v>14</v>
      </c>
      <c r="U41" s="670">
        <f t="shared" si="13"/>
        <v>100</v>
      </c>
      <c r="V41" s="669" t="s">
        <v>14</v>
      </c>
      <c r="W41" s="670">
        <f t="shared" si="14"/>
        <v>100</v>
      </c>
      <c r="X41" s="671"/>
      <c r="Y41" s="3388"/>
      <c r="Z41" s="672" t="str">
        <f t="shared" si="18"/>
        <v>单套/主力户型建筑面积</v>
      </c>
      <c r="AA41" s="1263">
        <f t="shared" si="15"/>
        <v>1</v>
      </c>
      <c r="AB41" s="1263">
        <f t="shared" si="16"/>
        <v>1</v>
      </c>
      <c r="AC41" s="1263">
        <f t="shared" si="17"/>
        <v>1</v>
      </c>
    </row>
    <row r="42" spans="1:29" ht="15">
      <c r="A42" s="409"/>
      <c r="B42" s="364" t="s">
        <v>1706</v>
      </c>
      <c r="C42" s="1759" t="s">
        <v>3542</v>
      </c>
      <c r="D42" s="374">
        <v>100</v>
      </c>
      <c r="E42" s="1760" t="s">
        <v>3542</v>
      </c>
      <c r="F42" s="400">
        <f>SUMIF(122:122,E42,123:123)-SUMIF(122:122,C42,123:123)+100</f>
        <v>100</v>
      </c>
      <c r="G42" s="1759" t="s">
        <v>3542</v>
      </c>
      <c r="H42" s="374">
        <f>SUMIF(122:122,G42,123:123)-SUMIF(122:122,C42,123:123)+100</f>
        <v>100</v>
      </c>
      <c r="I42" s="1760" t="s">
        <v>3542</v>
      </c>
      <c r="J42" s="374">
        <f>SUMIF(122:122,I42,123:123)-SUMIF(122:122,C42,123:123)+100</f>
        <v>100</v>
      </c>
      <c r="K42" s="365"/>
      <c r="L42" s="2490"/>
      <c r="M42" s="2485"/>
      <c r="N42" s="2485"/>
      <c r="O42" s="2485"/>
      <c r="P42" s="3386"/>
      <c r="Q42" s="1262" t="str">
        <f t="shared" si="11"/>
        <v>内部装修</v>
      </c>
      <c r="R42" s="667" t="s">
        <v>14</v>
      </c>
      <c r="S42" s="668">
        <f t="shared" si="12"/>
        <v>100</v>
      </c>
      <c r="T42" s="667" t="s">
        <v>14</v>
      </c>
      <c r="U42" s="668">
        <f t="shared" si="13"/>
        <v>100</v>
      </c>
      <c r="V42" s="667" t="s">
        <v>14</v>
      </c>
      <c r="W42" s="668">
        <f t="shared" si="14"/>
        <v>100</v>
      </c>
      <c r="X42" s="1264"/>
      <c r="Y42" s="3388"/>
      <c r="Z42" s="1263" t="str">
        <f t="shared" si="18"/>
        <v>内部装修</v>
      </c>
      <c r="AA42" s="1263">
        <f t="shared" si="15"/>
        <v>1</v>
      </c>
      <c r="AB42" s="1263">
        <f t="shared" si="16"/>
        <v>1</v>
      </c>
      <c r="AC42" s="1263">
        <f t="shared" si="17"/>
        <v>1</v>
      </c>
    </row>
    <row r="43" spans="1:29" ht="15">
      <c r="A43" s="409"/>
      <c r="B43" s="364" t="s">
        <v>1707</v>
      </c>
      <c r="C43" s="1759" t="s">
        <v>3483</v>
      </c>
      <c r="D43" s="374">
        <v>100</v>
      </c>
      <c r="E43" s="1760" t="s">
        <v>3483</v>
      </c>
      <c r="F43" s="400">
        <f>SUMIF(124:124,E43,125:125)-SUMIF(124:124,C43,125:125)+100</f>
        <v>100</v>
      </c>
      <c r="G43" s="1759" t="s">
        <v>3483</v>
      </c>
      <c r="H43" s="374">
        <f>SUMIF(124:124,G43,125:125)-SUMIF(124:124,C43,125:125)+100</f>
        <v>100</v>
      </c>
      <c r="I43" s="1760" t="s">
        <v>3483</v>
      </c>
      <c r="J43" s="374">
        <f>SUMIF(124:124,I43,125:125)-SUMIF(124:124,C43,125:125)+100</f>
        <v>100</v>
      </c>
      <c r="K43" s="365"/>
      <c r="L43" s="2490"/>
      <c r="M43" s="2485"/>
      <c r="N43" s="2485"/>
      <c r="O43" s="2485"/>
      <c r="P43" s="3386"/>
      <c r="Q43" s="1262" t="str">
        <f t="shared" si="11"/>
        <v>内部装修维护情况</v>
      </c>
      <c r="R43" s="667" t="s">
        <v>14</v>
      </c>
      <c r="S43" s="668">
        <f t="shared" si="12"/>
        <v>100</v>
      </c>
      <c r="T43" s="667" t="s">
        <v>14</v>
      </c>
      <c r="U43" s="668">
        <f t="shared" si="13"/>
        <v>100</v>
      </c>
      <c r="V43" s="667" t="s">
        <v>14</v>
      </c>
      <c r="W43" s="668">
        <f t="shared" si="14"/>
        <v>100</v>
      </c>
      <c r="X43" s="1264"/>
      <c r="Y43" s="3388"/>
      <c r="Z43" s="1263" t="str">
        <f t="shared" si="18"/>
        <v>内部装修维护情况</v>
      </c>
      <c r="AA43" s="1263">
        <f t="shared" si="15"/>
        <v>1</v>
      </c>
      <c r="AB43" s="1263">
        <f t="shared" si="16"/>
        <v>1</v>
      </c>
      <c r="AC43" s="1263">
        <f t="shared" si="17"/>
        <v>1</v>
      </c>
    </row>
    <row r="44" spans="1:29" s="102" customFormat="1" ht="15">
      <c r="A44" s="410"/>
      <c r="B44" s="3152" t="s">
        <v>3507</v>
      </c>
      <c r="C44" s="3153" t="s">
        <v>3508</v>
      </c>
      <c r="D44" s="119">
        <v>100</v>
      </c>
      <c r="E44" s="3153" t="s">
        <v>3537</v>
      </c>
      <c r="F44" s="364">
        <f>SUMIF(126:126,E44,127:127)-SUMIF(126:126,C44,127:127)+100</f>
        <v>100</v>
      </c>
      <c r="G44" s="3153" t="s">
        <v>3538</v>
      </c>
      <c r="H44" s="119">
        <f>SUMIF(126:126,G44,127:127)-SUMIF(126:126,C44,127:127)+100</f>
        <v>100</v>
      </c>
      <c r="I44" s="3153" t="s">
        <v>3537</v>
      </c>
      <c r="J44" s="119">
        <f>SUMIF(126:126,I44,127:127)-SUMIF(126:126,C44,127:127)+100</f>
        <v>100</v>
      </c>
      <c r="K44" s="1747"/>
      <c r="L44" s="2486"/>
      <c r="M44" s="2437"/>
      <c r="N44" s="2437"/>
      <c r="O44" s="2437"/>
      <c r="P44" s="3386"/>
      <c r="Q44" s="530" t="str">
        <f t="shared" si="11"/>
        <v>景观</v>
      </c>
      <c r="R44" s="664" t="s">
        <v>14</v>
      </c>
      <c r="S44" s="665">
        <f t="shared" si="12"/>
        <v>100</v>
      </c>
      <c r="T44" s="664" t="s">
        <v>14</v>
      </c>
      <c r="U44" s="665">
        <f t="shared" si="13"/>
        <v>100</v>
      </c>
      <c r="V44" s="664" t="s">
        <v>14</v>
      </c>
      <c r="W44" s="665">
        <f t="shared" si="14"/>
        <v>100</v>
      </c>
      <c r="X44" s="666"/>
      <c r="Y44" s="3388"/>
      <c r="Z44" s="50" t="str">
        <f t="shared" si="18"/>
        <v>景观</v>
      </c>
      <c r="AA44" s="50">
        <f t="shared" si="15"/>
        <v>1</v>
      </c>
      <c r="AB44" s="50">
        <f t="shared" si="16"/>
        <v>1</v>
      </c>
      <c r="AC44" s="50">
        <f t="shared" si="17"/>
        <v>1</v>
      </c>
    </row>
    <row r="45" spans="1:29" ht="15">
      <c r="A45" s="409"/>
      <c r="B45" s="3152" t="s">
        <v>3523</v>
      </c>
      <c r="C45" s="373">
        <v>2002</v>
      </c>
      <c r="D45" s="374">
        <v>100</v>
      </c>
      <c r="E45" s="373">
        <f>C45</f>
        <v>2002</v>
      </c>
      <c r="F45" s="400">
        <f>SUMIF(128:128,E45,129:129)-SUMIF(128:128,C45,129:129)+100</f>
        <v>100</v>
      </c>
      <c r="G45" s="373">
        <f>C45</f>
        <v>2002</v>
      </c>
      <c r="H45" s="374">
        <f>SUMIF(128:128,G45,129:129)-SUMIF(128:128,C45,129:129)+100</f>
        <v>100</v>
      </c>
      <c r="I45" s="373">
        <f>C45</f>
        <v>2002</v>
      </c>
      <c r="J45" s="374">
        <f>SUMIF(128:128,I45,129:129)-SUMIF(128:128,C45,129:129)+100</f>
        <v>100</v>
      </c>
      <c r="K45" s="1747"/>
      <c r="L45" s="2490"/>
      <c r="M45" s="2485"/>
      <c r="N45" s="2485"/>
      <c r="O45" s="2485"/>
      <c r="P45" s="3386"/>
      <c r="Q45" s="1262" t="str">
        <f t="shared" si="11"/>
        <v>建成年代</v>
      </c>
      <c r="R45" s="667" t="s">
        <v>14</v>
      </c>
      <c r="S45" s="668">
        <f t="shared" si="12"/>
        <v>100</v>
      </c>
      <c r="T45" s="667" t="s">
        <v>14</v>
      </c>
      <c r="U45" s="668">
        <f t="shared" si="13"/>
        <v>100</v>
      </c>
      <c r="V45" s="667" t="s">
        <v>14</v>
      </c>
      <c r="W45" s="668">
        <f t="shared" si="14"/>
        <v>100</v>
      </c>
      <c r="X45" s="1264"/>
      <c r="Y45" s="3388"/>
      <c r="Z45" s="1263" t="str">
        <f t="shared" si="18"/>
        <v>建成年代</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87"/>
      <c r="Q46" s="1262">
        <f t="shared" si="11"/>
        <v>111</v>
      </c>
      <c r="R46" s="667" t="s">
        <v>14</v>
      </c>
      <c r="S46" s="668">
        <f t="shared" si="12"/>
        <v>100</v>
      </c>
      <c r="T46" s="667" t="s">
        <v>14</v>
      </c>
      <c r="U46" s="668">
        <f t="shared" si="13"/>
        <v>100</v>
      </c>
      <c r="V46" s="667" t="s">
        <v>14</v>
      </c>
      <c r="W46" s="668">
        <f t="shared" si="14"/>
        <v>100</v>
      </c>
      <c r="X46" s="1264"/>
      <c r="Y46" s="3389"/>
      <c r="Z46" s="1263">
        <f t="shared" si="18"/>
        <v>111</v>
      </c>
      <c r="AA46" s="1263">
        <f t="shared" si="15"/>
        <v>1</v>
      </c>
      <c r="AB46" s="1263">
        <f t="shared" si="16"/>
        <v>1</v>
      </c>
      <c r="AC46" s="1263">
        <f t="shared" si="17"/>
        <v>1</v>
      </c>
    </row>
    <row r="47" spans="1:29" ht="15">
      <c r="A47" s="416" t="s">
        <v>1708</v>
      </c>
      <c r="B47" s="417"/>
      <c r="C47" s="1081" t="s">
        <v>0</v>
      </c>
      <c r="D47" s="418"/>
      <c r="E47" s="419">
        <v>98000</v>
      </c>
      <c r="F47" s="420"/>
      <c r="G47" s="421">
        <v>100000</v>
      </c>
      <c r="H47" s="422"/>
      <c r="I47" s="419">
        <v>102000</v>
      </c>
      <c r="J47" s="422"/>
      <c r="K47" s="1766"/>
      <c r="L47" s="2492"/>
      <c r="M47" s="2485"/>
      <c r="N47" s="2485"/>
      <c r="O47" s="2485"/>
      <c r="P47" s="3390" t="str">
        <f>A47</f>
        <v>成交单价（元/平方米）</v>
      </c>
      <c r="Q47" s="3390"/>
      <c r="R47" s="3376">
        <f>E47</f>
        <v>98000</v>
      </c>
      <c r="S47" s="3376"/>
      <c r="T47" s="3376">
        <f>G47</f>
        <v>100000</v>
      </c>
      <c r="U47" s="3376"/>
      <c r="V47" s="3376">
        <f>I47</f>
        <v>102000</v>
      </c>
      <c r="W47" s="3376"/>
      <c r="X47" s="385"/>
      <c r="Y47" s="673"/>
      <c r="Z47" s="385"/>
      <c r="AA47" s="385"/>
      <c r="AB47" s="385"/>
      <c r="AC47" s="385"/>
    </row>
    <row r="48" spans="1:29" ht="15.75" thickBot="1">
      <c r="A48" s="423" t="s">
        <v>1709</v>
      </c>
      <c r="B48" s="424"/>
      <c r="C48" s="1082">
        <f>R49</f>
        <v>110882</v>
      </c>
      <c r="D48" s="2140" t="s">
        <v>2136</v>
      </c>
      <c r="E48" s="1083">
        <f>R48</f>
        <v>113636</v>
      </c>
      <c r="F48" s="2141"/>
      <c r="G48" s="1082">
        <f>T48</f>
        <v>109599</v>
      </c>
      <c r="H48" s="2141"/>
      <c r="I48" s="1083">
        <f>V48</f>
        <v>109412</v>
      </c>
      <c r="J48" s="2141"/>
      <c r="K48" s="2142">
        <f>F48+H48+J48</f>
        <v>0</v>
      </c>
      <c r="L48" s="2492"/>
      <c r="M48" s="2485"/>
      <c r="N48" s="2485"/>
      <c r="O48" s="2485"/>
      <c r="P48" s="3390" t="str">
        <f>A48</f>
        <v>比较价值（元/平方米）</v>
      </c>
      <c r="Q48" s="3390"/>
      <c r="R48" s="3376">
        <f>IF(F1="售价",ROUND(PRODUCT(R47,AA7:AA46),0),ROUND(PRODUCT(R47,AA7:AA46),1))</f>
        <v>113636</v>
      </c>
      <c r="S48" s="3376"/>
      <c r="T48" s="3376">
        <f>IF(F1="售价",ROUND(PRODUCT(T47,AB7:AB46),0),ROUND(PRODUCT(T47,AB7:AB46),1))</f>
        <v>109599</v>
      </c>
      <c r="U48" s="3376"/>
      <c r="V48" s="3376">
        <f>IF(F1="售价",ROUND(PRODUCT(V47,AC7:AC46),0),ROUND(PRODUCT(V47,AC7:AC46),1))</f>
        <v>109412</v>
      </c>
      <c r="W48" s="3376"/>
      <c r="X48" s="385"/>
      <c r="Y48" s="385"/>
      <c r="Z48" s="385"/>
      <c r="AA48" s="385"/>
      <c r="AB48" s="385"/>
      <c r="AC48" s="385"/>
    </row>
    <row r="49" spans="1:29" ht="15.75" thickBot="1">
      <c r="A49" s="427" t="s">
        <v>1710</v>
      </c>
      <c r="B49" s="428"/>
      <c r="C49" s="1084">
        <f>R49</f>
        <v>110882</v>
      </c>
      <c r="D49" s="351"/>
      <c r="E49" s="351"/>
      <c r="F49" s="351"/>
      <c r="G49" s="351"/>
      <c r="H49" s="351"/>
      <c r="I49" s="351"/>
      <c r="J49" s="351"/>
      <c r="K49" s="1767"/>
      <c r="L49" s="2492"/>
      <c r="M49" s="2485"/>
      <c r="N49" s="2485"/>
      <c r="O49" s="2485"/>
      <c r="P49" s="3391" t="str">
        <f>A49</f>
        <v>估价对象XX用房的比较价值（楼面单价，元/平方米）</v>
      </c>
      <c r="Q49" s="3392"/>
      <c r="R49" s="3393">
        <f>IF(F1="售价",ROUND(IF(D48="简单平均",AVERAGE(R48:V48),R48*F48+T48*H48+V48*J48),0),ROUND(IF(D48="简单平均",AVERAGE(R48:V48),R48*F48+T48*H48+V48*J48),1))</f>
        <v>110882</v>
      </c>
      <c r="S49" s="3393"/>
      <c r="T49" s="3393"/>
      <c r="U49" s="3393"/>
      <c r="V49" s="3393"/>
      <c r="W49" s="339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0.15955102040816316</v>
      </c>
      <c r="F52" s="435" t="str">
        <f>IF(OR(E52&gt;=0.3,E52&lt;=-0.3),"超过30%","")</f>
        <v/>
      </c>
      <c r="G52" s="434">
        <f>IF(G47&lt;G48,G48/G47-1,G47/G48-1)</f>
        <v>9.599000000000002E-2</v>
      </c>
      <c r="H52" s="435" t="str">
        <f>IF(OR(G52&gt;=0.3,G52&lt;=-0.3),"超过30%","")</f>
        <v/>
      </c>
      <c r="I52" s="434">
        <f>IF(I47&lt;I48,I48/I47-1,I47/I48-1)</f>
        <v>7.2666666666666657E-2</v>
      </c>
      <c r="J52" s="435" t="str">
        <f>IF(OR(I52&gt;=0.3,I52&lt;=-0.3),"超过30%","")</f>
        <v/>
      </c>
      <c r="K52" s="2497"/>
      <c r="L52" s="2493"/>
      <c r="M52" s="2485"/>
      <c r="N52" s="2485"/>
      <c r="O52" s="2485"/>
    </row>
    <row r="53" spans="1:29" ht="13.5" customHeight="1">
      <c r="A53" s="2485"/>
      <c r="B53" s="2485"/>
      <c r="C53" s="432" t="s">
        <v>1712</v>
      </c>
      <c r="D53" s="436"/>
      <c r="E53" s="434">
        <f>IF(E48&lt;G48,G48/E48-1,E48/G48-1)</f>
        <v>3.683427768501546E-2</v>
      </c>
      <c r="F53" s="435" t="str">
        <f>IF(OR(E53&gt;=0.2,E53&lt;=-0.2),"超过20%","")</f>
        <v/>
      </c>
      <c r="G53" s="434">
        <f>IF(G48&lt;I48,I48/G48-1,G48/I48-1)</f>
        <v>1.7091361093846125E-3</v>
      </c>
      <c r="H53" s="435" t="str">
        <f>IF(OR(G53&gt;=0.2,G53&lt;=-0.2),"超过20%","")</f>
        <v/>
      </c>
      <c r="I53" s="434">
        <f>IF(I48&lt;E48,E48/I48-1,I48/E48-1)</f>
        <v>3.8606368588454565E-2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2.0408163265306145E-2</v>
      </c>
      <c r="F54" s="435" t="str">
        <f>IF(OR(E54&gt;=0.3,E54&lt;=-0.3),"超过30%","")</f>
        <v/>
      </c>
      <c r="G54" s="434">
        <f>IF(G47&lt;I47,I47/G47-1,G47/I47-1)</f>
        <v>2.0000000000000018E-2</v>
      </c>
      <c r="H54" s="435" t="str">
        <f>IF(OR(G54&gt;=0.3,G54&lt;=-0.3),"超过30%","")</f>
        <v/>
      </c>
      <c r="I54" s="434">
        <f>IF(I47&lt;E47,E47/I47-1,I47/E47-1)</f>
        <v>4.081632653061229E-2</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1679</v>
      </c>
      <c r="B58" s="441"/>
      <c r="C58" s="1104" t="str">
        <f>YEAR(C7)&amp;"-"&amp;MONTH(C7)</f>
        <v>2024-11</v>
      </c>
      <c r="D58" s="1103">
        <f>EDATE(C58,-1)</f>
        <v>45566</v>
      </c>
      <c r="E58" s="1103">
        <f>EDATE(D58,-1)</f>
        <v>45536</v>
      </c>
      <c r="F58" s="1103">
        <f t="shared" ref="F58:Y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3155">
        <f t="shared" si="19"/>
        <v>45200</v>
      </c>
      <c r="Q58" s="3155">
        <f t="shared" si="19"/>
        <v>45170</v>
      </c>
      <c r="R58" s="3155">
        <f t="shared" si="19"/>
        <v>45139</v>
      </c>
      <c r="S58" s="3155">
        <f t="shared" si="19"/>
        <v>45108</v>
      </c>
      <c r="T58" s="3155">
        <f t="shared" si="19"/>
        <v>45078</v>
      </c>
      <c r="U58" s="3155">
        <f t="shared" si="19"/>
        <v>45047</v>
      </c>
      <c r="V58" s="3155">
        <f t="shared" si="19"/>
        <v>45017</v>
      </c>
      <c r="W58" s="3155">
        <f t="shared" si="19"/>
        <v>44986</v>
      </c>
      <c r="X58" s="3155">
        <f t="shared" si="19"/>
        <v>44958</v>
      </c>
      <c r="Y58" s="3155">
        <f t="shared" si="19"/>
        <v>44927</v>
      </c>
    </row>
    <row r="59" spans="1:29" s="102" customFormat="1" ht="15">
      <c r="A59" s="443"/>
      <c r="B59" s="1771"/>
      <c r="C59" s="1101">
        <v>100</v>
      </c>
      <c r="D59" s="445">
        <f>C59</f>
        <v>100</v>
      </c>
      <c r="E59" s="446">
        <v>100.2</v>
      </c>
      <c r="F59" s="446">
        <f>C59+C60</f>
        <v>100.2</v>
      </c>
      <c r="G59" s="446">
        <f>F59</f>
        <v>100.2</v>
      </c>
      <c r="H59" s="446">
        <f>G59+C60</f>
        <v>100.4</v>
      </c>
      <c r="I59" s="446">
        <f>H59</f>
        <v>100.4</v>
      </c>
      <c r="J59" s="446">
        <f>H59</f>
        <v>100.4</v>
      </c>
      <c r="K59" s="446">
        <f>J59+C60</f>
        <v>100.60000000000001</v>
      </c>
      <c r="L59" s="446">
        <f>K59</f>
        <v>100.60000000000001</v>
      </c>
      <c r="M59" s="447">
        <f>K59</f>
        <v>100.60000000000001</v>
      </c>
      <c r="N59" s="446">
        <f>M59+C60</f>
        <v>100.80000000000001</v>
      </c>
      <c r="O59" s="447">
        <f>N59</f>
        <v>100.80000000000001</v>
      </c>
      <c r="P59" s="1772">
        <f>N59</f>
        <v>100.80000000000001</v>
      </c>
      <c r="Q59" s="447">
        <f>P59+C60</f>
        <v>101.00000000000001</v>
      </c>
      <c r="R59" s="102">
        <f>Q59</f>
        <v>101.00000000000001</v>
      </c>
      <c r="S59" s="102">
        <f>Q59</f>
        <v>101.00000000000001</v>
      </c>
      <c r="T59" s="102">
        <f>S59+C60</f>
        <v>101.20000000000002</v>
      </c>
      <c r="U59" s="102">
        <f>T59</f>
        <v>101.20000000000002</v>
      </c>
      <c r="V59" s="102">
        <f>T59</f>
        <v>101.20000000000002</v>
      </c>
      <c r="W59" s="102">
        <f>V59+C60</f>
        <v>101.40000000000002</v>
      </c>
      <c r="X59" s="102">
        <f>W59</f>
        <v>101.40000000000002</v>
      </c>
      <c r="Y59" s="102">
        <f>W59</f>
        <v>101.40000000000002</v>
      </c>
    </row>
    <row r="60" spans="1:29" s="102" customFormat="1" ht="15.75" thickBot="1">
      <c r="A60" s="449" t="s">
        <v>1716</v>
      </c>
      <c r="B60" s="450"/>
      <c r="C60" s="451">
        <v>0.2</v>
      </c>
      <c r="D60" s="452"/>
      <c r="E60" s="452"/>
      <c r="F60" s="452"/>
      <c r="G60" s="452"/>
      <c r="H60" s="452"/>
      <c r="I60" s="452"/>
      <c r="J60" s="452"/>
      <c r="K60" s="452"/>
      <c r="L60" s="452"/>
      <c r="M60" s="453"/>
      <c r="N60" s="452"/>
      <c r="O60" s="453"/>
      <c r="P60" s="1772"/>
      <c r="Q60" s="439"/>
    </row>
    <row r="61" spans="1:29" s="102" customFormat="1" ht="15">
      <c r="A61" s="455" t="s">
        <v>1681</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1</v>
      </c>
      <c r="D68" s="480">
        <v>3</v>
      </c>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49" t="s">
        <v>3494</v>
      </c>
      <c r="D88" s="3149" t="s">
        <v>3496</v>
      </c>
      <c r="E88" s="3149" t="s">
        <v>3497</v>
      </c>
      <c r="F88" s="3154" t="s">
        <v>3512</v>
      </c>
      <c r="G88" s="3149" t="s">
        <v>3513</v>
      </c>
      <c r="H88" s="3149" t="s">
        <v>3514</v>
      </c>
      <c r="I88" s="3149" t="s">
        <v>3515</v>
      </c>
      <c r="J88" s="485"/>
      <c r="K88" s="485"/>
      <c r="L88" s="485"/>
      <c r="M88" s="511"/>
      <c r="N88" s="878"/>
      <c r="O88" s="878"/>
      <c r="P88" s="1774"/>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4"/>
      <c r="Q89" s="439"/>
    </row>
    <row r="90" spans="1:17" s="408" customFormat="1" ht="15.75" thickTop="1">
      <c r="A90" s="484"/>
      <c r="B90" s="469" t="str">
        <f>B27</f>
        <v>楼层</v>
      </c>
      <c r="C90" s="485" t="str">
        <f>C27</f>
        <v>31/32（-3）</v>
      </c>
      <c r="D90" s="3159" t="str">
        <f>E27</f>
        <v>25/32（-3）</v>
      </c>
      <c r="E90" s="3159" t="str">
        <f>G27</f>
        <v>27/32（-3）</v>
      </c>
      <c r="F90" s="3159" t="str">
        <f>I27</f>
        <v>28/32（-3）</v>
      </c>
      <c r="G90" s="485"/>
      <c r="H90" s="486"/>
      <c r="I90" s="486"/>
      <c r="J90" s="486"/>
      <c r="K90" s="486"/>
      <c r="L90" s="487"/>
      <c r="M90" s="488"/>
      <c r="N90" s="881"/>
      <c r="O90" s="881"/>
      <c r="P90" s="1775"/>
      <c r="Q90" s="490"/>
    </row>
    <row r="91" spans="1:17" s="408" customFormat="1" ht="15.75" thickBot="1">
      <c r="A91" s="484"/>
      <c r="B91" s="474"/>
      <c r="C91" s="491">
        <v>100</v>
      </c>
      <c r="D91" s="491">
        <v>88</v>
      </c>
      <c r="E91" s="491">
        <v>92</v>
      </c>
      <c r="F91" s="491">
        <v>94</v>
      </c>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50" t="s">
        <v>3499</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0(含)-180</v>
      </c>
      <c r="D102" s="509" t="str">
        <f t="shared" ref="D102:L102" si="26">D103&amp;"(含)"&amp;"-"&amp;E103</f>
        <v>180(含)-240</v>
      </c>
      <c r="E102" s="509" t="str">
        <f t="shared" si="26"/>
        <v>240(含)-300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180</v>
      </c>
      <c r="E103" s="6">
        <v>240</v>
      </c>
      <c r="F103" s="6">
        <v>300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3149" t="s">
        <v>3500</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3149" t="s">
        <v>3502</v>
      </c>
      <c r="D109" s="3149" t="s">
        <v>3543</v>
      </c>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5"/>
      <c r="Q113" s="490"/>
    </row>
    <row r="114" spans="1:17" ht="15" thickTop="1">
      <c r="A114" s="409"/>
      <c r="B114" s="469" t="s">
        <v>1741</v>
      </c>
      <c r="C114" s="3149" t="s">
        <v>3503</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3149" t="s">
        <v>3504</v>
      </c>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51" t="s">
        <v>3505</v>
      </c>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9" t="s">
        <v>3506</v>
      </c>
      <c r="D122" s="3149" t="s">
        <v>3544</v>
      </c>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景观</v>
      </c>
      <c r="C126" s="3149" t="s">
        <v>3508</v>
      </c>
      <c r="D126" s="3149" t="s">
        <v>3509</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95</v>
      </c>
      <c r="E127" s="467"/>
      <c r="F127" s="467"/>
      <c r="G127" s="491"/>
      <c r="H127" s="493"/>
      <c r="I127" s="493"/>
      <c r="J127" s="493"/>
      <c r="K127" s="493"/>
      <c r="L127" s="493"/>
      <c r="M127" s="494"/>
      <c r="N127" s="881"/>
      <c r="O127" s="881"/>
      <c r="P127" s="1775"/>
      <c r="Q127" s="490"/>
    </row>
    <row r="128" spans="1:17" ht="15" thickTop="1">
      <c r="A128" s="409"/>
      <c r="B128" s="469" t="str">
        <f>B45</f>
        <v>建成年代</v>
      </c>
      <c r="C128" s="485">
        <v>2002</v>
      </c>
      <c r="D128" s="485">
        <v>2005</v>
      </c>
      <c r="E128" s="485">
        <v>2017</v>
      </c>
      <c r="F128" s="485"/>
      <c r="G128" s="513"/>
      <c r="H128" s="513"/>
      <c r="I128" s="513"/>
      <c r="J128" s="513"/>
      <c r="K128" s="514"/>
      <c r="L128" s="515"/>
      <c r="M128" s="516"/>
      <c r="N128" s="879"/>
      <c r="O128" s="879"/>
      <c r="P128" s="1774"/>
      <c r="Q128" s="439"/>
    </row>
    <row r="129" spans="1:17" ht="15.75" thickBot="1">
      <c r="A129" s="367"/>
      <c r="B129" s="474"/>
      <c r="C129" s="491">
        <v>100</v>
      </c>
      <c r="D129" s="491">
        <v>100.5</v>
      </c>
      <c r="E129" s="491">
        <v>107.5</v>
      </c>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1" xr:uid="{00000000-0002-0000-1300-000000000000}">
      <formula1>"项目模式,单套模式"</formula1>
    </dataValidation>
    <dataValidation type="list" allowBlank="1" showInputMessage="1" showErrorMessage="1" sqref="D48" xr:uid="{00000000-0002-0000-1300-000001000000}">
      <formula1>"简单平均,加权平均"</formula1>
    </dataValidation>
    <dataValidation type="list" allowBlank="1" showInputMessage="1" showErrorMessage="1" sqref="F2" xr:uid="{00000000-0002-0000-1300-000002000000}">
      <formula1>估价方法</formula1>
    </dataValidation>
    <dataValidation type="list" allowBlank="1" showInputMessage="1" showErrorMessage="1" sqref="C2" xr:uid="{00000000-0002-0000-1300-000003000000}">
      <formula1>"需扣减承租人权益,——"</formula1>
    </dataValidation>
    <dataValidation type="list" allowBlank="1" showInputMessage="1" showErrorMessage="1" sqref="F1" xr:uid="{00000000-0002-0000-1300-000004000000}">
      <formula1>"售价,租金"</formula1>
    </dataValidation>
    <dataValidation type="list" allowBlank="1" showInputMessage="1" showErrorMessage="1" sqref="C22 E22 G22 I22" xr:uid="{00000000-0002-0000-1300-000005000000}">
      <formula1>基础设施水平</formula1>
    </dataValidation>
    <dataValidation type="list" allowBlank="1" showInputMessage="1" showErrorMessage="1" sqref="E9 G9 I9" xr:uid="{00000000-0002-0000-1300-000006000000}">
      <formula1>住宅用途</formula1>
    </dataValidation>
    <dataValidation type="list" allowBlank="1" showInputMessage="1" showErrorMessage="1" sqref="D1" xr:uid="{00000000-0002-0000-1300-000007000000}">
      <formula1>项目类型</formula1>
    </dataValidation>
    <dataValidation type="list" allowBlank="1" showInputMessage="1" showErrorMessage="1" sqref="E8 G8 I8 C8" xr:uid="{00000000-0002-0000-1300-000008000000}">
      <formula1>住宅交易情况</formula1>
    </dataValidation>
    <dataValidation type="list" allowBlank="1" showInputMessage="1" showErrorMessage="1" sqref="E43 G43 I43 C43" xr:uid="{00000000-0002-0000-1300-000009000000}">
      <formula1>内部装修维护情况</formula1>
    </dataValidation>
    <dataValidation type="list" allowBlank="1" showInputMessage="1" showErrorMessage="1" sqref="E42 G42 I42 C42" xr:uid="{00000000-0002-0000-1300-00000A000000}">
      <formula1>住宅内部装修</formula1>
    </dataValidation>
    <dataValidation type="list" allowBlank="1" showInputMessage="1" showErrorMessage="1" sqref="E40 G40 I40 C40" xr:uid="{00000000-0002-0000-1300-00000B000000}">
      <formula1>住宅房型</formula1>
    </dataValidation>
    <dataValidation type="list" allowBlank="1" showInputMessage="1" showErrorMessage="1" sqref="E39 G39 I39 C39" xr:uid="{00000000-0002-0000-1300-00000C000000}">
      <formula1>住宅基础设施水平</formula1>
    </dataValidation>
    <dataValidation type="list" allowBlank="1" showInputMessage="1" showErrorMessage="1" sqref="E38 G38 I38 C38" xr:uid="{00000000-0002-0000-1300-00000D000000}">
      <formula1>住宅物业管理</formula1>
    </dataValidation>
    <dataValidation type="list" allowBlank="1" showInputMessage="1" showErrorMessage="1" sqref="E36 G36 I36 C36" xr:uid="{00000000-0002-0000-1300-00000E000000}">
      <formula1>住宅公共部分装修</formula1>
    </dataValidation>
    <dataValidation type="list" allowBlank="1" showInputMessage="1" showErrorMessage="1" sqref="E35 G35 I35 C35" xr:uid="{00000000-0002-0000-1300-00000F000000}">
      <formula1>住宅建筑品质</formula1>
    </dataValidation>
    <dataValidation type="list" allowBlank="1" showInputMessage="1" showErrorMessage="1" sqref="E34 G34 I34 C34" xr:uid="{00000000-0002-0000-1300-000010000000}">
      <formula1>住宅建筑结构</formula1>
    </dataValidation>
    <dataValidation type="list" allowBlank="1" showInputMessage="1" showErrorMessage="1" sqref="E32 G32 I32 C32" xr:uid="{00000000-0002-0000-1300-000011000000}">
      <formula1>住宅建筑类型</formula1>
    </dataValidation>
    <dataValidation type="list" allowBlank="1" showInputMessage="1" showErrorMessage="1" sqref="E26 G26 I26 C26" xr:uid="{00000000-0002-0000-1300-000012000000}">
      <formula1>住宅朝向</formula1>
    </dataValidation>
    <dataValidation type="list" allowBlank="1" showInputMessage="1" showErrorMessage="1" sqref="E25 G25 I25 C25" xr:uid="{00000000-0002-0000-1300-000013000000}">
      <formula1>住宅楼层</formula1>
    </dataValidation>
    <dataValidation type="list" allowBlank="1" showInputMessage="1" showErrorMessage="1" sqref="C20 G20 E20 I20" xr:uid="{00000000-0002-0000-1300-000014000000}">
      <formula1>公共配套设施</formula1>
    </dataValidation>
    <dataValidation type="list" allowBlank="1" showInputMessage="1" showErrorMessage="1" sqref="E18 G18 I18 C18" xr:uid="{00000000-0002-0000-1300-000015000000}">
      <formula1>交通便捷度</formula1>
    </dataValidation>
    <dataValidation type="list" allowBlank="1" showInputMessage="1" showErrorMessage="1" sqref="E16 G16 I16 C16" xr:uid="{00000000-0002-0000-1300-000016000000}">
      <formula1>居住社区成熟度</formula1>
    </dataValidation>
    <dataValidation type="list" allowBlank="1" showInputMessage="1" showErrorMessage="1" sqref="E24 G24 I24 C24" xr:uid="{00000000-0002-0000-1300-000017000000}">
      <formula1>环境</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B28"/>
  <sheetViews>
    <sheetView topLeftCell="A46" workbookViewId="0">
      <selection activeCell="Y79" sqref="Y79"/>
    </sheetView>
  </sheetViews>
  <sheetFormatPr defaultRowHeight="13.5"/>
  <sheetData>
    <row r="1" spans="1:2">
      <c r="A1" s="1404" t="s">
        <v>3531</v>
      </c>
      <c r="B1" s="3142" t="s">
        <v>3530</v>
      </c>
    </row>
    <row r="27" spans="1:2">
      <c r="A27" s="1404" t="s">
        <v>3532</v>
      </c>
      <c r="B27" s="3142" t="s">
        <v>3533</v>
      </c>
    </row>
    <row r="28" spans="1:2">
      <c r="B28" s="3142" t="s">
        <v>3534</v>
      </c>
    </row>
  </sheetData>
  <phoneticPr fontId="134" type="noConversion"/>
  <hyperlinks>
    <hyperlink ref="B1" r:id="rId1" xr:uid="{00000000-0004-0000-1400-000000000000}"/>
    <hyperlink ref="B27" r:id="rId2" xr:uid="{00000000-0004-0000-1400-000001000000}"/>
    <hyperlink ref="B28" r:id="rId3" xr:uid="{00000000-0004-0000-1400-000002000000}"/>
  </hyperlinks>
  <pageMargins left="0.7" right="0.7" top="0.75" bottom="0.75" header="0.3" footer="0.3"/>
  <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5" zoomScale="85" zoomScaleNormal="60" zoomScaleSheetLayoutView="85" workbookViewId="0">
      <selection activeCell="C42" sqref="C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3392</v>
      </c>
      <c r="E1" s="3122" t="s">
        <v>3492</v>
      </c>
      <c r="F1" s="1734" t="s">
        <v>3493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4938.0672999999997</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131377</v>
      </c>
      <c r="C3" s="344" t="s">
        <v>1665</v>
      </c>
      <c r="D3" s="343">
        <f>IF(D1="",'数据-汇总表'!E3,SUMIF('数据-汇总表'!$C19:$C33,D1,'数据-汇总表'!$E19:$E33))</f>
        <v>375.87</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52" t="s">
        <v>1667</v>
      </c>
      <c r="D4" s="3353"/>
      <c r="E4" s="3354" t="s">
        <v>1668</v>
      </c>
      <c r="F4" s="3355"/>
      <c r="G4" s="3352" t="s">
        <v>1669</v>
      </c>
      <c r="H4" s="3353"/>
      <c r="I4" s="3352" t="s">
        <v>1670</v>
      </c>
      <c r="J4" s="3353"/>
      <c r="K4" s="1743" t="s">
        <v>1671</v>
      </c>
      <c r="L4" s="2484"/>
      <c r="M4" s="2485"/>
      <c r="N4" s="2485"/>
      <c r="O4" s="2485"/>
      <c r="P4" s="3356" t="s">
        <v>1672</v>
      </c>
      <c r="Q4" s="3357"/>
      <c r="R4" s="3362" t="s">
        <v>1668</v>
      </c>
      <c r="S4" s="3363"/>
      <c r="T4" s="3362" t="s">
        <v>1669</v>
      </c>
      <c r="U4" s="3363"/>
      <c r="V4" s="3376" t="s">
        <v>1670</v>
      </c>
      <c r="W4" s="3376"/>
      <c r="X4" s="1264"/>
      <c r="Y4" s="3362" t="s">
        <v>1672</v>
      </c>
      <c r="Z4" s="3363"/>
      <c r="AA4" s="3349" t="s">
        <v>1668</v>
      </c>
      <c r="AB4" s="3349" t="s">
        <v>1669</v>
      </c>
      <c r="AC4" s="3349" t="s">
        <v>1670</v>
      </c>
    </row>
    <row r="5" spans="1:29" ht="15">
      <c r="A5" s="348"/>
      <c r="B5" s="349"/>
      <c r="C5" s="3394" t="s">
        <v>1673</v>
      </c>
      <c r="D5" s="3367"/>
      <c r="E5" s="3368" t="s">
        <v>3524</v>
      </c>
      <c r="F5" s="3369"/>
      <c r="G5" s="3366" t="s">
        <v>3522</v>
      </c>
      <c r="H5" s="3367"/>
      <c r="I5" s="3366" t="s">
        <v>3510</v>
      </c>
      <c r="J5" s="3367"/>
      <c r="K5" s="1744"/>
      <c r="L5" s="2484"/>
      <c r="M5" s="2485"/>
      <c r="N5" s="2485"/>
      <c r="O5" s="2485"/>
      <c r="P5" s="3358"/>
      <c r="Q5" s="3359"/>
      <c r="R5" s="3364"/>
      <c r="S5" s="3365"/>
      <c r="T5" s="3364"/>
      <c r="U5" s="3365"/>
      <c r="V5" s="3376"/>
      <c r="W5" s="3376"/>
      <c r="X5" s="1264"/>
      <c r="Y5" s="3364"/>
      <c r="Z5" s="3365"/>
      <c r="AA5" s="3350"/>
      <c r="AB5" s="3350"/>
      <c r="AC5" s="3350"/>
    </row>
    <row r="6" spans="1:29" ht="15.75" thickBot="1">
      <c r="A6" s="350"/>
      <c r="B6" s="351"/>
      <c r="C6" s="3370">
        <v>3110</v>
      </c>
      <c r="D6" s="3371"/>
      <c r="E6" s="3372" t="s">
        <v>1677</v>
      </c>
      <c r="F6" s="3373"/>
      <c r="G6" s="3370" t="s">
        <v>1677</v>
      </c>
      <c r="H6" s="3371"/>
      <c r="I6" s="3370" t="s">
        <v>1677</v>
      </c>
      <c r="J6" s="3371"/>
      <c r="K6" s="1744" t="s">
        <v>1678</v>
      </c>
      <c r="L6" s="2484"/>
      <c r="M6" s="2485"/>
      <c r="N6" s="2485"/>
      <c r="O6" s="2485"/>
      <c r="P6" s="3360"/>
      <c r="Q6" s="3361"/>
      <c r="R6" s="3364"/>
      <c r="S6" s="3365"/>
      <c r="T6" s="3374"/>
      <c r="U6" s="3375"/>
      <c r="V6" s="3376"/>
      <c r="W6" s="3376"/>
      <c r="X6" s="1264"/>
      <c r="Y6" s="3374"/>
      <c r="Z6" s="3375"/>
      <c r="AA6" s="3351"/>
      <c r="AB6" s="3351"/>
      <c r="AC6" s="3351"/>
    </row>
    <row r="7" spans="1:29" s="102" customFormat="1" ht="15.75" thickBot="1">
      <c r="A7" s="352" t="s">
        <v>1679</v>
      </c>
      <c r="B7" s="353"/>
      <c r="C7" s="354">
        <f>'数据-取费表'!B2</f>
        <v>45622</v>
      </c>
      <c r="D7" s="355">
        <v>100</v>
      </c>
      <c r="E7" s="356">
        <v>45390</v>
      </c>
      <c r="F7" s="357">
        <f>SUMIF(58:58,YEAR(E7)&amp;"-"&amp;MONTH(E7),59:59)</f>
        <v>100.4</v>
      </c>
      <c r="G7" s="356">
        <v>45008</v>
      </c>
      <c r="H7" s="355">
        <f>SUMIF(58:58,YEAR(G7)&amp;"-"&amp;MONTH(G7),59:59)</f>
        <v>101.2</v>
      </c>
      <c r="I7" s="356">
        <v>45436</v>
      </c>
      <c r="J7" s="355">
        <f>SUMIF(58:58,YEAR(I7)&amp;"-"&amp;MONTH(I7),59:59)</f>
        <v>100.4</v>
      </c>
      <c r="K7" s="1745"/>
      <c r="L7" s="2486"/>
      <c r="M7" s="2437"/>
      <c r="N7" s="2437"/>
      <c r="O7" s="2437"/>
      <c r="P7" s="3377" t="s">
        <v>1680</v>
      </c>
      <c r="Q7" s="3378"/>
      <c r="R7" s="664" t="s">
        <v>20</v>
      </c>
      <c r="S7" s="665">
        <f t="shared" ref="S7:S15" si="0">F7</f>
        <v>100.4</v>
      </c>
      <c r="T7" s="664" t="s">
        <v>20</v>
      </c>
      <c r="U7" s="665">
        <f t="shared" ref="U7:U15" si="1">H7</f>
        <v>101.2</v>
      </c>
      <c r="V7" s="664" t="s">
        <v>20</v>
      </c>
      <c r="W7" s="665">
        <f t="shared" ref="W7:W15" si="2">J7</f>
        <v>100.4</v>
      </c>
      <c r="X7" s="666"/>
      <c r="Y7" s="3377" t="s">
        <v>1680</v>
      </c>
      <c r="Z7" s="3379"/>
      <c r="AA7" s="50">
        <f>D7/F7</f>
        <v>0.99601593625497997</v>
      </c>
      <c r="AB7" s="50">
        <f>D7/H7</f>
        <v>0.98814229249011853</v>
      </c>
      <c r="AC7" s="50">
        <f>D7/J7</f>
        <v>0.99601593625497997</v>
      </c>
    </row>
    <row r="8" spans="1:29" s="102" customFormat="1" ht="15.75" thickBot="1">
      <c r="A8" s="352" t="s">
        <v>1681</v>
      </c>
      <c r="B8" s="353"/>
      <c r="C8" s="358" t="s">
        <v>3475</v>
      </c>
      <c r="D8" s="355">
        <v>100</v>
      </c>
      <c r="E8" s="1746" t="s">
        <v>3475</v>
      </c>
      <c r="F8" s="357">
        <f>SUMIF(61:61,E8,62:62)-SUMIF(61:61,C8,62:62)+100</f>
        <v>100</v>
      </c>
      <c r="G8" s="358" t="s">
        <v>3475</v>
      </c>
      <c r="H8" s="355">
        <f>SUMIF(61:61,G8,62:62)-SUMIF(61:61,C8,62:62)+100</f>
        <v>100</v>
      </c>
      <c r="I8" s="1746" t="s">
        <v>3475</v>
      </c>
      <c r="J8" s="355">
        <f>SUMIF(61:61,I8,62:62)-SUMIF(61:61,C8,62:62)+100</f>
        <v>100</v>
      </c>
      <c r="K8" s="1745"/>
      <c r="L8" s="2486"/>
      <c r="M8" s="2437"/>
      <c r="N8" s="2437"/>
      <c r="O8" s="2437"/>
      <c r="P8" s="3377" t="s">
        <v>1683</v>
      </c>
      <c r="Q8" s="3379"/>
      <c r="R8" s="664" t="s">
        <v>20</v>
      </c>
      <c r="S8" s="665">
        <f t="shared" si="0"/>
        <v>100</v>
      </c>
      <c r="T8" s="664" t="s">
        <v>20</v>
      </c>
      <c r="U8" s="665">
        <f t="shared" si="1"/>
        <v>100</v>
      </c>
      <c r="V8" s="664" t="s">
        <v>20</v>
      </c>
      <c r="W8" s="665">
        <f t="shared" si="2"/>
        <v>100</v>
      </c>
      <c r="X8" s="666"/>
      <c r="Y8" s="3377" t="s">
        <v>1683</v>
      </c>
      <c r="Z8" s="3379"/>
      <c r="AA8" s="50">
        <f t="shared" ref="AA8:AA19" si="3">D8/F8</f>
        <v>1</v>
      </c>
      <c r="AB8" s="50">
        <f t="shared" ref="AB8:AB19" si="4">D8/H8</f>
        <v>1</v>
      </c>
      <c r="AC8" s="50">
        <f t="shared" ref="AC8:AC19" si="5">D8/J8</f>
        <v>1</v>
      </c>
    </row>
    <row r="9" spans="1:29" s="102" customFormat="1">
      <c r="A9" s="359" t="s">
        <v>1684</v>
      </c>
      <c r="B9" s="60" t="s">
        <v>1685</v>
      </c>
      <c r="C9" s="3144" t="s">
        <v>3476</v>
      </c>
      <c r="D9" s="59">
        <v>100</v>
      </c>
      <c r="E9" s="361" t="s">
        <v>3392</v>
      </c>
      <c r="F9" s="60">
        <f>SUMIF(63:63,E9,64:64)-SUMIF(63:63,C9,64:64)+100</f>
        <v>100</v>
      </c>
      <c r="G9" s="362" t="s">
        <v>3392</v>
      </c>
      <c r="H9" s="59">
        <f>SUMIF(63:63,G9,64:64)-SUMIF(63:63,C9,64:64)+100</f>
        <v>100</v>
      </c>
      <c r="I9" s="362" t="s">
        <v>3392</v>
      </c>
      <c r="J9" s="59">
        <f>SUMIF(63:63,I9,64:64)-SUMIF(63:63,C9,64:64)+100</f>
        <v>100</v>
      </c>
      <c r="K9" s="1745"/>
      <c r="L9" s="2486"/>
      <c r="M9" s="2437"/>
      <c r="N9" s="2437"/>
      <c r="O9" s="2437"/>
      <c r="P9" s="338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8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89"/>
      <c r="M11" s="2485"/>
      <c r="N11" s="2485"/>
      <c r="O11" s="2485"/>
      <c r="P11" s="3380"/>
      <c r="Q11" s="530" t="str">
        <f t="shared" si="6"/>
        <v>容积率</v>
      </c>
      <c r="R11" s="664" t="s">
        <v>18</v>
      </c>
      <c r="S11" s="665">
        <f t="shared" si="0"/>
        <v>100</v>
      </c>
      <c r="T11" s="664" t="s">
        <v>18</v>
      </c>
      <c r="U11" s="665">
        <f t="shared" si="1"/>
        <v>100</v>
      </c>
      <c r="V11" s="664" t="s">
        <v>18</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380"/>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80"/>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80"/>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85.5">
      <c r="A15" s="379" t="s">
        <v>1690</v>
      </c>
      <c r="B15" s="58" t="s">
        <v>1257</v>
      </c>
      <c r="C15" s="1749" t="str">
        <f>估价对象房地状况!C3</f>
        <v>估价对象周边有梵悦108、使馆壹号院、海晟名苑、万国城MOMA等住宅小区，综合评价居住社区成熟度较好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1" t="s">
        <v>1691</v>
      </c>
      <c r="Q15" s="1262" t="str">
        <f t="shared" si="6"/>
        <v>居住社区成熟度</v>
      </c>
      <c r="R15" s="667" t="s">
        <v>18</v>
      </c>
      <c r="S15" s="668">
        <f t="shared" si="0"/>
        <v>100</v>
      </c>
      <c r="T15" s="667" t="s">
        <v>18</v>
      </c>
      <c r="U15" s="668">
        <f t="shared" si="1"/>
        <v>100</v>
      </c>
      <c r="V15" s="667" t="s">
        <v>18</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0"/>
      <c r="M16" s="2485"/>
      <c r="N16" s="2485"/>
      <c r="O16" s="2485"/>
      <c r="P16" s="3382"/>
      <c r="Q16" s="1262"/>
      <c r="R16" s="667"/>
      <c r="S16" s="668"/>
      <c r="T16" s="667"/>
      <c r="U16" s="668"/>
      <c r="V16" s="667"/>
      <c r="W16" s="668"/>
      <c r="X16" s="1264"/>
      <c r="Y16" s="3384"/>
      <c r="Z16" s="1263"/>
      <c r="AA16" s="1263">
        <v>1</v>
      </c>
      <c r="AB16" s="1263">
        <v>1</v>
      </c>
      <c r="AC16" s="1263">
        <v>1</v>
      </c>
    </row>
    <row r="17" spans="1:29" ht="156.75">
      <c r="A17" s="367"/>
      <c r="B17" s="390" t="s">
        <v>1259</v>
      </c>
      <c r="C17" s="1753" t="str">
        <f>估价对象房地状况!C6</f>
        <v>估价对象周边有24路、117路、123路、132路、135路、413路、515路等多条公交线路，地铁2号线及13号线换乘站（东直门站），东直门长途汽车站等，综合评价交通便捷度较好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2"/>
      <c r="Q17" s="1262" t="str">
        <f>B17</f>
        <v>交通便捷度</v>
      </c>
      <c r="R17" s="667" t="s">
        <v>18</v>
      </c>
      <c r="S17" s="668">
        <f>F17</f>
        <v>100</v>
      </c>
      <c r="T17" s="667" t="s">
        <v>18</v>
      </c>
      <c r="U17" s="668">
        <f>H17</f>
        <v>100</v>
      </c>
      <c r="V17" s="667" t="s">
        <v>18</v>
      </c>
      <c r="W17" s="668">
        <f>J17</f>
        <v>100</v>
      </c>
      <c r="X17" s="1264"/>
      <c r="Y17" s="3384"/>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0"/>
      <c r="M18" s="2485"/>
      <c r="N18" s="2485"/>
      <c r="O18" s="2485"/>
      <c r="P18" s="3382"/>
      <c r="Q18" s="1262"/>
      <c r="R18" s="667"/>
      <c r="S18" s="668"/>
      <c r="T18" s="667"/>
      <c r="U18" s="668"/>
      <c r="V18" s="667"/>
      <c r="W18" s="668"/>
      <c r="X18" s="1264"/>
      <c r="Y18" s="3384"/>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2"/>
      <c r="Q19" s="1262" t="str">
        <f>B19</f>
        <v>公共配套设施</v>
      </c>
      <c r="R19" s="667" t="s">
        <v>18</v>
      </c>
      <c r="S19" s="668">
        <f>F19</f>
        <v>100</v>
      </c>
      <c r="T19" s="667" t="s">
        <v>18</v>
      </c>
      <c r="U19" s="668">
        <f>H19</f>
        <v>100</v>
      </c>
      <c r="V19" s="667" t="s">
        <v>18</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0"/>
      <c r="M20" s="2485"/>
      <c r="N20" s="2485"/>
      <c r="O20" s="2485"/>
      <c r="P20" s="3382"/>
      <c r="Q20" s="1262"/>
      <c r="R20" s="667"/>
      <c r="S20" s="668"/>
      <c r="T20" s="667"/>
      <c r="U20" s="668"/>
      <c r="V20" s="667"/>
      <c r="W20" s="668"/>
      <c r="X20" s="1264"/>
      <c r="Y20" s="3384"/>
      <c r="Z20" s="1263"/>
      <c r="AA20" s="1263">
        <v>1</v>
      </c>
      <c r="AB20" s="1263">
        <v>1</v>
      </c>
      <c r="AC20" s="1263">
        <v>1</v>
      </c>
    </row>
    <row r="21" spans="1:29" ht="15">
      <c r="A21" s="367"/>
      <c r="B21" s="586"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2"/>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0"/>
      <c r="M22" s="2485"/>
      <c r="N22" s="2485"/>
      <c r="O22" s="2485"/>
      <c r="P22" s="3382"/>
      <c r="Q22" s="1262"/>
      <c r="R22" s="667"/>
      <c r="S22" s="668"/>
      <c r="T22" s="667"/>
      <c r="U22" s="668"/>
      <c r="V22" s="667"/>
      <c r="W22" s="668"/>
      <c r="X22" s="1264"/>
      <c r="Y22" s="3384"/>
      <c r="Z22" s="1263"/>
      <c r="AA22" s="1263">
        <v>1</v>
      </c>
      <c r="AB22" s="1263">
        <v>1</v>
      </c>
      <c r="AC22" s="1263">
        <v>1</v>
      </c>
    </row>
    <row r="23" spans="1:29" ht="99.75">
      <c r="A23" s="367"/>
      <c r="B23" s="390" t="s">
        <v>1261</v>
      </c>
      <c r="C23" s="1753" t="str">
        <f>估价对象房地状况!C9</f>
        <v>区域自然环境：亮马河、东城区亮马河公园；人文环境：工人体育场、东直门外清真寺；综合评价环境状况较好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2"/>
      <c r="Q23" s="1262" t="str">
        <f>B23</f>
        <v>自然及人文环境</v>
      </c>
      <c r="R23" s="667" t="s">
        <v>18</v>
      </c>
      <c r="S23" s="668">
        <f>F23</f>
        <v>100</v>
      </c>
      <c r="T23" s="667" t="s">
        <v>18</v>
      </c>
      <c r="U23" s="668">
        <f>H23</f>
        <v>100</v>
      </c>
      <c r="V23" s="667" t="s">
        <v>18</v>
      </c>
      <c r="W23" s="668">
        <f>J23</f>
        <v>100</v>
      </c>
      <c r="X23" s="1264"/>
      <c r="Y23" s="3384"/>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0"/>
      <c r="M24" s="2485"/>
      <c r="N24" s="2485"/>
      <c r="O24" s="2485"/>
      <c r="P24" s="3382"/>
      <c r="Q24" s="1262"/>
      <c r="R24" s="667"/>
      <c r="S24" s="668"/>
      <c r="T24" s="667"/>
      <c r="U24" s="668"/>
      <c r="V24" s="667"/>
      <c r="W24" s="668"/>
      <c r="X24" s="1264"/>
      <c r="Y24" s="338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8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4"/>
      <c r="Z25" s="1263" t="str">
        <f>Q25</f>
        <v>楼层-1</v>
      </c>
      <c r="AA25" s="1263">
        <f t="shared" ref="AA25:AA46" si="15">D25/F25</f>
        <v>1</v>
      </c>
      <c r="AB25" s="1263">
        <f t="shared" ref="AB25:AB46" si="16">D25/H25</f>
        <v>1</v>
      </c>
      <c r="AC25" s="1263">
        <f t="shared" ref="AC25:AC46" si="17">D25/J25</f>
        <v>1</v>
      </c>
    </row>
    <row r="26" spans="1:29" ht="15">
      <c r="A26" s="367"/>
      <c r="B26" s="364" t="s">
        <v>1693</v>
      </c>
      <c r="C26" s="399" t="s">
        <v>3495</v>
      </c>
      <c r="D26" s="374">
        <v>100</v>
      </c>
      <c r="E26" s="1759" t="s">
        <v>3520</v>
      </c>
      <c r="F26" s="374">
        <f>SUMIF(88:88,E26,89:89)-SUMIF(88:88,C26,89:89)+100</f>
        <v>90</v>
      </c>
      <c r="G26" s="1760" t="s">
        <v>3520</v>
      </c>
      <c r="H26" s="374">
        <f>SUMIF(88:88,G26,89:89)-SUMIF(88:88,C26,89:89)+100</f>
        <v>90</v>
      </c>
      <c r="I26" s="1760" t="s">
        <v>3511</v>
      </c>
      <c r="J26" s="374">
        <f>SUMIF(88:88,I26,89:89)-SUMIF(88:88,C26,89:89)+100</f>
        <v>96</v>
      </c>
      <c r="K26" s="365">
        <v>2</v>
      </c>
      <c r="L26" s="2490"/>
      <c r="M26" s="2485"/>
      <c r="N26" s="2485"/>
      <c r="O26" s="2485"/>
      <c r="P26" s="3382"/>
      <c r="Q26" s="1262" t="str">
        <f t="shared" si="11"/>
        <v>朝向</v>
      </c>
      <c r="R26" s="667" t="s">
        <v>18</v>
      </c>
      <c r="S26" s="668">
        <f t="shared" si="12"/>
        <v>90</v>
      </c>
      <c r="T26" s="667" t="s">
        <v>18</v>
      </c>
      <c r="U26" s="668">
        <f t="shared" si="13"/>
        <v>90</v>
      </c>
      <c r="V26" s="667" t="s">
        <v>18</v>
      </c>
      <c r="W26" s="668">
        <f t="shared" si="14"/>
        <v>96</v>
      </c>
      <c r="X26" s="1264"/>
      <c r="Y26" s="3384"/>
      <c r="Z26" s="1263" t="str">
        <f>Q26</f>
        <v>朝向</v>
      </c>
      <c r="AA26" s="1263">
        <f t="shared" si="15"/>
        <v>1.1111111111111112</v>
      </c>
      <c r="AB26" s="1263">
        <f t="shared" si="16"/>
        <v>1.1111111111111112</v>
      </c>
      <c r="AC26" s="1263">
        <f t="shared" si="17"/>
        <v>1.0416666666666667</v>
      </c>
    </row>
    <row r="27" spans="1:29" s="102" customFormat="1" ht="15">
      <c r="A27" s="370"/>
      <c r="B27" s="3152" t="s">
        <v>3516</v>
      </c>
      <c r="C27" s="371" t="s">
        <v>3517</v>
      </c>
      <c r="D27" s="401">
        <v>100</v>
      </c>
      <c r="E27" s="403" t="s">
        <v>3525</v>
      </c>
      <c r="F27" s="401">
        <f>SUMIF(90:90,E27,91:91)-SUMIF(90:90,C27,91:91)+100</f>
        <v>100</v>
      </c>
      <c r="G27" s="402" t="s">
        <v>3519</v>
      </c>
      <c r="H27" s="401">
        <f>SUMIF(90:90,G27,91:91)-SUMIF(90:90,C27,91:91)+100</f>
        <v>100</v>
      </c>
      <c r="I27" s="402" t="s">
        <v>3518</v>
      </c>
      <c r="J27" s="401">
        <f>SUMIF(90:90,I27,91:91)-SUMIF(90:90,C27,91:91)+100</f>
        <v>100</v>
      </c>
      <c r="K27" s="1747"/>
      <c r="L27" s="2486"/>
      <c r="M27" s="2437"/>
      <c r="N27" s="2437"/>
      <c r="O27" s="2437"/>
      <c r="P27" s="3382"/>
      <c r="Q27" s="530" t="str">
        <f t="shared" si="11"/>
        <v>楼层</v>
      </c>
      <c r="R27" s="664" t="s">
        <v>18</v>
      </c>
      <c r="S27" s="665">
        <f t="shared" si="12"/>
        <v>100</v>
      </c>
      <c r="T27" s="664" t="s">
        <v>18</v>
      </c>
      <c r="U27" s="665">
        <f t="shared" si="13"/>
        <v>100</v>
      </c>
      <c r="V27" s="664" t="s">
        <v>18</v>
      </c>
      <c r="W27" s="665">
        <f t="shared" si="14"/>
        <v>100</v>
      </c>
      <c r="X27" s="666"/>
      <c r="Y27" s="3384"/>
      <c r="Z27" s="50" t="str">
        <f>Q27</f>
        <v>楼层</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82"/>
      <c r="Q28" s="1262">
        <f t="shared" si="11"/>
        <v>111</v>
      </c>
      <c r="R28" s="667" t="s">
        <v>18</v>
      </c>
      <c r="S28" s="668">
        <f t="shared" si="12"/>
        <v>100</v>
      </c>
      <c r="T28" s="667" t="s">
        <v>18</v>
      </c>
      <c r="U28" s="668">
        <f t="shared" si="13"/>
        <v>100</v>
      </c>
      <c r="V28" s="667" t="s">
        <v>18</v>
      </c>
      <c r="W28" s="668">
        <f t="shared" si="14"/>
        <v>100</v>
      </c>
      <c r="X28" s="1264"/>
      <c r="Y28" s="3384"/>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82"/>
      <c r="Q29" s="1262">
        <f t="shared" si="11"/>
        <v>111</v>
      </c>
      <c r="R29" s="667" t="s">
        <v>18</v>
      </c>
      <c r="S29" s="668">
        <f t="shared" si="12"/>
        <v>100</v>
      </c>
      <c r="T29" s="667" t="s">
        <v>18</v>
      </c>
      <c r="U29" s="668">
        <f t="shared" si="13"/>
        <v>100</v>
      </c>
      <c r="V29" s="667" t="s">
        <v>18</v>
      </c>
      <c r="W29" s="668">
        <f t="shared" si="14"/>
        <v>100</v>
      </c>
      <c r="X29" s="1264"/>
      <c r="Y29" s="3384"/>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82"/>
      <c r="Q30" s="1262">
        <f t="shared" si="11"/>
        <v>111</v>
      </c>
      <c r="R30" s="667" t="s">
        <v>18</v>
      </c>
      <c r="S30" s="668">
        <f t="shared" si="12"/>
        <v>100</v>
      </c>
      <c r="T30" s="667" t="s">
        <v>18</v>
      </c>
      <c r="U30" s="668">
        <f t="shared" si="13"/>
        <v>100</v>
      </c>
      <c r="V30" s="667" t="s">
        <v>18</v>
      </c>
      <c r="W30" s="668">
        <f t="shared" si="14"/>
        <v>100</v>
      </c>
      <c r="X30" s="1264"/>
      <c r="Y30" s="3384"/>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82"/>
      <c r="Q31" s="1262">
        <f t="shared" si="11"/>
        <v>111</v>
      </c>
      <c r="R31" s="667" t="s">
        <v>18</v>
      </c>
      <c r="S31" s="668">
        <f t="shared" si="12"/>
        <v>100</v>
      </c>
      <c r="T31" s="667" t="s">
        <v>18</v>
      </c>
      <c r="U31" s="668">
        <f t="shared" si="13"/>
        <v>100</v>
      </c>
      <c r="V31" s="667" t="s">
        <v>18</v>
      </c>
      <c r="W31" s="668">
        <f t="shared" si="14"/>
        <v>100</v>
      </c>
      <c r="X31" s="1264"/>
      <c r="Y31" s="3384"/>
      <c r="Z31" s="1263">
        <f t="shared" si="18"/>
        <v>111</v>
      </c>
      <c r="AA31" s="1263">
        <f t="shared" si="15"/>
        <v>1</v>
      </c>
      <c r="AB31" s="1263">
        <f t="shared" si="16"/>
        <v>1</v>
      </c>
      <c r="AC31" s="1263">
        <f t="shared" si="17"/>
        <v>1</v>
      </c>
    </row>
    <row r="32" spans="1:29" ht="15">
      <c r="A32" s="379" t="s">
        <v>1694</v>
      </c>
      <c r="B32" s="60" t="s">
        <v>1695</v>
      </c>
      <c r="C32" s="1763" t="s">
        <v>3498</v>
      </c>
      <c r="D32" s="405">
        <v>100</v>
      </c>
      <c r="E32" s="1764" t="s">
        <v>3498</v>
      </c>
      <c r="F32" s="400">
        <f>SUMIF(100:100,E32,101:101)-SUMIF(100:100,C32,101:101)+100</f>
        <v>100</v>
      </c>
      <c r="G32" s="1763" t="s">
        <v>3498</v>
      </c>
      <c r="H32" s="405">
        <f>SUMIF(100:100,G32,101:101)-SUMIF(100:100,C32,101:101)+100</f>
        <v>100</v>
      </c>
      <c r="I32" s="1764" t="s">
        <v>3498</v>
      </c>
      <c r="J32" s="374">
        <f>SUMIF(100:100,I32,101:101)-SUMIF(100:100,C32,101:101)+100</f>
        <v>100</v>
      </c>
      <c r="K32" s="365"/>
      <c r="L32" s="2490"/>
      <c r="M32" s="2485"/>
      <c r="N32" s="2485"/>
      <c r="O32" s="2485"/>
      <c r="P32" s="3385" t="s">
        <v>1696</v>
      </c>
      <c r="Q32" s="1262" t="str">
        <f t="shared" si="11"/>
        <v>建筑类型</v>
      </c>
      <c r="R32" s="667" t="s">
        <v>18</v>
      </c>
      <c r="S32" s="668">
        <f t="shared" si="12"/>
        <v>100</v>
      </c>
      <c r="T32" s="667" t="s">
        <v>18</v>
      </c>
      <c r="U32" s="668">
        <f t="shared" si="13"/>
        <v>100</v>
      </c>
      <c r="V32" s="667" t="s">
        <v>18</v>
      </c>
      <c r="W32" s="668">
        <f t="shared" si="14"/>
        <v>100</v>
      </c>
      <c r="X32" s="1264"/>
      <c r="Y32" s="3388" t="s">
        <v>1696</v>
      </c>
      <c r="Z32" s="1263" t="str">
        <f t="shared" si="18"/>
        <v>建筑类型</v>
      </c>
      <c r="AA32" s="1263">
        <f t="shared" si="15"/>
        <v>1</v>
      </c>
      <c r="AB32" s="1263">
        <f t="shared" si="16"/>
        <v>1</v>
      </c>
      <c r="AC32" s="1263">
        <f t="shared" si="17"/>
        <v>1</v>
      </c>
    </row>
    <row r="33" spans="1:29" s="408" customFormat="1" ht="15">
      <c r="A33" s="406"/>
      <c r="B33" s="364" t="s">
        <v>1697</v>
      </c>
      <c r="C33" s="407">
        <f>'数据-基础表'!I13</f>
        <v>375.87</v>
      </c>
      <c r="D33" s="119">
        <v>100</v>
      </c>
      <c r="E33" s="369">
        <v>140</v>
      </c>
      <c r="F33" s="364">
        <f>LOOKUP(E33,103:103,104:104)-LOOKUP(C33,103:103,104:104)+100</f>
        <v>106</v>
      </c>
      <c r="G33" s="368">
        <v>196.6</v>
      </c>
      <c r="H33" s="119">
        <f>LOOKUP(G33,103:103,104:104)-LOOKUP(C33,103:103,104:104)+100</f>
        <v>104</v>
      </c>
      <c r="I33" s="369">
        <v>123</v>
      </c>
      <c r="J33" s="119">
        <f>LOOKUP(I33,103:103,104:104)-LOOKUP(C33,103:103,104:104)+100</f>
        <v>106</v>
      </c>
      <c r="K33" s="1747"/>
      <c r="L33" s="2489"/>
      <c r="M33" s="2491"/>
      <c r="N33" s="2491"/>
      <c r="O33" s="2491"/>
      <c r="P33" s="3386"/>
      <c r="Q33" s="531" t="str">
        <f t="shared" si="11"/>
        <v>项目建筑规模</v>
      </c>
      <c r="R33" s="669" t="s">
        <v>18</v>
      </c>
      <c r="S33" s="670">
        <f t="shared" si="12"/>
        <v>106</v>
      </c>
      <c r="T33" s="669" t="s">
        <v>18</v>
      </c>
      <c r="U33" s="670">
        <f t="shared" si="13"/>
        <v>104</v>
      </c>
      <c r="V33" s="669" t="s">
        <v>18</v>
      </c>
      <c r="W33" s="670">
        <f t="shared" si="14"/>
        <v>106</v>
      </c>
      <c r="X33" s="671"/>
      <c r="Y33" s="3388"/>
      <c r="Z33" s="672" t="str">
        <f t="shared" si="18"/>
        <v>项目建筑规模</v>
      </c>
      <c r="AA33" s="1263">
        <f t="shared" si="15"/>
        <v>0.94339622641509435</v>
      </c>
      <c r="AB33" s="1263">
        <f t="shared" si="16"/>
        <v>0.96153846153846156</v>
      </c>
      <c r="AC33" s="1263">
        <f t="shared" si="17"/>
        <v>0.94339622641509435</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0"/>
      <c r="M34" s="2485"/>
      <c r="N34" s="2485"/>
      <c r="O34" s="2485"/>
      <c r="P34" s="3386"/>
      <c r="Q34" s="1262" t="str">
        <f t="shared" si="11"/>
        <v>建筑结构</v>
      </c>
      <c r="R34" s="667" t="s">
        <v>18</v>
      </c>
      <c r="S34" s="668">
        <f t="shared" si="12"/>
        <v>100</v>
      </c>
      <c r="T34" s="667" t="s">
        <v>18</v>
      </c>
      <c r="U34" s="668">
        <f t="shared" si="13"/>
        <v>100</v>
      </c>
      <c r="V34" s="667" t="s">
        <v>18</v>
      </c>
      <c r="W34" s="668">
        <f t="shared" si="14"/>
        <v>100</v>
      </c>
      <c r="X34" s="1264"/>
      <c r="Y34" s="338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86"/>
      <c r="Q35" s="1262" t="str">
        <f t="shared" si="11"/>
        <v>建筑品质</v>
      </c>
      <c r="R35" s="667" t="s">
        <v>18</v>
      </c>
      <c r="S35" s="668">
        <f t="shared" si="12"/>
        <v>100</v>
      </c>
      <c r="T35" s="667" t="s">
        <v>18</v>
      </c>
      <c r="U35" s="668">
        <f t="shared" si="13"/>
        <v>100</v>
      </c>
      <c r="V35" s="667" t="s">
        <v>18</v>
      </c>
      <c r="W35" s="668">
        <f t="shared" si="14"/>
        <v>100</v>
      </c>
      <c r="X35" s="1264"/>
      <c r="Y35" s="338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86"/>
      <c r="Q36" s="1262" t="str">
        <f t="shared" si="11"/>
        <v>公共部分装修</v>
      </c>
      <c r="R36" s="667" t="s">
        <v>18</v>
      </c>
      <c r="S36" s="668">
        <f t="shared" si="12"/>
        <v>100</v>
      </c>
      <c r="T36" s="667" t="s">
        <v>18</v>
      </c>
      <c r="U36" s="668">
        <f t="shared" si="13"/>
        <v>100</v>
      </c>
      <c r="V36" s="667" t="s">
        <v>18</v>
      </c>
      <c r="W36" s="668">
        <f t="shared" si="14"/>
        <v>100</v>
      </c>
      <c r="X36" s="1264"/>
      <c r="Y36" s="3388"/>
      <c r="Z36" s="1263" t="str">
        <f t="shared" si="18"/>
        <v>公共部分装修</v>
      </c>
      <c r="AA36" s="1263">
        <f t="shared" si="15"/>
        <v>1</v>
      </c>
      <c r="AB36" s="1263">
        <f t="shared" si="16"/>
        <v>1</v>
      </c>
      <c r="AC36" s="1263">
        <f t="shared" si="17"/>
        <v>1</v>
      </c>
    </row>
    <row r="37" spans="1:29" s="102" customFormat="1" ht="15">
      <c r="A37" s="410"/>
      <c r="B37" s="364" t="s">
        <v>1701</v>
      </c>
      <c r="C37" s="411">
        <v>0.65</v>
      </c>
      <c r="D37" s="119">
        <v>100</v>
      </c>
      <c r="E37" s="411">
        <v>0.65</v>
      </c>
      <c r="F37" s="364">
        <f>LOOKUP(E37,112:112,113:113)-LOOKUP(C37,112:112,113:113)+100</f>
        <v>100</v>
      </c>
      <c r="G37" s="413">
        <f>C37</f>
        <v>0.65</v>
      </c>
      <c r="H37" s="119">
        <f>LOOKUP(G37,112:112,113:113)-LOOKUP(C37,112:112,113:113)+100</f>
        <v>100</v>
      </c>
      <c r="I37" s="412">
        <v>0.65</v>
      </c>
      <c r="J37" s="119">
        <f>LOOKUP(I37,112:112,113:113)-LOOKUP(C37,112:112,113:113)+100</f>
        <v>100</v>
      </c>
      <c r="K37" s="365">
        <v>3</v>
      </c>
      <c r="L37" s="2486"/>
      <c r="M37" s="2437"/>
      <c r="N37" s="2437"/>
      <c r="O37" s="2437"/>
      <c r="P37" s="3386"/>
      <c r="Q37" s="530" t="str">
        <f t="shared" si="11"/>
        <v>成新度</v>
      </c>
      <c r="R37" s="664" t="s">
        <v>18</v>
      </c>
      <c r="S37" s="665">
        <f t="shared" si="12"/>
        <v>100</v>
      </c>
      <c r="T37" s="664" t="s">
        <v>18</v>
      </c>
      <c r="U37" s="665">
        <f t="shared" si="13"/>
        <v>100</v>
      </c>
      <c r="V37" s="664" t="s">
        <v>18</v>
      </c>
      <c r="W37" s="665">
        <f t="shared" si="14"/>
        <v>100</v>
      </c>
      <c r="X37" s="666"/>
      <c r="Y37" s="3388"/>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86" t="s">
        <v>1696</v>
      </c>
      <c r="Q38" s="1262" t="str">
        <f t="shared" si="11"/>
        <v>物业管理</v>
      </c>
      <c r="R38" s="667" t="s">
        <v>18</v>
      </c>
      <c r="S38" s="668">
        <f t="shared" si="12"/>
        <v>100</v>
      </c>
      <c r="T38" s="667" t="s">
        <v>18</v>
      </c>
      <c r="U38" s="668">
        <f t="shared" si="13"/>
        <v>100</v>
      </c>
      <c r="V38" s="667" t="s">
        <v>18</v>
      </c>
      <c r="W38" s="668">
        <f t="shared" si="14"/>
        <v>100</v>
      </c>
      <c r="X38" s="1264"/>
      <c r="Y38" s="3388"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86"/>
      <c r="Q39" s="1262" t="str">
        <f t="shared" si="11"/>
        <v>市政基础设施</v>
      </c>
      <c r="R39" s="667" t="s">
        <v>18</v>
      </c>
      <c r="S39" s="668">
        <f t="shared" si="12"/>
        <v>100</v>
      </c>
      <c r="T39" s="667" t="s">
        <v>18</v>
      </c>
      <c r="U39" s="668">
        <f t="shared" si="13"/>
        <v>100</v>
      </c>
      <c r="V39" s="667" t="s">
        <v>18</v>
      </c>
      <c r="W39" s="668">
        <f t="shared" si="14"/>
        <v>100</v>
      </c>
      <c r="X39" s="1264"/>
      <c r="Y39" s="338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386"/>
      <c r="Q40" s="1262" t="str">
        <f t="shared" si="11"/>
        <v>房型</v>
      </c>
      <c r="R40" s="667" t="s">
        <v>18</v>
      </c>
      <c r="S40" s="668">
        <f t="shared" si="12"/>
        <v>100</v>
      </c>
      <c r="T40" s="667" t="s">
        <v>18</v>
      </c>
      <c r="U40" s="668">
        <f t="shared" si="13"/>
        <v>100</v>
      </c>
      <c r="V40" s="667" t="s">
        <v>18</v>
      </c>
      <c r="W40" s="668">
        <f t="shared" si="14"/>
        <v>100</v>
      </c>
      <c r="X40" s="1264"/>
      <c r="Y40" s="3388"/>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3">
        <f t="shared" si="15"/>
        <v>1</v>
      </c>
      <c r="AB41" s="1263">
        <f t="shared" si="16"/>
        <v>1</v>
      </c>
      <c r="AC41" s="1263">
        <f t="shared" si="17"/>
        <v>1</v>
      </c>
    </row>
    <row r="42" spans="1:29" ht="15">
      <c r="A42" s="409"/>
      <c r="B42" s="364" t="s">
        <v>1706</v>
      </c>
      <c r="C42" s="1759" t="s">
        <v>3501</v>
      </c>
      <c r="D42" s="374">
        <v>100</v>
      </c>
      <c r="E42" s="1760" t="s">
        <v>3501</v>
      </c>
      <c r="F42" s="400">
        <f>SUMIF(122:122,E42,123:123)-SUMIF(122:122,C42,123:123)+100</f>
        <v>100</v>
      </c>
      <c r="G42" s="1759" t="s">
        <v>3501</v>
      </c>
      <c r="H42" s="374">
        <f>SUMIF(122:122,G42,123:123)-SUMIF(122:122,C42,123:123)+100</f>
        <v>100</v>
      </c>
      <c r="I42" s="1760" t="s">
        <v>3501</v>
      </c>
      <c r="J42" s="374">
        <f>SUMIF(122:122,I42,123:123)-SUMIF(122:122,C42,123:123)+100</f>
        <v>100</v>
      </c>
      <c r="K42" s="365"/>
      <c r="L42" s="2490"/>
      <c r="M42" s="2485"/>
      <c r="N42" s="2485"/>
      <c r="O42" s="2485"/>
      <c r="P42" s="3386"/>
      <c r="Q42" s="1262" t="str">
        <f t="shared" si="11"/>
        <v>内部装修</v>
      </c>
      <c r="R42" s="667" t="s">
        <v>18</v>
      </c>
      <c r="S42" s="668">
        <f t="shared" si="12"/>
        <v>100</v>
      </c>
      <c r="T42" s="667" t="s">
        <v>18</v>
      </c>
      <c r="U42" s="668">
        <f t="shared" si="13"/>
        <v>100</v>
      </c>
      <c r="V42" s="667" t="s">
        <v>18</v>
      </c>
      <c r="W42" s="668">
        <f t="shared" si="14"/>
        <v>100</v>
      </c>
      <c r="X42" s="1264"/>
      <c r="Y42" s="3388"/>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86"/>
      <c r="Q43" s="1262" t="str">
        <f t="shared" si="11"/>
        <v>内部装修维护情况</v>
      </c>
      <c r="R43" s="667" t="s">
        <v>18</v>
      </c>
      <c r="S43" s="668">
        <f t="shared" si="12"/>
        <v>100</v>
      </c>
      <c r="T43" s="667" t="s">
        <v>18</v>
      </c>
      <c r="U43" s="668">
        <f t="shared" si="13"/>
        <v>100</v>
      </c>
      <c r="V43" s="667" t="s">
        <v>18</v>
      </c>
      <c r="W43" s="668">
        <f t="shared" si="14"/>
        <v>100</v>
      </c>
      <c r="X43" s="1264"/>
      <c r="Y43" s="3388"/>
      <c r="Z43" s="1263" t="str">
        <f t="shared" si="18"/>
        <v>内部装修维护情况</v>
      </c>
      <c r="AA43" s="1263">
        <f t="shared" si="15"/>
        <v>1</v>
      </c>
      <c r="AB43" s="1263">
        <f t="shared" si="16"/>
        <v>1</v>
      </c>
      <c r="AC43" s="1263">
        <f t="shared" si="17"/>
        <v>1</v>
      </c>
    </row>
    <row r="44" spans="1:29" s="102" customFormat="1" ht="15">
      <c r="A44" s="410"/>
      <c r="B44" s="3152" t="s">
        <v>3507</v>
      </c>
      <c r="C44" s="3153" t="s">
        <v>3508</v>
      </c>
      <c r="D44" s="119">
        <v>100</v>
      </c>
      <c r="E44" s="3153" t="s">
        <v>3526</v>
      </c>
      <c r="F44" s="364">
        <f>SUMIF(126:126,E44,127:127)-SUMIF(126:126,C44,127:127)+100</f>
        <v>95</v>
      </c>
      <c r="G44" s="3153" t="s">
        <v>3521</v>
      </c>
      <c r="H44" s="119">
        <f>SUMIF(126:126,G44,127:127)-SUMIF(126:126,C44,127:127)+100</f>
        <v>95</v>
      </c>
      <c r="I44" s="3153" t="s">
        <v>3509</v>
      </c>
      <c r="J44" s="119">
        <f>SUMIF(126:126,I44,127:127)-SUMIF(126:126,C44,127:127)+100</f>
        <v>95</v>
      </c>
      <c r="K44" s="1747"/>
      <c r="L44" s="2486"/>
      <c r="M44" s="2437"/>
      <c r="N44" s="2437"/>
      <c r="O44" s="2437"/>
      <c r="P44" s="3386"/>
      <c r="Q44" s="530" t="str">
        <f t="shared" si="11"/>
        <v>景观</v>
      </c>
      <c r="R44" s="664" t="s">
        <v>18</v>
      </c>
      <c r="S44" s="665">
        <f t="shared" si="12"/>
        <v>95</v>
      </c>
      <c r="T44" s="664" t="s">
        <v>18</v>
      </c>
      <c r="U44" s="665">
        <f t="shared" si="13"/>
        <v>95</v>
      </c>
      <c r="V44" s="664" t="s">
        <v>18</v>
      </c>
      <c r="W44" s="665">
        <f t="shared" si="14"/>
        <v>95</v>
      </c>
      <c r="X44" s="666"/>
      <c r="Y44" s="3388"/>
      <c r="Z44" s="50" t="str">
        <f t="shared" si="18"/>
        <v>景观</v>
      </c>
      <c r="AA44" s="50">
        <f t="shared" si="15"/>
        <v>1.0526315789473684</v>
      </c>
      <c r="AB44" s="50">
        <f t="shared" si="16"/>
        <v>1.0526315789473684</v>
      </c>
      <c r="AC44" s="50">
        <f t="shared" si="17"/>
        <v>1.0526315789473684</v>
      </c>
    </row>
    <row r="45" spans="1:29" ht="15">
      <c r="A45" s="409"/>
      <c r="B45" s="3152" t="s">
        <v>3523</v>
      </c>
      <c r="C45" s="373">
        <v>2002</v>
      </c>
      <c r="D45" s="374">
        <v>100</v>
      </c>
      <c r="E45" s="373">
        <v>2005</v>
      </c>
      <c r="F45" s="400">
        <f>SUMIF(128:128,E45,129:129)-SUMIF(128:128,C45,129:129)+100</f>
        <v>100.5</v>
      </c>
      <c r="G45" s="373">
        <v>2002</v>
      </c>
      <c r="H45" s="374">
        <f>SUMIF(128:128,G45,129:129)-SUMIF(128:128,C45,129:129)+100</f>
        <v>100</v>
      </c>
      <c r="I45" s="373">
        <v>2005</v>
      </c>
      <c r="J45" s="374">
        <f>SUMIF(128:128,I45,129:129)-SUMIF(128:128,C45,129:129)+100</f>
        <v>100.5</v>
      </c>
      <c r="K45" s="1747"/>
      <c r="L45" s="2490"/>
      <c r="M45" s="2485"/>
      <c r="N45" s="2485"/>
      <c r="O45" s="2485"/>
      <c r="P45" s="3386"/>
      <c r="Q45" s="1262" t="str">
        <f t="shared" si="11"/>
        <v>建成年代</v>
      </c>
      <c r="R45" s="667" t="s">
        <v>18</v>
      </c>
      <c r="S45" s="668">
        <f t="shared" si="12"/>
        <v>100.5</v>
      </c>
      <c r="T45" s="667" t="s">
        <v>18</v>
      </c>
      <c r="U45" s="668">
        <f t="shared" si="13"/>
        <v>100</v>
      </c>
      <c r="V45" s="667" t="s">
        <v>18</v>
      </c>
      <c r="W45" s="668">
        <f t="shared" si="14"/>
        <v>100.5</v>
      </c>
      <c r="X45" s="1264"/>
      <c r="Y45" s="3388"/>
      <c r="Z45" s="1263" t="str">
        <f t="shared" si="18"/>
        <v>建成年代</v>
      </c>
      <c r="AA45" s="1263">
        <f t="shared" si="15"/>
        <v>0.99502487562189057</v>
      </c>
      <c r="AB45" s="1263">
        <f t="shared" si="16"/>
        <v>1</v>
      </c>
      <c r="AC45" s="1263">
        <f t="shared" si="17"/>
        <v>0.99502487562189057</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87"/>
      <c r="Q46" s="1262">
        <f t="shared" si="11"/>
        <v>111</v>
      </c>
      <c r="R46" s="667" t="s">
        <v>17</v>
      </c>
      <c r="S46" s="668">
        <f t="shared" si="12"/>
        <v>100</v>
      </c>
      <c r="T46" s="667" t="s">
        <v>17</v>
      </c>
      <c r="U46" s="668">
        <f t="shared" si="13"/>
        <v>100</v>
      </c>
      <c r="V46" s="667" t="s">
        <v>17</v>
      </c>
      <c r="W46" s="668">
        <f t="shared" si="14"/>
        <v>100</v>
      </c>
      <c r="X46" s="1264"/>
      <c r="Y46" s="3389"/>
      <c r="Z46" s="1263">
        <f t="shared" si="18"/>
        <v>111</v>
      </c>
      <c r="AA46" s="1263">
        <f t="shared" si="15"/>
        <v>1</v>
      </c>
      <c r="AB46" s="1263">
        <f t="shared" si="16"/>
        <v>1</v>
      </c>
      <c r="AC46" s="1263">
        <f t="shared" si="17"/>
        <v>1</v>
      </c>
    </row>
    <row r="47" spans="1:29" ht="15">
      <c r="A47" s="416" t="s">
        <v>1708</v>
      </c>
      <c r="B47" s="417"/>
      <c r="C47" s="1081" t="s">
        <v>16</v>
      </c>
      <c r="D47" s="418"/>
      <c r="E47" s="419">
        <v>116735</v>
      </c>
      <c r="F47" s="420"/>
      <c r="G47" s="421">
        <f>ROUND(25580000/196.6,0)</f>
        <v>130112</v>
      </c>
      <c r="H47" s="422"/>
      <c r="I47" s="419">
        <v>118893</v>
      </c>
      <c r="J47" s="422"/>
      <c r="K47" s="1766"/>
      <c r="L47" s="2492"/>
      <c r="M47" s="2485"/>
      <c r="N47" s="2485"/>
      <c r="O47" s="2485"/>
      <c r="P47" s="3390" t="str">
        <f>A47</f>
        <v>成交单价（元/平方米）</v>
      </c>
      <c r="Q47" s="3390"/>
      <c r="R47" s="3376">
        <f>E47</f>
        <v>116735</v>
      </c>
      <c r="S47" s="3376"/>
      <c r="T47" s="3376">
        <f>G47</f>
        <v>130112</v>
      </c>
      <c r="U47" s="3376"/>
      <c r="V47" s="3376">
        <f>I47</f>
        <v>118893</v>
      </c>
      <c r="W47" s="3376"/>
      <c r="X47" s="385"/>
      <c r="Y47" s="673"/>
      <c r="Z47" s="385"/>
      <c r="AA47" s="385"/>
      <c r="AB47" s="385"/>
      <c r="AC47" s="385"/>
    </row>
    <row r="48" spans="1:29" ht="15.75" thickBot="1">
      <c r="A48" s="423" t="s">
        <v>1709</v>
      </c>
      <c r="B48" s="424"/>
      <c r="C48" s="1082">
        <f>R49</f>
        <v>131377</v>
      </c>
      <c r="D48" s="2140" t="s">
        <v>2136</v>
      </c>
      <c r="E48" s="1083">
        <f>R48</f>
        <v>127653</v>
      </c>
      <c r="F48" s="2141"/>
      <c r="G48" s="1082">
        <f>T48</f>
        <v>144590</v>
      </c>
      <c r="H48" s="2141"/>
      <c r="I48" s="1083">
        <f>V48</f>
        <v>121887</v>
      </c>
      <c r="J48" s="2141"/>
      <c r="K48" s="2142">
        <f>F48+H48+J48</f>
        <v>0</v>
      </c>
      <c r="L48" s="2492"/>
      <c r="M48" s="2485"/>
      <c r="N48" s="2485"/>
      <c r="O48" s="2485"/>
      <c r="P48" s="3390" t="str">
        <f>A48</f>
        <v>比较价值（元/平方米）</v>
      </c>
      <c r="Q48" s="3390"/>
      <c r="R48" s="3376">
        <f>IF(F1="售价",ROUND(PRODUCT(R47,AA7:AA46),0),ROUND(PRODUCT(R47,AA7:AA46),1))</f>
        <v>127653</v>
      </c>
      <c r="S48" s="3376"/>
      <c r="T48" s="3376">
        <f>IF(F1="售价",ROUND(PRODUCT(T47,AB7:AB46),0),ROUND(PRODUCT(T47,AB7:AB46),1))</f>
        <v>144590</v>
      </c>
      <c r="U48" s="3376"/>
      <c r="V48" s="3376">
        <f>IF(F1="售价",ROUND(PRODUCT(V47,AC7:AC46),0),ROUND(PRODUCT(V47,AC7:AC46),1))</f>
        <v>121887</v>
      </c>
      <c r="W48" s="3376"/>
      <c r="X48" s="385"/>
      <c r="Y48" s="385"/>
      <c r="Z48" s="385"/>
      <c r="AA48" s="385"/>
      <c r="AB48" s="385"/>
      <c r="AC48" s="385"/>
    </row>
    <row r="49" spans="1:29" ht="15.75" thickBot="1">
      <c r="A49" s="427" t="s">
        <v>1710</v>
      </c>
      <c r="B49" s="428"/>
      <c r="C49" s="1084">
        <f>R49</f>
        <v>131377</v>
      </c>
      <c r="D49" s="351"/>
      <c r="E49" s="351"/>
      <c r="F49" s="351"/>
      <c r="G49" s="351"/>
      <c r="H49" s="351"/>
      <c r="I49" s="351"/>
      <c r="J49" s="351"/>
      <c r="K49" s="1767"/>
      <c r="L49" s="2492"/>
      <c r="M49" s="2485"/>
      <c r="N49" s="2485"/>
      <c r="O49" s="2485"/>
      <c r="P49" s="3391" t="str">
        <f>A49</f>
        <v>估价对象XX用房的比较价值（楼面单价，元/平方米）</v>
      </c>
      <c r="Q49" s="3392"/>
      <c r="R49" s="3393">
        <f>IF(F1="售价",ROUND(IF(D48="简单平均",AVERAGE(R48:V48),R48*F48+T48*H48+V48*J48),0),ROUND(IF(D48="简单平均",AVERAGE(R48:V48),R48*F48+T48*H48+V48*J48),1))</f>
        <v>131377</v>
      </c>
      <c r="S49" s="3393"/>
      <c r="T49" s="3393"/>
      <c r="U49" s="3393"/>
      <c r="V49" s="3393"/>
      <c r="W49" s="339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9.352807641238714E-2</v>
      </c>
      <c r="F52" s="435" t="str">
        <f>IF(OR(E52&gt;=0.3,E52&lt;=-0.3),"超过30%","")</f>
        <v/>
      </c>
      <c r="G52" s="434">
        <f>IF(G47&lt;G48,G48/G47-1,G47/G48-1)</f>
        <v>0.11127336448598135</v>
      </c>
      <c r="H52" s="435" t="str">
        <f>IF(OR(G52&gt;=0.3,G52&lt;=-0.3),"超过30%","")</f>
        <v/>
      </c>
      <c r="I52" s="434">
        <f>IF(I47&lt;I48,I48/I47-1,I47/I48-1)</f>
        <v>2.5182306780045849E-2</v>
      </c>
      <c r="J52" s="435" t="str">
        <f>IF(OR(I52&gt;=0.3,I52&lt;=-0.3),"超过30%","")</f>
        <v/>
      </c>
      <c r="K52" s="2497"/>
      <c r="L52" s="2493"/>
      <c r="M52" s="2485"/>
      <c r="N52" s="2485"/>
      <c r="O52" s="2485"/>
    </row>
    <row r="53" spans="1:29" ht="13.5" customHeight="1">
      <c r="A53" s="2485"/>
      <c r="B53" s="2485"/>
      <c r="C53" s="432" t="s">
        <v>1712</v>
      </c>
      <c r="D53" s="436"/>
      <c r="E53" s="434">
        <f>IF(E48&lt;G48,G48/E48-1,E48/G48-1)</f>
        <v>0.13267999968665056</v>
      </c>
      <c r="F53" s="435" t="str">
        <f>IF(OR(E53&gt;=0.2,E53&lt;=-0.2),"超过20%","")</f>
        <v/>
      </c>
      <c r="G53" s="434">
        <f>IF(G48&lt;I48,I48/G48-1,G48/I48-1)</f>
        <v>0.18626268593041106</v>
      </c>
      <c r="H53" s="435" t="str">
        <f>IF(OR(G53&gt;=0.2,G53&lt;=-0.2),"超过20%","")</f>
        <v/>
      </c>
      <c r="I53" s="434">
        <f>IF(I48&lt;E48,E48/I48-1,I48/E48-1)</f>
        <v>4.7306111398262241E-2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0.11459288131237422</v>
      </c>
      <c r="F54" s="435" t="str">
        <f>IF(OR(E54&gt;=0.3,E54&lt;=-0.3),"超过30%","")</f>
        <v/>
      </c>
      <c r="G54" s="434">
        <f>IF(G47&lt;I47,I47/G47-1,G47/I47-1)</f>
        <v>9.4362157570252236E-2</v>
      </c>
      <c r="H54" s="435" t="str">
        <f>IF(OR(G54&gt;=0.3,G54&lt;=-0.3),"超过30%","")</f>
        <v/>
      </c>
      <c r="I54" s="434">
        <f>IF(I47&lt;E47,E47/I47-1,I47/E47-1)</f>
        <v>1.8486315158264377E-2</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3155">
        <f t="shared" ref="P58" si="20">EDATE(O58,-1)</f>
        <v>45200</v>
      </c>
      <c r="Q58" s="3155">
        <f t="shared" ref="Q58" si="21">EDATE(P58,-1)</f>
        <v>45170</v>
      </c>
      <c r="R58" s="3155">
        <f t="shared" ref="R58" si="22">EDATE(Q58,-1)</f>
        <v>45139</v>
      </c>
      <c r="S58" s="3155">
        <f t="shared" ref="S58" si="23">EDATE(R58,-1)</f>
        <v>45108</v>
      </c>
      <c r="T58" s="3155">
        <f t="shared" ref="T58" si="24">EDATE(S58,-1)</f>
        <v>45078</v>
      </c>
      <c r="U58" s="3155">
        <f t="shared" ref="U58" si="25">EDATE(T58,-1)</f>
        <v>45047</v>
      </c>
      <c r="V58" s="3155">
        <f t="shared" ref="V58" si="26">EDATE(U58,-1)</f>
        <v>45017</v>
      </c>
      <c r="W58" s="3155">
        <f t="shared" ref="W58" si="27">EDATE(V58,-1)</f>
        <v>44986</v>
      </c>
      <c r="X58" s="3155">
        <f t="shared" ref="X58" si="28">EDATE(W58,-1)</f>
        <v>44958</v>
      </c>
      <c r="Y58" s="3155">
        <f t="shared" ref="Y58" si="29">EDATE(X58,-1)</f>
        <v>44927</v>
      </c>
    </row>
    <row r="59" spans="1:29" s="102" customFormat="1" ht="15">
      <c r="A59" s="443"/>
      <c r="B59" s="1771"/>
      <c r="C59" s="1101">
        <v>100</v>
      </c>
      <c r="D59" s="445">
        <f>C59</f>
        <v>100</v>
      </c>
      <c r="E59" s="446">
        <f>C59</f>
        <v>100</v>
      </c>
      <c r="F59" s="446">
        <f>C59+C60</f>
        <v>100.2</v>
      </c>
      <c r="G59" s="446">
        <f>F59</f>
        <v>100.2</v>
      </c>
      <c r="H59" s="446">
        <f>F59</f>
        <v>100.2</v>
      </c>
      <c r="I59" s="446">
        <f>F59+C60</f>
        <v>100.4</v>
      </c>
      <c r="J59" s="446">
        <f>I59</f>
        <v>100.4</v>
      </c>
      <c r="K59" s="446">
        <f>I59</f>
        <v>100.4</v>
      </c>
      <c r="L59" s="446">
        <f>I59+C60</f>
        <v>100.60000000000001</v>
      </c>
      <c r="M59" s="447">
        <f>L59</f>
        <v>100.60000000000001</v>
      </c>
      <c r="N59" s="446">
        <f>L59</f>
        <v>100.60000000000001</v>
      </c>
      <c r="O59" s="447">
        <f>L59+C60</f>
        <v>100.80000000000001</v>
      </c>
      <c r="P59" s="1772">
        <f>O59</f>
        <v>100.80000000000001</v>
      </c>
      <c r="Q59" s="102">
        <f>O59</f>
        <v>100.80000000000001</v>
      </c>
      <c r="R59" s="102">
        <f>O59+C60</f>
        <v>101.00000000000001</v>
      </c>
      <c r="S59" s="102">
        <f>R59</f>
        <v>101.00000000000001</v>
      </c>
      <c r="T59" s="102">
        <f>R59</f>
        <v>101.00000000000001</v>
      </c>
      <c r="U59" s="102">
        <f>R59+C60</f>
        <v>101.20000000000002</v>
      </c>
      <c r="V59" s="102">
        <f>U59</f>
        <v>101.20000000000002</v>
      </c>
      <c r="W59" s="102">
        <v>101.2</v>
      </c>
    </row>
    <row r="60" spans="1:29" s="102" customFormat="1" ht="15.75" thickBot="1">
      <c r="A60" s="449" t="s">
        <v>1716</v>
      </c>
      <c r="B60" s="450"/>
      <c r="C60" s="451">
        <v>0.2</v>
      </c>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1（含）-3</v>
      </c>
      <c r="D67" s="478" t="str">
        <f t="shared" ref="D67:L67" si="30">D68&amp;"（含）"&amp;"-"&amp;E68</f>
        <v>3（含）-</v>
      </c>
      <c r="E67" s="478" t="str">
        <f t="shared" si="30"/>
        <v>（含）-</v>
      </c>
      <c r="F67" s="478" t="str">
        <f t="shared" si="30"/>
        <v>（含）-</v>
      </c>
      <c r="G67" s="478" t="str">
        <f t="shared" si="30"/>
        <v>（含）-</v>
      </c>
      <c r="H67" s="478" t="str">
        <f t="shared" si="30"/>
        <v>（含）-</v>
      </c>
      <c r="I67" s="478" t="str">
        <f t="shared" si="30"/>
        <v>（含）-</v>
      </c>
      <c r="J67" s="478" t="str">
        <f t="shared" si="30"/>
        <v>（含）-</v>
      </c>
      <c r="K67" s="478" t="str">
        <f>K68&amp;"（含）"&amp;"-"&amp;L68</f>
        <v>（含）-</v>
      </c>
      <c r="L67" s="478" t="str">
        <f t="shared" si="30"/>
        <v>（含）-</v>
      </c>
      <c r="M67" s="387" t="str">
        <f>M68&amp;"（含）"&amp;"-"&amp;P68</f>
        <v>（含）-</v>
      </c>
      <c r="N67" s="880"/>
      <c r="O67" s="880"/>
      <c r="P67" s="1774"/>
      <c r="Q67" s="439"/>
    </row>
    <row r="68" spans="1:17" ht="15">
      <c r="A68" s="367"/>
      <c r="B68" s="479"/>
      <c r="C68" s="480">
        <v>1</v>
      </c>
      <c r="D68" s="480">
        <v>3</v>
      </c>
      <c r="E68" s="480"/>
      <c r="F68" s="480"/>
      <c r="G68" s="480"/>
      <c r="H68" s="480"/>
      <c r="I68" s="480"/>
      <c r="J68" s="480"/>
      <c r="K68" s="481"/>
      <c r="L68" s="482"/>
      <c r="M68" s="483"/>
      <c r="N68" s="879"/>
      <c r="O68" s="879"/>
      <c r="P68" s="1774"/>
      <c r="Q68" s="439"/>
    </row>
    <row r="69" spans="1:17" ht="15.75" thickBot="1">
      <c r="A69" s="367"/>
      <c r="B69" s="466"/>
      <c r="C69" s="475">
        <v>100</v>
      </c>
      <c r="D69" s="475">
        <f t="shared" ref="D69:M69" si="31">C69-$K11</f>
        <v>100</v>
      </c>
      <c r="E69" s="475">
        <f t="shared" si="31"/>
        <v>100</v>
      </c>
      <c r="F69" s="475">
        <f t="shared" si="31"/>
        <v>100</v>
      </c>
      <c r="G69" s="475">
        <f t="shared" si="31"/>
        <v>100</v>
      </c>
      <c r="H69" s="475">
        <f t="shared" si="31"/>
        <v>100</v>
      </c>
      <c r="I69" s="475">
        <f t="shared" si="31"/>
        <v>100</v>
      </c>
      <c r="J69" s="475">
        <f t="shared" si="31"/>
        <v>100</v>
      </c>
      <c r="K69" s="475">
        <f t="shared" si="31"/>
        <v>100</v>
      </c>
      <c r="L69" s="475">
        <f t="shared" si="31"/>
        <v>100</v>
      </c>
      <c r="M69" s="476">
        <f t="shared" si="3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32">D83-$K21</f>
        <v>100</v>
      </c>
      <c r="F83" s="581">
        <f t="shared" si="32"/>
        <v>100</v>
      </c>
      <c r="G83" s="581">
        <f t="shared" si="3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33">$C$87-($C$86-D86)*$K$25</f>
        <v>100</v>
      </c>
      <c r="E87" s="475">
        <f t="shared" si="33"/>
        <v>100</v>
      </c>
      <c r="F87" s="475">
        <f t="shared" si="33"/>
        <v>100</v>
      </c>
      <c r="G87" s="475">
        <f t="shared" si="33"/>
        <v>100</v>
      </c>
      <c r="H87" s="475">
        <f t="shared" si="33"/>
        <v>100</v>
      </c>
      <c r="I87" s="475">
        <f t="shared" si="33"/>
        <v>100</v>
      </c>
      <c r="J87" s="475">
        <f t="shared" si="33"/>
        <v>100</v>
      </c>
      <c r="K87" s="475">
        <f t="shared" si="33"/>
        <v>100</v>
      </c>
      <c r="L87" s="475">
        <f t="shared" si="33"/>
        <v>100</v>
      </c>
      <c r="M87" s="475">
        <f t="shared" si="33"/>
        <v>100</v>
      </c>
      <c r="N87" s="880"/>
      <c r="O87" s="880"/>
      <c r="P87" s="1774"/>
      <c r="Q87" s="439"/>
    </row>
    <row r="88" spans="1:17" s="102" customFormat="1" ht="15.75" thickTop="1">
      <c r="A88" s="370"/>
      <c r="B88" s="469" t="s">
        <v>1735</v>
      </c>
      <c r="C88" s="3149" t="s">
        <v>3494</v>
      </c>
      <c r="D88" s="3149" t="s">
        <v>3496</v>
      </c>
      <c r="E88" s="3149" t="s">
        <v>3497</v>
      </c>
      <c r="F88" s="3154" t="s">
        <v>3512</v>
      </c>
      <c r="G88" s="3149" t="s">
        <v>3513</v>
      </c>
      <c r="H88" s="3149" t="s">
        <v>3514</v>
      </c>
      <c r="I88" s="3149" t="s">
        <v>3515</v>
      </c>
      <c r="J88" s="485"/>
      <c r="K88" s="485"/>
      <c r="L88" s="485"/>
      <c r="M88" s="511"/>
      <c r="N88" s="878"/>
      <c r="O88" s="878"/>
      <c r="P88" s="1774"/>
      <c r="Q88" s="439"/>
    </row>
    <row r="89" spans="1:17" s="102" customFormat="1" ht="15.75" thickBot="1">
      <c r="A89" s="370"/>
      <c r="B89" s="474"/>
      <c r="C89" s="512">
        <v>100</v>
      </c>
      <c r="D89" s="475">
        <f t="shared" ref="D89:M89" si="34">C89-$K26</f>
        <v>98</v>
      </c>
      <c r="E89" s="475">
        <f t="shared" si="34"/>
        <v>96</v>
      </c>
      <c r="F89" s="475">
        <f t="shared" si="34"/>
        <v>94</v>
      </c>
      <c r="G89" s="475">
        <f t="shared" si="34"/>
        <v>92</v>
      </c>
      <c r="H89" s="475">
        <f t="shared" si="34"/>
        <v>90</v>
      </c>
      <c r="I89" s="475">
        <f t="shared" si="34"/>
        <v>88</v>
      </c>
      <c r="J89" s="475">
        <f t="shared" si="34"/>
        <v>86</v>
      </c>
      <c r="K89" s="475">
        <f t="shared" si="34"/>
        <v>84</v>
      </c>
      <c r="L89" s="475">
        <f t="shared" si="34"/>
        <v>82</v>
      </c>
      <c r="M89" s="475">
        <f t="shared" si="34"/>
        <v>80</v>
      </c>
      <c r="N89" s="880"/>
      <c r="O89" s="880"/>
      <c r="P89" s="1774"/>
      <c r="Q89" s="439"/>
    </row>
    <row r="90" spans="1:17" s="408" customFormat="1" ht="15.75" thickTop="1">
      <c r="A90" s="484"/>
      <c r="B90" s="469" t="str">
        <f>B27</f>
        <v>楼层</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50" t="s">
        <v>3499</v>
      </c>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35">C101-$K32</f>
        <v>100</v>
      </c>
      <c r="E101" s="475">
        <f t="shared" si="35"/>
        <v>100</v>
      </c>
      <c r="F101" s="475">
        <f t="shared" si="35"/>
        <v>100</v>
      </c>
      <c r="G101" s="475">
        <f t="shared" si="35"/>
        <v>100</v>
      </c>
      <c r="H101" s="475">
        <f t="shared" si="35"/>
        <v>100</v>
      </c>
      <c r="I101" s="475">
        <f t="shared" si="35"/>
        <v>100</v>
      </c>
      <c r="J101" s="475">
        <f t="shared" si="35"/>
        <v>100</v>
      </c>
      <c r="K101" s="475">
        <f t="shared" si="35"/>
        <v>100</v>
      </c>
      <c r="L101" s="475">
        <f t="shared" si="35"/>
        <v>100</v>
      </c>
      <c r="M101" s="475">
        <f t="shared" si="35"/>
        <v>100</v>
      </c>
      <c r="N101" s="880"/>
      <c r="O101" s="880"/>
      <c r="P101" s="1774"/>
      <c r="Q101" s="439"/>
    </row>
    <row r="102" spans="1:17" ht="15.75" thickTop="1">
      <c r="A102" s="367"/>
      <c r="B102" s="469" t="s">
        <v>1737</v>
      </c>
      <c r="C102" s="509" t="str">
        <f>C103&amp;"(含)"&amp;"-"&amp;D103</f>
        <v>0(含)-180</v>
      </c>
      <c r="D102" s="509" t="str">
        <f t="shared" ref="D102:L102" si="36">D103&amp;"(含)"&amp;"-"&amp;E103</f>
        <v>180(含)-240</v>
      </c>
      <c r="E102" s="509" t="str">
        <f t="shared" si="36"/>
        <v>240(含)-300</v>
      </c>
      <c r="F102" s="509" t="str">
        <f t="shared" si="36"/>
        <v>300(含)-</v>
      </c>
      <c r="G102" s="509" t="str">
        <f t="shared" si="36"/>
        <v>(含)-</v>
      </c>
      <c r="H102" s="509" t="str">
        <f t="shared" si="36"/>
        <v>(含)-</v>
      </c>
      <c r="I102" s="509" t="str">
        <f t="shared" si="36"/>
        <v>(含)-</v>
      </c>
      <c r="J102" s="509" t="str">
        <f t="shared" si="36"/>
        <v>(含)-</v>
      </c>
      <c r="K102" s="509" t="str">
        <f>K103&amp;"(含)"&amp;"-"&amp;L103</f>
        <v>(含)-</v>
      </c>
      <c r="L102" s="509" t="str">
        <f t="shared" si="36"/>
        <v>(含)-</v>
      </c>
      <c r="M102" s="509" t="str">
        <f>M103&amp;"(含)"&amp;"-"&amp;P103</f>
        <v>(含)-</v>
      </c>
      <c r="N102" s="878"/>
      <c r="O102" s="878"/>
      <c r="P102" s="1774"/>
      <c r="Q102" s="439"/>
    </row>
    <row r="103" spans="1:17" s="408" customFormat="1">
      <c r="A103" s="406"/>
      <c r="B103" s="523"/>
      <c r="C103" s="6">
        <v>0</v>
      </c>
      <c r="D103" s="6">
        <v>180</v>
      </c>
      <c r="E103" s="6">
        <v>240</v>
      </c>
      <c r="F103" s="6">
        <v>300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3149" t="s">
        <v>3500</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37">C106-$K34</f>
        <v>100</v>
      </c>
      <c r="E106" s="475">
        <f t="shared" si="37"/>
        <v>100</v>
      </c>
      <c r="F106" s="475">
        <f t="shared" si="37"/>
        <v>100</v>
      </c>
      <c r="G106" s="475">
        <f t="shared" si="37"/>
        <v>100</v>
      </c>
      <c r="H106" s="475">
        <f t="shared" si="37"/>
        <v>100</v>
      </c>
      <c r="I106" s="475">
        <f t="shared" si="37"/>
        <v>100</v>
      </c>
      <c r="J106" s="475">
        <f t="shared" si="37"/>
        <v>100</v>
      </c>
      <c r="K106" s="475">
        <f t="shared" si="37"/>
        <v>100</v>
      </c>
      <c r="L106" s="475">
        <f t="shared" si="37"/>
        <v>100</v>
      </c>
      <c r="M106" s="475">
        <f t="shared" si="3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38">C108-$K35</f>
        <v>100</v>
      </c>
      <c r="E108" s="475">
        <f t="shared" si="38"/>
        <v>100</v>
      </c>
      <c r="F108" s="475">
        <f t="shared" si="38"/>
        <v>100</v>
      </c>
      <c r="G108" s="475">
        <f t="shared" si="38"/>
        <v>100</v>
      </c>
      <c r="H108" s="475">
        <f t="shared" si="38"/>
        <v>100</v>
      </c>
      <c r="I108" s="475">
        <f t="shared" si="38"/>
        <v>100</v>
      </c>
      <c r="J108" s="475">
        <f t="shared" si="38"/>
        <v>100</v>
      </c>
      <c r="K108" s="475">
        <f t="shared" si="38"/>
        <v>100</v>
      </c>
      <c r="L108" s="475">
        <f t="shared" si="38"/>
        <v>100</v>
      </c>
      <c r="M108" s="475">
        <f t="shared" si="38"/>
        <v>100</v>
      </c>
      <c r="N108" s="880"/>
      <c r="O108" s="880"/>
      <c r="P108" s="1774"/>
      <c r="Q108" s="439"/>
    </row>
    <row r="109" spans="1:17" ht="15" thickTop="1">
      <c r="A109" s="409"/>
      <c r="B109" s="469" t="s">
        <v>1740</v>
      </c>
      <c r="C109" s="3149" t="s">
        <v>3502</v>
      </c>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9">C110-$K36</f>
        <v>100</v>
      </c>
      <c r="E110" s="475">
        <f t="shared" si="39"/>
        <v>100</v>
      </c>
      <c r="F110" s="475">
        <f t="shared" si="39"/>
        <v>100</v>
      </c>
      <c r="G110" s="475">
        <f t="shared" si="39"/>
        <v>100</v>
      </c>
      <c r="H110" s="475">
        <f t="shared" si="39"/>
        <v>100</v>
      </c>
      <c r="I110" s="475">
        <f t="shared" si="39"/>
        <v>100</v>
      </c>
      <c r="J110" s="475">
        <f t="shared" si="39"/>
        <v>100</v>
      </c>
      <c r="K110" s="475">
        <f t="shared" si="39"/>
        <v>100</v>
      </c>
      <c r="L110" s="475">
        <f t="shared" si="39"/>
        <v>100</v>
      </c>
      <c r="M110" s="475">
        <f t="shared" si="3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5"/>
      <c r="Q113" s="490"/>
    </row>
    <row r="114" spans="1:17" ht="15" thickTop="1">
      <c r="A114" s="409"/>
      <c r="B114" s="469" t="s">
        <v>1741</v>
      </c>
      <c r="C114" s="3149" t="s">
        <v>3503</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40">C115-$K38</f>
        <v>100</v>
      </c>
      <c r="E115" s="475">
        <f t="shared" si="40"/>
        <v>100</v>
      </c>
      <c r="F115" s="475">
        <f t="shared" si="40"/>
        <v>100</v>
      </c>
      <c r="G115" s="475">
        <f t="shared" si="40"/>
        <v>100</v>
      </c>
      <c r="H115" s="475">
        <f t="shared" si="40"/>
        <v>100</v>
      </c>
      <c r="I115" s="475">
        <f t="shared" si="40"/>
        <v>100</v>
      </c>
      <c r="J115" s="475">
        <f t="shared" si="40"/>
        <v>100</v>
      </c>
      <c r="K115" s="475">
        <f t="shared" si="40"/>
        <v>100</v>
      </c>
      <c r="L115" s="475">
        <f t="shared" si="40"/>
        <v>100</v>
      </c>
      <c r="M115" s="475">
        <f t="shared" si="40"/>
        <v>100</v>
      </c>
      <c r="N115" s="880"/>
      <c r="O115" s="880"/>
      <c r="P115" s="1774"/>
      <c r="Q115" s="439"/>
    </row>
    <row r="116" spans="1:17" ht="15" thickTop="1">
      <c r="A116" s="409"/>
      <c r="B116" s="469" t="s">
        <v>1742</v>
      </c>
      <c r="C116" s="3149" t="s">
        <v>3504</v>
      </c>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51" t="s">
        <v>3505</v>
      </c>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41">C119-$K40</f>
        <v>100</v>
      </c>
      <c r="E119" s="475">
        <f t="shared" si="41"/>
        <v>100</v>
      </c>
      <c r="F119" s="475">
        <f t="shared" si="41"/>
        <v>100</v>
      </c>
      <c r="G119" s="475">
        <f t="shared" si="41"/>
        <v>100</v>
      </c>
      <c r="H119" s="475">
        <f t="shared" si="41"/>
        <v>100</v>
      </c>
      <c r="I119" s="475">
        <f t="shared" si="41"/>
        <v>100</v>
      </c>
      <c r="J119" s="475">
        <f t="shared" si="41"/>
        <v>100</v>
      </c>
      <c r="K119" s="475">
        <f t="shared" si="41"/>
        <v>100</v>
      </c>
      <c r="L119" s="475">
        <f t="shared" si="41"/>
        <v>100</v>
      </c>
      <c r="M119" s="475">
        <f t="shared" si="4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9" t="s">
        <v>3506</v>
      </c>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42">C123-$K42</f>
        <v>100</v>
      </c>
      <c r="E123" s="475">
        <f t="shared" si="42"/>
        <v>100</v>
      </c>
      <c r="F123" s="475">
        <f t="shared" si="42"/>
        <v>100</v>
      </c>
      <c r="G123" s="475">
        <f t="shared" si="42"/>
        <v>100</v>
      </c>
      <c r="H123" s="475">
        <f t="shared" si="42"/>
        <v>100</v>
      </c>
      <c r="I123" s="475">
        <f t="shared" si="42"/>
        <v>100</v>
      </c>
      <c r="J123" s="475">
        <f t="shared" si="42"/>
        <v>100</v>
      </c>
      <c r="K123" s="475">
        <f t="shared" si="42"/>
        <v>100</v>
      </c>
      <c r="L123" s="475">
        <f t="shared" si="42"/>
        <v>100</v>
      </c>
      <c r="M123" s="475">
        <f t="shared" si="4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景观</v>
      </c>
      <c r="C126" s="3149" t="s">
        <v>3508</v>
      </c>
      <c r="D126" s="3149" t="s">
        <v>3509</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95</v>
      </c>
      <c r="E127" s="467"/>
      <c r="F127" s="467"/>
      <c r="G127" s="491"/>
      <c r="H127" s="493"/>
      <c r="I127" s="493"/>
      <c r="J127" s="493"/>
      <c r="K127" s="493"/>
      <c r="L127" s="493"/>
      <c r="M127" s="494"/>
      <c r="N127" s="881"/>
      <c r="O127" s="881"/>
      <c r="P127" s="1775"/>
      <c r="Q127" s="490"/>
    </row>
    <row r="128" spans="1:17" ht="15" thickTop="1">
      <c r="A128" s="409"/>
      <c r="B128" s="469" t="str">
        <f>B45</f>
        <v>建成年代</v>
      </c>
      <c r="C128" s="485">
        <v>2002</v>
      </c>
      <c r="D128" s="485">
        <v>2005</v>
      </c>
      <c r="E128" s="485">
        <v>2017</v>
      </c>
      <c r="F128" s="485"/>
      <c r="G128" s="513"/>
      <c r="H128" s="513"/>
      <c r="I128" s="513"/>
      <c r="J128" s="513"/>
      <c r="K128" s="514"/>
      <c r="L128" s="515"/>
      <c r="M128" s="516"/>
      <c r="N128" s="879"/>
      <c r="O128" s="879"/>
      <c r="P128" s="1774"/>
      <c r="Q128" s="439"/>
    </row>
    <row r="129" spans="1:17" ht="15.75" thickBot="1">
      <c r="A129" s="367"/>
      <c r="B129" s="474"/>
      <c r="C129" s="491">
        <v>100</v>
      </c>
      <c r="D129" s="491">
        <v>100.5</v>
      </c>
      <c r="E129" s="491">
        <v>107.5</v>
      </c>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E20 I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D1" xr:uid="{00000000-0002-0000-1500-000010000000}">
      <formula1>项目类型</formula1>
    </dataValidation>
    <dataValidation type="list" allowBlank="1" showInputMessage="1" showErrorMessage="1" sqref="E9 G9 I9" xr:uid="{00000000-0002-0000-1500-000011000000}">
      <formula1>住宅用途</formula1>
    </dataValidation>
    <dataValidation type="list" allowBlank="1" showInputMessage="1" showErrorMessage="1" sqref="C22 E22 G22 I22" xr:uid="{00000000-0002-0000-1500-000012000000}">
      <formula1>基础设施水平</formula1>
    </dataValidation>
    <dataValidation type="list" allowBlank="1" showInputMessage="1" showErrorMessage="1" sqref="F1" xr:uid="{00000000-0002-0000-1500-000013000000}">
      <formula1>"售价,租金"</formula1>
    </dataValidation>
    <dataValidation type="list" allowBlank="1" showInputMessage="1" showErrorMessage="1" sqref="C2" xr:uid="{00000000-0002-0000-1500-000014000000}">
      <formula1>"需扣减承租人权益,——"</formula1>
    </dataValidation>
    <dataValidation type="list" allowBlank="1" showInputMessage="1" showErrorMessage="1" sqref="F2" xr:uid="{00000000-0002-0000-1500-000015000000}">
      <formula1>估价方法</formula1>
    </dataValidation>
    <dataValidation type="list" allowBlank="1" showInputMessage="1" showErrorMessage="1" sqref="D48" xr:uid="{00000000-0002-0000-1500-000016000000}">
      <formula1>"简单平均,加权平均"</formula1>
    </dataValidation>
    <dataValidation type="list" allowBlank="1" showInputMessage="1" showErrorMessage="1" sqref="E1" xr:uid="{00000000-0002-0000-15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-8</v>
      </c>
      <c r="C2" s="268" t="s">
        <v>1595</v>
      </c>
      <c r="D2" s="268"/>
      <c r="E2" s="2565"/>
      <c r="F2" s="2565"/>
      <c r="G2" s="2565"/>
      <c r="H2" s="2565"/>
      <c r="I2" s="2565"/>
      <c r="J2" s="2565"/>
      <c r="K2" s="2565"/>
    </row>
    <row r="3" spans="1:33" ht="18" customHeight="1" thickBot="1">
      <c r="A3" s="195" t="s">
        <v>1464</v>
      </c>
      <c r="B3" s="196">
        <f ca="1">ROUND(B2*10000/IF(C1="",'数据-汇总表'!E3,INDIRECT("'数据-取费表'!K"&amp;$K$1)),0)</f>
        <v>-213</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375.87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375.87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v>
      </c>
      <c r="D18" s="796"/>
      <c r="E18" s="21"/>
      <c r="F18" s="756"/>
      <c r="G18" s="1719"/>
      <c r="H18" s="1105"/>
      <c r="I18" s="1720" t="s">
        <v>1625</v>
      </c>
      <c r="J18" s="759"/>
      <c r="K18" s="760"/>
    </row>
    <row r="19" spans="1:33" s="755" customFormat="1" ht="13.5" customHeight="1">
      <c r="A19" s="752" t="s">
        <v>360</v>
      </c>
      <c r="B19" s="753" t="s">
        <v>1626</v>
      </c>
      <c r="C19" s="21">
        <f ca="1">ROUND(D19*E19/10000,0)</f>
        <v>6</v>
      </c>
      <c r="D19" s="796">
        <f ca="1">IF(C1="",'数据-汇总表'!E5,IF(INDIRECT("'数据-取费表'!c"&amp;$K$1)="住宅",INDIRECT("'数据-取费表'!k"&amp;$K$1),0))</f>
        <v>375.87</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2</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-8</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97" t="s">
        <v>694</v>
      </c>
      <c r="C6" s="1011">
        <f ca="1">ROUND(F6*F8*F7*(1-F9)/10000,0)</f>
        <v>0</v>
      </c>
      <c r="D6" s="147" t="s">
        <v>2107</v>
      </c>
      <c r="E6" s="294" t="s">
        <v>696</v>
      </c>
      <c r="F6" s="295">
        <f ca="1">INDIRECT("'数据-取费表'!u"&amp;$G$1)</f>
        <v>0</v>
      </c>
      <c r="G6" s="1291"/>
      <c r="H6" s="1006" t="s">
        <v>398</v>
      </c>
      <c r="I6" s="3397" t="s">
        <v>694</v>
      </c>
      <c r="J6" s="293">
        <f ca="1">ROUND(M6*M8*M7*(1-M9)/10000,0)</f>
        <v>0</v>
      </c>
      <c r="K6" s="147" t="s">
        <v>2106</v>
      </c>
      <c r="L6" s="294" t="s">
        <v>696</v>
      </c>
      <c r="M6" s="295">
        <f ca="1">INDIRECT("'数据-取费表'!z"&amp;$G$1)</f>
        <v>0</v>
      </c>
    </row>
    <row r="7" spans="1:37" ht="18" customHeight="1">
      <c r="A7" s="1010"/>
      <c r="B7" s="3398"/>
      <c r="C7" s="1012"/>
      <c r="D7" s="299"/>
      <c r="E7" s="1013" t="s">
        <v>697</v>
      </c>
      <c r="F7" s="295">
        <f ca="1">IF(INDIRECT("'数据-取费表'!ah"&amp;$G$1)="",INDIRECT("'数据-取费表'!k"&amp;$G$1),INDIRECT("'数据-取费表'!ah"&amp;$G$1))</f>
        <v>0</v>
      </c>
      <c r="G7" s="1291"/>
      <c r="H7" s="296"/>
      <c r="I7" s="3398"/>
      <c r="J7" s="298"/>
      <c r="K7" s="299"/>
      <c r="L7" s="294" t="s">
        <v>697</v>
      </c>
      <c r="M7" s="295">
        <f ca="1">F7</f>
        <v>0</v>
      </c>
    </row>
    <row r="8" spans="1:37" ht="18" customHeight="1">
      <c r="A8" s="296"/>
      <c r="B8" s="3398"/>
      <c r="C8" s="298"/>
      <c r="D8" s="299"/>
      <c r="E8" s="294" t="s">
        <v>698</v>
      </c>
      <c r="F8" s="295">
        <f ca="1">INDIRECT("'数据-取费表'!ai"&amp;$G$1)</f>
        <v>0</v>
      </c>
      <c r="G8" s="1291"/>
      <c r="H8" s="296"/>
      <c r="I8" s="3398"/>
      <c r="J8" s="298"/>
      <c r="K8" s="299"/>
      <c r="L8" s="294" t="s">
        <v>698</v>
      </c>
      <c r="M8" s="295">
        <f ca="1">INDIRECT("'数据-取费表'!ai"&amp;$G$1)</f>
        <v>0</v>
      </c>
    </row>
    <row r="9" spans="1:37" ht="18" customHeight="1">
      <c r="A9" s="296"/>
      <c r="B9" s="3399"/>
      <c r="C9" s="298"/>
      <c r="D9" s="299"/>
      <c r="E9" s="294" t="s">
        <v>699</v>
      </c>
      <c r="F9" s="304">
        <f ca="1">INDIRECT("'数据-取费表'!w"&amp;$G$1)</f>
        <v>0</v>
      </c>
      <c r="G9" s="1291"/>
      <c r="H9" s="296"/>
      <c r="I9" s="339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2115</v>
      </c>
      <c r="E10" s="305" t="s">
        <v>701</v>
      </c>
      <c r="F10" s="1053"/>
      <c r="G10" s="1291"/>
      <c r="H10" s="1006" t="s">
        <v>402</v>
      </c>
      <c r="I10" s="1273" t="s">
        <v>700</v>
      </c>
      <c r="J10" s="293">
        <f ca="1">ROUND(IF(M10="押一",J6/12*M11,IF(M10="押二",J6/12*2*M11,IF(M10="押三",J6/12*3*M11,J11*M11))),0)</f>
        <v>0</v>
      </c>
      <c r="K10" s="150" t="s">
        <v>2114</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0.03</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3333</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4.7500000000000001E-2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2304</v>
      </c>
      <c r="I31" s="1304"/>
      <c r="J31" s="1305"/>
      <c r="K31" s="121"/>
      <c r="L31" s="2469"/>
      <c r="M31" s="2470"/>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3333</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2108</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2114</v>
      </c>
      <c r="E53" s="305" t="s">
        <v>701</v>
      </c>
      <c r="F53" s="1053"/>
      <c r="I53" s="1343" t="s">
        <v>836</v>
      </c>
      <c r="J53" s="2005">
        <f ca="1">IF(M47="住宅",IF(D1="——",MAX(J51,L48),MAX(J51,L48-'数据-取费表'!B24)),IF(D1="——",MIN(J51,L48),MIN(J51,L48-'数据-取费表'!B24)))</f>
        <v>0</v>
      </c>
      <c r="K53" s="3395" t="s">
        <v>837</v>
      </c>
      <c r="L53" s="3396"/>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3333</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5:AB464"/>
  <sheetViews>
    <sheetView topLeftCell="A22" workbookViewId="0">
      <selection activeCell="A29" sqref="A29"/>
    </sheetView>
  </sheetViews>
  <sheetFormatPr defaultRowHeight="13.5"/>
  <sheetData>
    <row r="15" spans="19:19">
      <c r="S15">
        <f>25580/196.6</f>
        <v>130.11190233977621</v>
      </c>
    </row>
    <row r="29" spans="1:1">
      <c r="A29" s="3142" t="s">
        <v>3388</v>
      </c>
    </row>
    <row r="265" spans="17:28">
      <c r="Q265" s="3142" t="s">
        <v>3528</v>
      </c>
      <c r="AB265" s="3142" t="s">
        <v>3527</v>
      </c>
    </row>
    <row r="357" spans="15:15">
      <c r="O357">
        <f>58000/196.54</f>
        <v>295.10532207184292</v>
      </c>
    </row>
    <row r="427" spans="22:22">
      <c r="V427">
        <f>43710000/256.16</f>
        <v>170635.54028732041</v>
      </c>
    </row>
    <row r="464" spans="18:18">
      <c r="R464">
        <f>42761777/273.97</f>
        <v>156081.96882870386</v>
      </c>
    </row>
  </sheetData>
  <phoneticPr fontId="134" type="noConversion"/>
  <hyperlinks>
    <hyperlink ref="A29" r:id="rId1" xr:uid="{00000000-0004-0000-1800-000000000000}"/>
    <hyperlink ref="AB265" r:id="rId2" xr:uid="{00000000-0004-0000-1800-000001000000}"/>
    <hyperlink ref="Q265" r:id="rId3" xr:uid="{00000000-0004-0000-1800-000002000000}"/>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0"/>
  <sheetViews>
    <sheetView workbookViewId="0">
      <selection activeCell="A2" sqref="A2"/>
    </sheetView>
  </sheetViews>
  <sheetFormatPr defaultColWidth="8.875" defaultRowHeight="14.25"/>
  <cols>
    <col min="1" max="492" width="22.25" style="3143" customWidth="1"/>
    <col min="493" max="16384" width="8.875" style="3143"/>
  </cols>
  <sheetData>
    <row r="1" spans="1:7">
      <c r="A1" s="3143" t="s">
        <v>3398</v>
      </c>
      <c r="B1" s="3143" t="s">
        <v>3399</v>
      </c>
      <c r="C1" s="3143" t="s">
        <v>3400</v>
      </c>
      <c r="D1" s="3143" t="s">
        <v>3401</v>
      </c>
      <c r="E1" s="3143" t="s">
        <v>3402</v>
      </c>
      <c r="F1" s="3143" t="s">
        <v>3403</v>
      </c>
      <c r="G1" s="3143" t="s">
        <v>3404</v>
      </c>
    </row>
    <row r="2" spans="1:7">
      <c r="A2" s="3143" t="s">
        <v>3405</v>
      </c>
      <c r="B2" s="3143">
        <v>168</v>
      </c>
      <c r="C2" s="3143">
        <v>42241</v>
      </c>
      <c r="D2" s="3143">
        <v>61819</v>
      </c>
      <c r="E2" s="3143">
        <v>261127.75</v>
      </c>
      <c r="F2" s="3143" t="s">
        <v>633</v>
      </c>
      <c r="G2" s="3143" t="s">
        <v>633</v>
      </c>
    </row>
    <row r="3" spans="1:7">
      <c r="A3" s="3143" t="s">
        <v>3406</v>
      </c>
      <c r="B3" s="3143">
        <v>168</v>
      </c>
      <c r="C3" s="3143">
        <v>42241</v>
      </c>
      <c r="D3" s="3143">
        <v>61819</v>
      </c>
      <c r="E3" s="3143">
        <v>261127.75</v>
      </c>
      <c r="F3" s="3143" t="s">
        <v>633</v>
      </c>
      <c r="G3" s="3143" t="s">
        <v>633</v>
      </c>
    </row>
    <row r="4" spans="1:7">
      <c r="A4" s="3143" t="s">
        <v>3407</v>
      </c>
      <c r="B4" s="3143" t="s">
        <v>633</v>
      </c>
      <c r="C4" s="3143" t="s">
        <v>633</v>
      </c>
      <c r="D4" s="3143" t="s">
        <v>633</v>
      </c>
      <c r="E4" s="3143" t="s">
        <v>633</v>
      </c>
      <c r="F4" s="3143">
        <v>6</v>
      </c>
      <c r="G4" s="3143">
        <v>1792</v>
      </c>
    </row>
    <row r="5" spans="1:7">
      <c r="A5" s="3143" t="s">
        <v>3408</v>
      </c>
      <c r="B5" s="3143" t="s">
        <v>633</v>
      </c>
      <c r="C5" s="3143" t="s">
        <v>633</v>
      </c>
      <c r="D5" s="3143" t="s">
        <v>633</v>
      </c>
      <c r="E5" s="3143" t="s">
        <v>633</v>
      </c>
      <c r="F5" s="3143">
        <v>6</v>
      </c>
      <c r="G5" s="3143">
        <v>1792</v>
      </c>
    </row>
    <row r="6" spans="1:7">
      <c r="A6" s="3143" t="s">
        <v>3409</v>
      </c>
      <c r="B6" s="3143" t="s">
        <v>633</v>
      </c>
      <c r="C6" s="3143" t="s">
        <v>633</v>
      </c>
      <c r="D6" s="3143" t="s">
        <v>633</v>
      </c>
      <c r="E6" s="3143" t="s">
        <v>633</v>
      </c>
      <c r="F6" s="3143">
        <v>6</v>
      </c>
      <c r="G6" s="3143">
        <v>1792</v>
      </c>
    </row>
    <row r="7" spans="1:7">
      <c r="A7" s="3143" t="s">
        <v>3410</v>
      </c>
      <c r="B7" s="3143" t="s">
        <v>633</v>
      </c>
      <c r="C7" s="3143" t="s">
        <v>633</v>
      </c>
      <c r="D7" s="3143" t="s">
        <v>633</v>
      </c>
      <c r="E7" s="3143" t="s">
        <v>633</v>
      </c>
      <c r="F7" s="3143">
        <v>6</v>
      </c>
      <c r="G7" s="3143">
        <v>1792</v>
      </c>
    </row>
    <row r="8" spans="1:7">
      <c r="A8" s="3143" t="s">
        <v>3411</v>
      </c>
      <c r="B8" s="3143" t="s">
        <v>633</v>
      </c>
      <c r="C8" s="3143" t="s">
        <v>633</v>
      </c>
      <c r="D8" s="3143" t="s">
        <v>633</v>
      </c>
      <c r="E8" s="3143" t="s">
        <v>633</v>
      </c>
      <c r="F8" s="3143">
        <v>6</v>
      </c>
      <c r="G8" s="3143">
        <v>1792</v>
      </c>
    </row>
    <row r="9" spans="1:7">
      <c r="A9" s="3143" t="s">
        <v>3412</v>
      </c>
      <c r="B9" s="3143" t="s">
        <v>633</v>
      </c>
      <c r="C9" s="3143" t="s">
        <v>633</v>
      </c>
      <c r="D9" s="3143" t="s">
        <v>633</v>
      </c>
      <c r="E9" s="3143" t="s">
        <v>633</v>
      </c>
      <c r="F9" s="3143">
        <v>6</v>
      </c>
      <c r="G9" s="3143">
        <v>1792</v>
      </c>
    </row>
    <row r="10" spans="1:7">
      <c r="A10" s="3143" t="s">
        <v>3413</v>
      </c>
      <c r="B10" s="3143" t="s">
        <v>633</v>
      </c>
      <c r="C10" s="3143" t="s">
        <v>633</v>
      </c>
      <c r="D10" s="3143" t="s">
        <v>633</v>
      </c>
      <c r="E10" s="3143" t="s">
        <v>633</v>
      </c>
      <c r="F10" s="3143">
        <v>6</v>
      </c>
      <c r="G10" s="3143">
        <v>1792</v>
      </c>
    </row>
    <row r="11" spans="1:7">
      <c r="A11" s="3143" t="s">
        <v>3414</v>
      </c>
      <c r="B11" s="3143" t="s">
        <v>633</v>
      </c>
      <c r="C11" s="3143" t="s">
        <v>633</v>
      </c>
      <c r="D11" s="3143" t="s">
        <v>633</v>
      </c>
      <c r="E11" s="3143" t="s">
        <v>633</v>
      </c>
      <c r="F11" s="3143">
        <v>6</v>
      </c>
      <c r="G11" s="3143">
        <v>1792</v>
      </c>
    </row>
    <row r="12" spans="1:7">
      <c r="A12" s="3143" t="s">
        <v>3415</v>
      </c>
      <c r="B12" s="3143" t="s">
        <v>633</v>
      </c>
      <c r="C12" s="3143" t="s">
        <v>633</v>
      </c>
      <c r="D12" s="3143" t="s">
        <v>633</v>
      </c>
      <c r="E12" s="3143" t="s">
        <v>633</v>
      </c>
      <c r="F12" s="3143">
        <v>6</v>
      </c>
      <c r="G12" s="3143">
        <v>1792</v>
      </c>
    </row>
    <row r="13" spans="1:7">
      <c r="A13" s="3143" t="s">
        <v>3416</v>
      </c>
      <c r="B13" s="3143" t="s">
        <v>633</v>
      </c>
      <c r="C13" s="3143" t="s">
        <v>633</v>
      </c>
      <c r="D13" s="3143" t="s">
        <v>633</v>
      </c>
      <c r="E13" s="3143" t="s">
        <v>633</v>
      </c>
      <c r="F13" s="3143">
        <v>6</v>
      </c>
      <c r="G13" s="3143">
        <v>1792</v>
      </c>
    </row>
    <row r="14" spans="1:7">
      <c r="A14" s="3143" t="s">
        <v>3417</v>
      </c>
      <c r="B14" s="3143" t="s">
        <v>633</v>
      </c>
      <c r="C14" s="3143" t="s">
        <v>633</v>
      </c>
      <c r="D14" s="3143" t="s">
        <v>633</v>
      </c>
      <c r="E14" s="3143" t="s">
        <v>633</v>
      </c>
      <c r="F14" s="3143">
        <v>6</v>
      </c>
      <c r="G14" s="3143">
        <v>1792</v>
      </c>
    </row>
    <row r="15" spans="1:7">
      <c r="A15" s="3143" t="s">
        <v>3418</v>
      </c>
      <c r="B15" s="3143" t="s">
        <v>633</v>
      </c>
      <c r="C15" s="3143" t="s">
        <v>633</v>
      </c>
      <c r="D15" s="3143" t="s">
        <v>633</v>
      </c>
      <c r="E15" s="3143" t="s">
        <v>633</v>
      </c>
      <c r="F15" s="3143">
        <v>6</v>
      </c>
      <c r="G15" s="3143">
        <v>1792</v>
      </c>
    </row>
    <row r="16" spans="1:7">
      <c r="A16" s="3143" t="s">
        <v>3419</v>
      </c>
      <c r="B16" s="3143" t="s">
        <v>633</v>
      </c>
      <c r="C16" s="3143" t="s">
        <v>633</v>
      </c>
      <c r="D16" s="3143" t="s">
        <v>633</v>
      </c>
      <c r="E16" s="3143" t="s">
        <v>633</v>
      </c>
      <c r="F16" s="3143">
        <v>6</v>
      </c>
      <c r="G16" s="3143">
        <v>1792</v>
      </c>
    </row>
    <row r="17" spans="1:7">
      <c r="A17" s="3143" t="s">
        <v>3420</v>
      </c>
      <c r="B17" s="3143">
        <v>1</v>
      </c>
      <c r="C17" s="3143">
        <v>197</v>
      </c>
      <c r="D17" s="3143">
        <v>80000</v>
      </c>
      <c r="E17" s="3143">
        <v>1572.32</v>
      </c>
      <c r="F17" s="3143">
        <v>6</v>
      </c>
      <c r="G17" s="3143">
        <v>1792</v>
      </c>
    </row>
    <row r="18" spans="1:7">
      <c r="A18" s="3143" t="s">
        <v>3421</v>
      </c>
      <c r="B18" s="3143" t="s">
        <v>633</v>
      </c>
      <c r="C18" s="3143" t="s">
        <v>633</v>
      </c>
      <c r="D18" s="3143" t="s">
        <v>633</v>
      </c>
      <c r="E18" s="3143" t="s">
        <v>633</v>
      </c>
      <c r="F18" s="3143">
        <v>7</v>
      </c>
      <c r="G18" s="3143">
        <v>1988</v>
      </c>
    </row>
    <row r="19" spans="1:7">
      <c r="A19" s="3143" t="s">
        <v>3422</v>
      </c>
      <c r="B19" s="3143" t="s">
        <v>633</v>
      </c>
      <c r="C19" s="3143" t="s">
        <v>633</v>
      </c>
      <c r="D19" s="3143" t="s">
        <v>633</v>
      </c>
      <c r="E19" s="3143" t="s">
        <v>633</v>
      </c>
      <c r="F19" s="3143">
        <v>7</v>
      </c>
      <c r="G19" s="3143">
        <v>1988</v>
      </c>
    </row>
    <row r="20" spans="1:7">
      <c r="A20" s="3143" t="s">
        <v>3423</v>
      </c>
      <c r="B20" s="3143">
        <v>1</v>
      </c>
      <c r="C20" s="3143">
        <v>344</v>
      </c>
      <c r="D20" s="3143">
        <v>100000</v>
      </c>
      <c r="E20" s="3143">
        <v>3435.6</v>
      </c>
      <c r="F20" s="3143">
        <v>7</v>
      </c>
      <c r="G20" s="3143">
        <v>1988</v>
      </c>
    </row>
    <row r="21" spans="1:7">
      <c r="A21" s="3143" t="s">
        <v>3424</v>
      </c>
      <c r="B21" s="3143">
        <v>2</v>
      </c>
      <c r="C21" s="3143">
        <v>581</v>
      </c>
      <c r="D21" s="3143">
        <v>95045</v>
      </c>
      <c r="E21" s="3143">
        <v>5526.38</v>
      </c>
      <c r="F21" s="3143">
        <v>9</v>
      </c>
      <c r="G21" s="3143">
        <v>2676</v>
      </c>
    </row>
    <row r="22" spans="1:7">
      <c r="A22" s="3143" t="s">
        <v>3425</v>
      </c>
      <c r="B22" s="3143" t="s">
        <v>633</v>
      </c>
      <c r="C22" s="3143" t="s">
        <v>633</v>
      </c>
      <c r="D22" s="3143" t="s">
        <v>633</v>
      </c>
      <c r="E22" s="3143" t="s">
        <v>633</v>
      </c>
      <c r="F22" s="3143">
        <v>9</v>
      </c>
      <c r="G22" s="3143">
        <v>2676</v>
      </c>
    </row>
    <row r="23" spans="1:7">
      <c r="A23" s="3143" t="s">
        <v>3426</v>
      </c>
      <c r="B23" s="3143" t="s">
        <v>633</v>
      </c>
      <c r="C23" s="3143" t="s">
        <v>633</v>
      </c>
      <c r="D23" s="3143" t="s">
        <v>633</v>
      </c>
      <c r="E23" s="3143" t="s">
        <v>633</v>
      </c>
      <c r="F23" s="3143">
        <v>11</v>
      </c>
      <c r="G23" s="3143">
        <v>3110</v>
      </c>
    </row>
    <row r="24" spans="1:7">
      <c r="A24" s="3143" t="s">
        <v>3427</v>
      </c>
      <c r="B24" s="3143" t="s">
        <v>633</v>
      </c>
      <c r="C24" s="3143" t="s">
        <v>633</v>
      </c>
      <c r="D24" s="3143" t="s">
        <v>633</v>
      </c>
      <c r="E24" s="3143" t="s">
        <v>633</v>
      </c>
      <c r="F24" s="3143">
        <v>11</v>
      </c>
      <c r="G24" s="3143">
        <v>3110</v>
      </c>
    </row>
    <row r="25" spans="1:7">
      <c r="A25" s="3143" t="s">
        <v>3428</v>
      </c>
      <c r="B25" s="3143" t="s">
        <v>633</v>
      </c>
      <c r="C25" s="3143" t="s">
        <v>633</v>
      </c>
      <c r="D25" s="3143" t="s">
        <v>633</v>
      </c>
      <c r="E25" s="3143" t="s">
        <v>633</v>
      </c>
      <c r="F25" s="3143">
        <v>11</v>
      </c>
      <c r="G25" s="3143">
        <v>3110</v>
      </c>
    </row>
    <row r="26" spans="1:7">
      <c r="A26" s="3143" t="s">
        <v>3429</v>
      </c>
      <c r="B26" s="3143">
        <v>2</v>
      </c>
      <c r="C26" s="3143">
        <v>434</v>
      </c>
      <c r="D26" s="3143">
        <v>80000</v>
      </c>
      <c r="E26" s="3143">
        <v>3475.44</v>
      </c>
      <c r="F26" s="3143">
        <v>11</v>
      </c>
      <c r="G26" s="3143">
        <v>3110</v>
      </c>
    </row>
    <row r="27" spans="1:7">
      <c r="A27" s="3143" t="s">
        <v>3430</v>
      </c>
      <c r="B27" s="3143" t="s">
        <v>633</v>
      </c>
      <c r="C27" s="3143" t="s">
        <v>633</v>
      </c>
      <c r="D27" s="3143" t="s">
        <v>633</v>
      </c>
      <c r="E27" s="3143" t="s">
        <v>633</v>
      </c>
      <c r="F27" s="3143">
        <v>11</v>
      </c>
      <c r="G27" s="3143">
        <v>3110</v>
      </c>
    </row>
    <row r="28" spans="1:7">
      <c r="A28" s="3143" t="s">
        <v>3431</v>
      </c>
      <c r="B28" s="3143" t="s">
        <v>633</v>
      </c>
      <c r="C28" s="3143" t="s">
        <v>633</v>
      </c>
      <c r="D28" s="3143" t="s">
        <v>633</v>
      </c>
      <c r="E28" s="3143" t="s">
        <v>633</v>
      </c>
      <c r="F28" s="3143">
        <v>11</v>
      </c>
      <c r="G28" s="3143">
        <v>3110</v>
      </c>
    </row>
    <row r="29" spans="1:7">
      <c r="A29" s="3143" t="s">
        <v>3432</v>
      </c>
      <c r="B29" s="3143">
        <v>4</v>
      </c>
      <c r="C29" s="3143">
        <v>1017</v>
      </c>
      <c r="D29" s="3143">
        <v>95057</v>
      </c>
      <c r="E29" s="3143">
        <v>9663.1</v>
      </c>
      <c r="F29" s="3143">
        <v>11</v>
      </c>
      <c r="G29" s="3143">
        <v>3110</v>
      </c>
    </row>
    <row r="30" spans="1:7">
      <c r="A30" s="3143" t="s">
        <v>3433</v>
      </c>
      <c r="B30" s="3143">
        <v>3</v>
      </c>
      <c r="C30" s="3143">
        <v>728</v>
      </c>
      <c r="D30" s="3143">
        <v>82000</v>
      </c>
      <c r="E30" s="3143">
        <v>5971.73</v>
      </c>
      <c r="F30" s="3143">
        <v>15</v>
      </c>
      <c r="G30" s="3143">
        <v>4127</v>
      </c>
    </row>
    <row r="31" spans="1:7">
      <c r="A31" s="3143" t="s">
        <v>3434</v>
      </c>
      <c r="B31" s="3143">
        <v>1</v>
      </c>
      <c r="C31" s="3143">
        <v>197</v>
      </c>
      <c r="D31" s="3143">
        <v>70000</v>
      </c>
      <c r="E31" s="3143">
        <v>1376.2</v>
      </c>
      <c r="F31" s="3143" t="s">
        <v>633</v>
      </c>
      <c r="G31" s="3143" t="s">
        <v>633</v>
      </c>
    </row>
    <row r="32" spans="1:7">
      <c r="A32" s="3143" t="s">
        <v>3435</v>
      </c>
      <c r="B32" s="3143">
        <v>3</v>
      </c>
      <c r="C32" s="3143">
        <v>858</v>
      </c>
      <c r="D32" s="3143">
        <v>68433</v>
      </c>
      <c r="E32" s="3143">
        <v>5870.99</v>
      </c>
      <c r="F32" s="3143" t="s">
        <v>633</v>
      </c>
      <c r="G32" s="3143" t="s">
        <v>633</v>
      </c>
    </row>
    <row r="33" spans="1:7">
      <c r="A33" s="3143" t="s">
        <v>3436</v>
      </c>
      <c r="B33" s="3143">
        <v>15</v>
      </c>
      <c r="C33" s="3143">
        <v>3661</v>
      </c>
      <c r="D33" s="3143">
        <v>62703</v>
      </c>
      <c r="E33" s="3143">
        <v>22957.77</v>
      </c>
      <c r="F33" s="3143" t="s">
        <v>633</v>
      </c>
      <c r="G33" s="3143" t="s">
        <v>633</v>
      </c>
    </row>
    <row r="34" spans="1:7">
      <c r="A34" s="3143" t="s">
        <v>3437</v>
      </c>
      <c r="B34" s="3143">
        <v>1</v>
      </c>
      <c r="C34" s="3143">
        <v>393</v>
      </c>
      <c r="D34" s="3143">
        <v>79000</v>
      </c>
      <c r="E34" s="3143">
        <v>3103.52</v>
      </c>
      <c r="F34" s="3143" t="s">
        <v>633</v>
      </c>
      <c r="G34" s="3143" t="s">
        <v>633</v>
      </c>
    </row>
    <row r="35" spans="1:7">
      <c r="A35" s="3143" t="s">
        <v>3438</v>
      </c>
      <c r="B35" s="3143" t="s">
        <v>633</v>
      </c>
      <c r="C35" s="3143" t="s">
        <v>633</v>
      </c>
      <c r="D35" s="3143" t="s">
        <v>633</v>
      </c>
      <c r="E35" s="3143" t="s">
        <v>633</v>
      </c>
      <c r="F35" s="3143">
        <v>40</v>
      </c>
      <c r="G35" s="3143">
        <v>10489</v>
      </c>
    </row>
    <row r="36" spans="1:7">
      <c r="A36" s="3143" t="s">
        <v>3439</v>
      </c>
      <c r="B36" s="3143">
        <v>9</v>
      </c>
      <c r="C36" s="3143">
        <v>2183</v>
      </c>
      <c r="D36" s="3143">
        <v>57561</v>
      </c>
      <c r="E36" s="3143">
        <v>12564.25</v>
      </c>
      <c r="F36" s="3143">
        <v>40</v>
      </c>
      <c r="G36" s="3143">
        <v>10489</v>
      </c>
    </row>
    <row r="37" spans="1:7">
      <c r="A37" s="3143" t="s">
        <v>3440</v>
      </c>
      <c r="B37" s="3143" t="s">
        <v>633</v>
      </c>
      <c r="C37" s="3143" t="s">
        <v>633</v>
      </c>
      <c r="D37" s="3143" t="s">
        <v>633</v>
      </c>
      <c r="E37" s="3143" t="s">
        <v>633</v>
      </c>
      <c r="F37" s="3143">
        <v>49</v>
      </c>
      <c r="G37" s="3143">
        <v>12672</v>
      </c>
    </row>
    <row r="38" spans="1:7">
      <c r="A38" s="3143" t="s">
        <v>3441</v>
      </c>
      <c r="B38" s="3143">
        <v>3</v>
      </c>
      <c r="C38" s="3143">
        <v>816</v>
      </c>
      <c r="D38" s="3143">
        <v>62041</v>
      </c>
      <c r="E38" s="3143">
        <v>5061.32</v>
      </c>
      <c r="F38" s="3143">
        <v>49</v>
      </c>
      <c r="G38" s="3143">
        <v>12672</v>
      </c>
    </row>
    <row r="39" spans="1:7">
      <c r="A39" s="3143" t="s">
        <v>3442</v>
      </c>
      <c r="B39" s="3143" t="s">
        <v>633</v>
      </c>
      <c r="C39" s="3143" t="s">
        <v>633</v>
      </c>
      <c r="D39" s="3143" t="s">
        <v>633</v>
      </c>
      <c r="E39" s="3143" t="s">
        <v>633</v>
      </c>
      <c r="F39" s="3143">
        <v>52</v>
      </c>
      <c r="G39" s="3143">
        <v>13488</v>
      </c>
    </row>
    <row r="40" spans="1:7">
      <c r="A40" s="3143" t="s">
        <v>3443</v>
      </c>
      <c r="B40" s="3143" t="s">
        <v>633</v>
      </c>
      <c r="C40" s="3143" t="s">
        <v>633</v>
      </c>
      <c r="D40" s="3143" t="s">
        <v>633</v>
      </c>
      <c r="E40" s="3143" t="s">
        <v>633</v>
      </c>
      <c r="F40" s="3143">
        <v>52</v>
      </c>
      <c r="G40" s="3143">
        <v>13488</v>
      </c>
    </row>
    <row r="41" spans="1:7">
      <c r="A41" s="3143" t="s">
        <v>3444</v>
      </c>
      <c r="B41" s="3143" t="s">
        <v>633</v>
      </c>
      <c r="C41" s="3143" t="s">
        <v>633</v>
      </c>
      <c r="D41" s="3143" t="s">
        <v>633</v>
      </c>
      <c r="E41" s="3143" t="s">
        <v>633</v>
      </c>
      <c r="F41" s="3143">
        <v>52</v>
      </c>
      <c r="G41" s="3143">
        <v>13488</v>
      </c>
    </row>
    <row r="42" spans="1:7">
      <c r="A42" s="3143" t="s">
        <v>3445</v>
      </c>
      <c r="B42" s="3143" t="s">
        <v>633</v>
      </c>
      <c r="C42" s="3143" t="s">
        <v>633</v>
      </c>
      <c r="D42" s="3143" t="s">
        <v>633</v>
      </c>
      <c r="E42" s="3143" t="s">
        <v>633</v>
      </c>
      <c r="F42" s="3143">
        <v>52</v>
      </c>
      <c r="G42" s="3143">
        <v>13488</v>
      </c>
    </row>
    <row r="43" spans="1:7">
      <c r="A43" s="3143" t="s">
        <v>3446</v>
      </c>
      <c r="B43" s="3143">
        <v>14</v>
      </c>
      <c r="C43" s="3143">
        <v>3303</v>
      </c>
      <c r="D43" s="3143">
        <v>54502</v>
      </c>
      <c r="E43" s="3143">
        <v>18003.97</v>
      </c>
      <c r="F43" s="3143">
        <v>52</v>
      </c>
      <c r="G43" s="3143">
        <v>13488</v>
      </c>
    </row>
    <row r="44" spans="1:7">
      <c r="A44" s="3143" t="s">
        <v>3447</v>
      </c>
      <c r="B44" s="3143">
        <v>2</v>
      </c>
      <c r="C44" s="3143">
        <v>434</v>
      </c>
      <c r="D44" s="3143">
        <v>62379</v>
      </c>
      <c r="E44" s="3143">
        <v>2710.3</v>
      </c>
      <c r="F44" s="3143">
        <v>66</v>
      </c>
      <c r="G44" s="3143">
        <v>16791</v>
      </c>
    </row>
    <row r="45" spans="1:7">
      <c r="A45" s="3143" t="s">
        <v>3448</v>
      </c>
      <c r="B45" s="3143" t="s">
        <v>633</v>
      </c>
      <c r="C45" s="3143" t="s">
        <v>633</v>
      </c>
      <c r="D45" s="3143" t="s">
        <v>633</v>
      </c>
      <c r="E45" s="3143" t="s">
        <v>633</v>
      </c>
      <c r="F45" s="3143">
        <v>68</v>
      </c>
      <c r="G45" s="3143">
        <v>17225</v>
      </c>
    </row>
    <row r="46" spans="1:7">
      <c r="A46" s="3143" t="s">
        <v>3449</v>
      </c>
      <c r="B46" s="3143">
        <v>2</v>
      </c>
      <c r="C46" s="3143">
        <v>484</v>
      </c>
      <c r="D46" s="3143">
        <v>52970</v>
      </c>
      <c r="E46" s="3143">
        <v>2564.58</v>
      </c>
      <c r="F46" s="3143">
        <v>68</v>
      </c>
      <c r="G46" s="3143">
        <v>17225</v>
      </c>
    </row>
    <row r="47" spans="1:7">
      <c r="A47" s="3143" t="s">
        <v>3450</v>
      </c>
      <c r="B47" s="3143" t="s">
        <v>633</v>
      </c>
      <c r="C47" s="3143" t="s">
        <v>633</v>
      </c>
      <c r="D47" s="3143" t="s">
        <v>633</v>
      </c>
      <c r="E47" s="3143" t="s">
        <v>633</v>
      </c>
      <c r="F47" s="3143">
        <v>70</v>
      </c>
      <c r="G47" s="3143">
        <v>17710</v>
      </c>
    </row>
    <row r="48" spans="1:7">
      <c r="A48" s="3143" t="s">
        <v>3451</v>
      </c>
      <c r="B48" s="3143" t="s">
        <v>633</v>
      </c>
      <c r="C48" s="3143" t="s">
        <v>633</v>
      </c>
      <c r="D48" s="3143" t="s">
        <v>633</v>
      </c>
      <c r="E48" s="3143" t="s">
        <v>633</v>
      </c>
      <c r="F48" s="3143">
        <v>70</v>
      </c>
      <c r="G48" s="3143">
        <v>17710</v>
      </c>
    </row>
    <row r="49" spans="1:7">
      <c r="A49" s="3143" t="s">
        <v>3452</v>
      </c>
      <c r="B49" s="3143">
        <v>19</v>
      </c>
      <c r="C49" s="3143">
        <v>5601</v>
      </c>
      <c r="D49" s="3143">
        <v>64774</v>
      </c>
      <c r="E49" s="3143">
        <v>36282.18</v>
      </c>
      <c r="F49" s="3143">
        <v>70</v>
      </c>
      <c r="G49" s="3143">
        <v>17710</v>
      </c>
    </row>
    <row r="50" spans="1:7">
      <c r="A50" s="3143" t="s">
        <v>3453</v>
      </c>
      <c r="B50" s="3143" t="s">
        <v>633</v>
      </c>
      <c r="C50" s="3143" t="s">
        <v>633</v>
      </c>
      <c r="D50" s="3143" t="s">
        <v>633</v>
      </c>
      <c r="E50" s="3143" t="s">
        <v>633</v>
      </c>
      <c r="F50" s="3143">
        <v>89</v>
      </c>
      <c r="G50" s="3143">
        <v>23311</v>
      </c>
    </row>
    <row r="51" spans="1:7">
      <c r="A51" s="3143" t="s">
        <v>3454</v>
      </c>
      <c r="B51" s="3143">
        <v>5</v>
      </c>
      <c r="C51" s="3143">
        <v>1210</v>
      </c>
      <c r="D51" s="3143">
        <v>63366</v>
      </c>
      <c r="E51" s="3143">
        <v>7665.79</v>
      </c>
      <c r="F51" s="3143">
        <v>89</v>
      </c>
      <c r="G51" s="3143">
        <v>23311</v>
      </c>
    </row>
    <row r="52" spans="1:7">
      <c r="A52" s="3143" t="s">
        <v>3455</v>
      </c>
      <c r="B52" s="3143">
        <v>1</v>
      </c>
      <c r="C52" s="3143">
        <v>238</v>
      </c>
      <c r="D52" s="3143">
        <v>50000</v>
      </c>
      <c r="E52" s="3143">
        <v>1189.45</v>
      </c>
      <c r="F52" s="3143">
        <v>94</v>
      </c>
      <c r="G52" s="3143">
        <v>24521</v>
      </c>
    </row>
    <row r="53" spans="1:7">
      <c r="A53" s="3143" t="s">
        <v>3456</v>
      </c>
      <c r="B53" s="3143" t="s">
        <v>633</v>
      </c>
      <c r="C53" s="3143" t="s">
        <v>633</v>
      </c>
      <c r="D53" s="3143" t="s">
        <v>633</v>
      </c>
      <c r="E53" s="3143" t="s">
        <v>633</v>
      </c>
      <c r="F53" s="3143">
        <v>95</v>
      </c>
      <c r="G53" s="3143">
        <v>24759</v>
      </c>
    </row>
    <row r="54" spans="1:7">
      <c r="A54" s="3143" t="s">
        <v>3457</v>
      </c>
      <c r="B54" s="3143" t="s">
        <v>633</v>
      </c>
      <c r="C54" s="3143" t="s">
        <v>633</v>
      </c>
      <c r="D54" s="3143" t="s">
        <v>633</v>
      </c>
      <c r="E54" s="3143" t="s">
        <v>633</v>
      </c>
      <c r="F54" s="3143">
        <v>95</v>
      </c>
      <c r="G54" s="3143">
        <v>24759</v>
      </c>
    </row>
    <row r="55" spans="1:7">
      <c r="A55" s="3143" t="s">
        <v>3458</v>
      </c>
      <c r="B55" s="3143">
        <v>3</v>
      </c>
      <c r="C55" s="3143">
        <v>722</v>
      </c>
      <c r="D55" s="3143">
        <v>59776</v>
      </c>
      <c r="E55" s="3143">
        <v>4315.78</v>
      </c>
      <c r="F55" s="3143">
        <v>95</v>
      </c>
      <c r="G55" s="3143">
        <v>24759</v>
      </c>
    </row>
    <row r="56" spans="1:7">
      <c r="A56" s="3143" t="s">
        <v>3459</v>
      </c>
      <c r="B56" s="3143">
        <v>1</v>
      </c>
      <c r="C56" s="3143">
        <v>197</v>
      </c>
      <c r="D56" s="3143">
        <v>80000</v>
      </c>
      <c r="E56" s="3143">
        <v>1572.8</v>
      </c>
      <c r="F56" s="3143">
        <v>98</v>
      </c>
      <c r="G56" s="3143">
        <v>25481</v>
      </c>
    </row>
    <row r="57" spans="1:7">
      <c r="A57" s="3143" t="s">
        <v>3460</v>
      </c>
      <c r="B57" s="3143">
        <v>5</v>
      </c>
      <c r="C57" s="3143">
        <v>1488</v>
      </c>
      <c r="D57" s="3143">
        <v>73110</v>
      </c>
      <c r="E57" s="3143">
        <v>10880.88</v>
      </c>
      <c r="F57" s="3143">
        <v>99</v>
      </c>
      <c r="G57" s="3143">
        <v>25677</v>
      </c>
    </row>
    <row r="58" spans="1:7">
      <c r="A58" s="3143" t="s">
        <v>3461</v>
      </c>
      <c r="B58" s="3143">
        <v>3</v>
      </c>
      <c r="C58" s="3143">
        <v>825</v>
      </c>
      <c r="D58" s="3143">
        <v>62960</v>
      </c>
      <c r="E58" s="3143">
        <v>5193.32</v>
      </c>
      <c r="F58" s="3143">
        <v>104</v>
      </c>
      <c r="G58" s="3143">
        <v>27165</v>
      </c>
    </row>
    <row r="59" spans="1:7">
      <c r="A59" s="3143" t="s">
        <v>3462</v>
      </c>
      <c r="B59" s="3143" t="s">
        <v>633</v>
      </c>
      <c r="C59" s="3143" t="s">
        <v>633</v>
      </c>
      <c r="D59" s="3143" t="s">
        <v>633</v>
      </c>
      <c r="E59" s="3143" t="s">
        <v>633</v>
      </c>
      <c r="F59" s="3143">
        <v>107</v>
      </c>
      <c r="G59" s="3143">
        <v>27990</v>
      </c>
    </row>
    <row r="60" spans="1:7">
      <c r="A60" s="3143" t="s">
        <v>3463</v>
      </c>
      <c r="B60" s="3143">
        <v>2</v>
      </c>
      <c r="C60" s="3143">
        <v>393</v>
      </c>
      <c r="D60" s="3143">
        <v>55000</v>
      </c>
      <c r="E60" s="3143">
        <v>2162.6</v>
      </c>
      <c r="F60" s="3143">
        <v>107</v>
      </c>
      <c r="G60" s="3143">
        <v>27990</v>
      </c>
    </row>
    <row r="61" spans="1:7">
      <c r="A61" s="3143" t="s">
        <v>3464</v>
      </c>
      <c r="B61" s="3143">
        <v>4</v>
      </c>
      <c r="C61" s="3143">
        <v>1012</v>
      </c>
      <c r="D61" s="3143">
        <v>60298</v>
      </c>
      <c r="E61" s="3143">
        <v>6104.24</v>
      </c>
      <c r="F61" s="3143">
        <v>109</v>
      </c>
      <c r="G61" s="3143">
        <v>28383</v>
      </c>
    </row>
    <row r="62" spans="1:7">
      <c r="A62" s="3143" t="s">
        <v>3465</v>
      </c>
      <c r="B62" s="3143" t="s">
        <v>633</v>
      </c>
      <c r="C62" s="3143" t="s">
        <v>633</v>
      </c>
      <c r="D62" s="3143" t="s">
        <v>633</v>
      </c>
      <c r="E62" s="3143" t="s">
        <v>633</v>
      </c>
      <c r="F62" s="3143">
        <v>113</v>
      </c>
      <c r="G62" s="3143">
        <v>29396</v>
      </c>
    </row>
    <row r="63" spans="1:7">
      <c r="A63" s="3143" t="s">
        <v>3466</v>
      </c>
      <c r="B63" s="3143">
        <v>3</v>
      </c>
      <c r="C63" s="3143">
        <v>825</v>
      </c>
      <c r="D63" s="3143">
        <v>64080</v>
      </c>
      <c r="E63" s="3143">
        <v>5285.7</v>
      </c>
      <c r="F63" s="3143">
        <v>113</v>
      </c>
      <c r="G63" s="3143">
        <v>29396</v>
      </c>
    </row>
    <row r="64" spans="1:7">
      <c r="A64" s="3143" t="s">
        <v>3467</v>
      </c>
      <c r="B64" s="3143">
        <v>2</v>
      </c>
      <c r="C64" s="3143">
        <v>578</v>
      </c>
      <c r="D64" s="3143">
        <v>68796</v>
      </c>
      <c r="E64" s="3143">
        <v>3975.78</v>
      </c>
      <c r="F64" s="3143">
        <v>116</v>
      </c>
      <c r="G64" s="3143">
        <v>30221</v>
      </c>
    </row>
    <row r="65" spans="1:7">
      <c r="A65" s="3143" t="s">
        <v>3468</v>
      </c>
      <c r="B65" s="3143" t="s">
        <v>633</v>
      </c>
      <c r="C65" s="3143" t="s">
        <v>633</v>
      </c>
      <c r="D65" s="3143" t="s">
        <v>633</v>
      </c>
      <c r="E65" s="3143" t="s">
        <v>633</v>
      </c>
      <c r="F65" s="3143">
        <v>117</v>
      </c>
      <c r="G65" s="3143">
        <v>30511</v>
      </c>
    </row>
    <row r="66" spans="1:7">
      <c r="A66" s="3143" t="s">
        <v>3469</v>
      </c>
      <c r="B66" s="3143">
        <v>9</v>
      </c>
      <c r="C66" s="3143">
        <v>2225</v>
      </c>
      <c r="D66" s="3143">
        <v>53080</v>
      </c>
      <c r="E66" s="3143">
        <v>11809.27</v>
      </c>
      <c r="F66" s="3143">
        <v>117</v>
      </c>
      <c r="G66" s="3143">
        <v>30511</v>
      </c>
    </row>
    <row r="67" spans="1:7">
      <c r="A67" s="3143" t="s">
        <v>3470</v>
      </c>
      <c r="B67" s="3143">
        <v>3</v>
      </c>
      <c r="C67" s="3143">
        <v>684</v>
      </c>
      <c r="D67" s="3143">
        <v>50000</v>
      </c>
      <c r="E67" s="3143">
        <v>3417.75</v>
      </c>
      <c r="F67" s="3143">
        <v>126</v>
      </c>
      <c r="G67" s="3143">
        <v>32736</v>
      </c>
    </row>
    <row r="68" spans="1:7">
      <c r="A68" s="3143" t="s">
        <v>3471</v>
      </c>
      <c r="B68" s="3143">
        <v>6</v>
      </c>
      <c r="C68" s="3143">
        <v>1448</v>
      </c>
      <c r="D68" s="3143">
        <v>49157</v>
      </c>
      <c r="E68" s="3143">
        <v>7118.92</v>
      </c>
      <c r="F68" s="3143">
        <v>129</v>
      </c>
      <c r="G68" s="3143">
        <v>33419</v>
      </c>
    </row>
    <row r="69" spans="1:7">
      <c r="A69" s="3143" t="s">
        <v>3472</v>
      </c>
      <c r="B69" s="3143">
        <v>39</v>
      </c>
      <c r="C69" s="3143">
        <v>9165</v>
      </c>
      <c r="D69" s="3143">
        <v>54879</v>
      </c>
      <c r="E69" s="3143">
        <v>50295.82</v>
      </c>
      <c r="F69" s="3143">
        <v>135</v>
      </c>
      <c r="G69" s="3143">
        <v>34868</v>
      </c>
    </row>
    <row r="70" spans="1:7">
      <c r="A70" s="3143" t="s">
        <v>3473</v>
      </c>
      <c r="B70" s="3143" t="s">
        <v>633</v>
      </c>
      <c r="C70" s="3143" t="s">
        <v>633</v>
      </c>
      <c r="D70" s="3143" t="s">
        <v>633</v>
      </c>
      <c r="E70" s="3143" t="s">
        <v>633</v>
      </c>
      <c r="F70" s="3143">
        <v>174</v>
      </c>
      <c r="G70" s="3143">
        <v>44033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3392</v>
      </c>
      <c r="D1" s="1270" t="s">
        <v>43</v>
      </c>
      <c r="E1" s="1271" t="s">
        <v>678</v>
      </c>
      <c r="F1" s="999">
        <f ca="1">J53</f>
        <v>45.53</v>
      </c>
      <c r="G1" s="1285">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f ca="1">ROUND(D2/10000,4)</f>
        <v>2667.7177999999999</v>
      </c>
      <c r="C2" s="1288" t="s">
        <v>879</v>
      </c>
      <c r="D2" s="1374">
        <f ca="1">C40+J29+L46</f>
        <v>26677178</v>
      </c>
      <c r="E2" s="1294" t="s">
        <v>880</v>
      </c>
      <c r="F2" s="1295"/>
      <c r="G2" s="2476"/>
      <c r="H2" s="2466"/>
      <c r="I2" s="2466"/>
      <c r="J2" s="2466"/>
      <c r="K2" s="2467"/>
      <c r="L2" s="2466"/>
      <c r="M2" s="2466"/>
    </row>
    <row r="3" spans="1:37" ht="18" customHeight="1" thickBot="1">
      <c r="A3" s="1296" t="s">
        <v>881</v>
      </c>
      <c r="B3" s="1297">
        <f ca="1">IF(ISERROR(D2/F43),0,ROUND(D2/F43,0))</f>
        <v>70974</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1056762</v>
      </c>
      <c r="D5" s="1272" t="s">
        <v>889</v>
      </c>
      <c r="E5" s="1008"/>
      <c r="F5" s="1009"/>
      <c r="G5" s="1291"/>
      <c r="H5" s="291">
        <v>1</v>
      </c>
      <c r="I5" s="292" t="s">
        <v>888</v>
      </c>
      <c r="J5" s="1007">
        <f ca="1">J6+J10+J12</f>
        <v>0</v>
      </c>
      <c r="K5" s="1272" t="s">
        <v>889</v>
      </c>
      <c r="L5" s="1008"/>
      <c r="M5" s="1009"/>
    </row>
    <row r="6" spans="1:37" ht="18" customHeight="1">
      <c r="A6" s="1006" t="s">
        <v>398</v>
      </c>
      <c r="B6" s="3397" t="s">
        <v>694</v>
      </c>
      <c r="C6" s="1011">
        <f ca="1">ROUND(F6*F8*F7*(1-F9),0)</f>
        <v>1055443</v>
      </c>
      <c r="D6" s="147" t="s">
        <v>2104</v>
      </c>
      <c r="E6" s="294" t="s">
        <v>696</v>
      </c>
      <c r="F6" s="295">
        <f ca="1">INDIRECT("'数据-取费表'!u"&amp;$G$1)</f>
        <v>260</v>
      </c>
      <c r="G6" s="1291"/>
      <c r="H6" s="1006" t="s">
        <v>398</v>
      </c>
      <c r="I6" s="3397" t="s">
        <v>694</v>
      </c>
      <c r="J6" s="293">
        <f ca="1">ROUND(M6*M8*M7*(1-M9),0)</f>
        <v>0</v>
      </c>
      <c r="K6" s="1283" t="s">
        <v>2105</v>
      </c>
      <c r="L6" s="294" t="s">
        <v>696</v>
      </c>
      <c r="M6" s="295">
        <f ca="1">INDIRECT("'数据-取费表'!z"&amp;$G$1)</f>
        <v>0</v>
      </c>
    </row>
    <row r="7" spans="1:37" ht="18" customHeight="1">
      <c r="A7" s="1010"/>
      <c r="B7" s="3398"/>
      <c r="C7" s="1012"/>
      <c r="D7" s="299"/>
      <c r="E7" s="1013" t="s">
        <v>697</v>
      </c>
      <c r="F7" s="295">
        <f ca="1">IF(INDIRECT("'数据-取费表'!ah"&amp;$G$1)="",INDIRECT("'数据-取费表'!k"&amp;$G$1),INDIRECT("'数据-取费表'!ah"&amp;$G$1))</f>
        <v>375.87</v>
      </c>
      <c r="G7" s="1291"/>
      <c r="H7" s="296"/>
      <c r="I7" s="3398"/>
      <c r="J7" s="298"/>
      <c r="K7" s="299"/>
      <c r="L7" s="294" t="s">
        <v>697</v>
      </c>
      <c r="M7" s="295">
        <f ca="1">F7</f>
        <v>375.87</v>
      </c>
    </row>
    <row r="8" spans="1:37" ht="18" customHeight="1">
      <c r="A8" s="296"/>
      <c r="B8" s="3398"/>
      <c r="C8" s="298"/>
      <c r="D8" s="299"/>
      <c r="E8" s="294" t="s">
        <v>698</v>
      </c>
      <c r="F8" s="295">
        <f ca="1">INDIRECT("'数据-取费表'!ai"&amp;$G$1)</f>
        <v>12</v>
      </c>
      <c r="G8" s="1291"/>
      <c r="H8" s="296"/>
      <c r="I8" s="3398"/>
      <c r="J8" s="298"/>
      <c r="K8" s="299"/>
      <c r="L8" s="294" t="s">
        <v>698</v>
      </c>
      <c r="M8" s="295">
        <f ca="1">INDIRECT("'数据-取费表'!ai"&amp;$G$1)</f>
        <v>12</v>
      </c>
    </row>
    <row r="9" spans="1:37" ht="18" customHeight="1">
      <c r="A9" s="296"/>
      <c r="B9" s="3399"/>
      <c r="C9" s="298"/>
      <c r="D9" s="299"/>
      <c r="E9" s="294" t="s">
        <v>699</v>
      </c>
      <c r="F9" s="304">
        <f ca="1">INDIRECT("'数据-取费表'!w"&amp;$G$1)</f>
        <v>0.1</v>
      </c>
      <c r="G9" s="1291"/>
      <c r="H9" s="296"/>
      <c r="I9" s="3399"/>
      <c r="J9" s="298"/>
      <c r="K9" s="299"/>
      <c r="L9" s="305" t="s">
        <v>699</v>
      </c>
      <c r="M9" s="306">
        <f ca="1">INDIRECT("'数据-取费表'!ab"&amp;$G$1)</f>
        <v>0</v>
      </c>
    </row>
    <row r="10" spans="1:37" ht="18" customHeight="1">
      <c r="A10" s="1006" t="s">
        <v>402</v>
      </c>
      <c r="B10" s="1273" t="s">
        <v>700</v>
      </c>
      <c r="C10" s="308">
        <f ca="1">ROUND(IF(F10="押一",C6/12*F11,IF(F10="押二",C6/12*2*F11,IF(F10="押三",C6/12*3*F11,C11*F11))),0)</f>
        <v>1319</v>
      </c>
      <c r="D10" s="150" t="s">
        <v>2114</v>
      </c>
      <c r="E10" s="305" t="s">
        <v>701</v>
      </c>
      <c r="F10" s="1053" t="s">
        <v>3486</v>
      </c>
      <c r="G10" s="1291"/>
      <c r="H10" s="1006" t="s">
        <v>402</v>
      </c>
      <c r="I10" s="1273" t="s">
        <v>700</v>
      </c>
      <c r="J10" s="293">
        <f ca="1">ROUND(IF(M10="押一",J6/12*M11,IF(M10="押二",J6/12*2*M11,IF(M10="押三",J6/12*3*M11,J11*M11))),0)</f>
        <v>0</v>
      </c>
      <c r="K10" s="1284" t="s">
        <v>2116</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12076092</v>
      </c>
      <c r="D13" s="1018" t="s">
        <v>705</v>
      </c>
      <c r="E13" s="1018" t="s">
        <v>706</v>
      </c>
      <c r="F13" s="1019">
        <f ca="1">INDIRECT("'数据-取费表'!y"&amp;$G$1)</f>
        <v>0.88</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7517400</v>
      </c>
      <c r="D14" s="1256" t="s">
        <v>708</v>
      </c>
      <c r="E14" s="1254"/>
      <c r="F14" s="311"/>
      <c r="G14" s="1291"/>
      <c r="H14" s="928" t="s">
        <v>398</v>
      </c>
      <c r="I14" s="294" t="s">
        <v>709</v>
      </c>
      <c r="J14" s="21">
        <f ca="1">C29</f>
        <v>13722832</v>
      </c>
      <c r="K14" s="12"/>
      <c r="L14" s="759"/>
      <c r="M14" s="760"/>
    </row>
    <row r="15" spans="1:37" s="1303" customFormat="1" ht="18" customHeight="1" thickBot="1">
      <c r="A15" s="928" t="s">
        <v>399</v>
      </c>
      <c r="B15" s="294" t="s">
        <v>710</v>
      </c>
      <c r="C15" s="21">
        <f ca="1">ROUND(C14*F15,0)</f>
        <v>751740</v>
      </c>
      <c r="D15" s="312" t="s">
        <v>711</v>
      </c>
      <c r="E15" s="312" t="s">
        <v>712</v>
      </c>
      <c r="F15" s="313">
        <f>'数据-取费表'!B33</f>
        <v>0.1</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751740</v>
      </c>
      <c r="D16" s="294" t="s">
        <v>711</v>
      </c>
      <c r="E16" s="294" t="s">
        <v>712</v>
      </c>
      <c r="F16" s="314">
        <f ca="1">IF(INDIRECT("'数据-取费表'!c"&amp;$G$1)="住宅",'数据-取费表'!B34,0)</f>
        <v>0.1</v>
      </c>
      <c r="G16" s="1291"/>
      <c r="H16" s="1016" t="s">
        <v>393</v>
      </c>
      <c r="I16" s="1017" t="s">
        <v>714</v>
      </c>
      <c r="J16" s="302">
        <f ca="1">ROUND(J17+J22+J23+J24,0)</f>
        <v>27446</v>
      </c>
      <c r="K16" s="1024" t="s">
        <v>715</v>
      </c>
      <c r="L16" s="1025"/>
      <c r="M16" s="1009"/>
    </row>
    <row r="17" spans="1:37" s="1303" customFormat="1" ht="18" customHeight="1">
      <c r="A17" s="928" t="s">
        <v>681</v>
      </c>
      <c r="B17" s="294" t="s">
        <v>716</v>
      </c>
      <c r="C17" s="21">
        <f ca="1">ROUND(F17*(F43+INDIRECT("'数据-取费表'!S"&amp;$G$1)),0)</f>
        <v>75174</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225522</v>
      </c>
      <c r="D18" s="294" t="s">
        <v>711</v>
      </c>
      <c r="E18" s="294" t="s">
        <v>712</v>
      </c>
      <c r="F18" s="314">
        <f>'数据-取费表'!B36</f>
        <v>0.03</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9321576</v>
      </c>
      <c r="D19" s="123" t="s">
        <v>726</v>
      </c>
      <c r="E19" s="1268"/>
      <c r="F19" s="23"/>
      <c r="G19" s="1291"/>
      <c r="H19" s="928" t="s">
        <v>399</v>
      </c>
      <c r="I19" s="294" t="s">
        <v>727</v>
      </c>
      <c r="J19" s="21">
        <f ca="1">IF(K19="按租金收入计税",ROUND(J6*M19/(1+'数据-取费表'!C42),0),ROUND(C29*M19*0.7,0))</f>
        <v>0</v>
      </c>
      <c r="K19" s="1277" t="s">
        <v>3333</v>
      </c>
      <c r="L19" s="294" t="s">
        <v>712</v>
      </c>
      <c r="M19" s="314">
        <f>IF(K19="按租金收入计税",'数据-取费表'!B51,'数据-取费表'!B50)</f>
        <v>0.12</v>
      </c>
    </row>
    <row r="20" spans="1:37" s="1303" customFormat="1" ht="18" customHeight="1">
      <c r="A20" s="928" t="s">
        <v>402</v>
      </c>
      <c r="B20" s="294" t="s">
        <v>728</v>
      </c>
      <c r="C20" s="21">
        <f ca="1">ROUND(C19*F20,0)</f>
        <v>279647</v>
      </c>
      <c r="D20" s="315" t="s">
        <v>729</v>
      </c>
      <c r="E20" s="294" t="s">
        <v>712</v>
      </c>
      <c r="F20" s="314">
        <f>'数据-取费表'!B37</f>
        <v>0.03</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27446</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456058</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4.7500000000000001E-2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-27446</v>
      </c>
      <c r="K25" s="1032" t="s">
        <v>753</v>
      </c>
      <c r="L25" s="1033"/>
      <c r="M25" s="1034"/>
    </row>
    <row r="26" spans="1:37" ht="18" customHeight="1">
      <c r="A26" s="928" t="s">
        <v>397</v>
      </c>
      <c r="B26" s="294" t="s">
        <v>754</v>
      </c>
      <c r="C26" s="21">
        <f ca="1">ROUND((C19+C20)*F26,0)</f>
        <v>2400306</v>
      </c>
      <c r="D26" s="315" t="s">
        <v>755</v>
      </c>
      <c r="E26" s="305" t="s">
        <v>756</v>
      </c>
      <c r="F26" s="304">
        <f ca="1">INDIRECT("'数据-取费表'!q"&amp;$G$1)</f>
        <v>0.25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7.4999999999999997E-3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13722832</v>
      </c>
      <c r="D29" s="1029"/>
      <c r="E29" s="1027"/>
      <c r="F29" s="1030"/>
      <c r="G29" s="1302"/>
      <c r="H29" s="325" t="s">
        <v>396</v>
      </c>
      <c r="I29" s="326" t="s">
        <v>768</v>
      </c>
      <c r="J29" s="327">
        <f ca="1">ROUND(J26/(1+F40)^F41,0)</f>
        <v>0</v>
      </c>
      <c r="K29" s="328" t="s">
        <v>769</v>
      </c>
      <c r="L29" s="329"/>
      <c r="M29" s="330">
        <f ca="1">INDIRECT("'数据-取费表'!k"&amp;$G$1)</f>
        <v>375.87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227002</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ROUND(IF(AND(项目基本情况!B11="自然人",项目基本情况!B10="北京市"),C6*F31/(1+'数据-取费表'!C42),C32+C33+C34),0)</f>
        <v>176912</v>
      </c>
      <c r="D31" s="1256" t="s">
        <v>720</v>
      </c>
      <c r="E31" s="1255" t="s">
        <v>770</v>
      </c>
      <c r="F31" s="2138" t="str">
        <f>IF(项目基本情况!B11="企业","——",IF(M47="住宅",IF(F6*F7*F8/12/(1+'数据-取费表'!F30)&gt;100000,4%,2.5%),IF(F6*F7*F8/12/(1+'数据-取费表'!F30)&gt;100000,12%,7%)))</f>
        <v>——</v>
      </c>
      <c r="G31" s="1291"/>
      <c r="H31" s="2567" t="s">
        <v>2304</v>
      </c>
      <c r="I31" s="1304"/>
      <c r="J31" s="1305"/>
      <c r="K31" s="121"/>
      <c r="L31" s="2469"/>
      <c r="M31" s="2470"/>
    </row>
    <row r="32" spans="1:37" ht="18" customHeight="1">
      <c r="A32" s="928" t="s">
        <v>397</v>
      </c>
      <c r="B32" s="294" t="s">
        <v>723</v>
      </c>
      <c r="C32" s="21">
        <f ca="1">IF(项目基本情况!B11="自然人","——",ROUND(C6*F32/(1+'数据-取费表'!C42),0))</f>
        <v>56290</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120622</v>
      </c>
      <c r="D33" s="1277" t="s">
        <v>3333</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IF(项目基本情况!B11="自然人","——",ROUND(F34*F35,0))</f>
        <v>0</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27446</v>
      </c>
      <c r="D36" s="1255" t="s">
        <v>771</v>
      </c>
      <c r="E36" s="294" t="s">
        <v>712</v>
      </c>
      <c r="F36" s="320">
        <f ca="1">INDIRECT("'数据-取费表'!Ak"&amp;$G$1)</f>
        <v>2E-3</v>
      </c>
      <c r="G36" s="1291"/>
      <c r="H36" s="2471"/>
      <c r="I36" s="1304"/>
      <c r="J36" s="1305"/>
      <c r="K36" s="2328"/>
      <c r="L36" s="2471"/>
      <c r="M36" s="2471"/>
    </row>
    <row r="37" spans="1:18" ht="18" customHeight="1">
      <c r="A37" s="928" t="s">
        <v>437</v>
      </c>
      <c r="B37" s="294" t="s">
        <v>742</v>
      </c>
      <c r="C37" s="21">
        <f ca="1">ROUND(C13*F37,0)</f>
        <v>12076</v>
      </c>
      <c r="D37" s="1255" t="s">
        <v>743</v>
      </c>
      <c r="E37" s="294" t="s">
        <v>744</v>
      </c>
      <c r="F37" s="321">
        <f ca="1">INDIRECT("'数据-取费表'!Al"&amp;$G$1)</f>
        <v>1E-3</v>
      </c>
      <c r="G37" s="1291"/>
      <c r="H37" s="2471"/>
      <c r="I37" s="1304"/>
      <c r="J37" s="1305"/>
      <c r="K37" s="2328"/>
      <c r="L37" s="2471"/>
      <c r="M37" s="2471"/>
    </row>
    <row r="38" spans="1:18" ht="18" customHeight="1" thickBot="1">
      <c r="A38" s="1026" t="s">
        <v>684</v>
      </c>
      <c r="B38" s="1027" t="s">
        <v>728</v>
      </c>
      <c r="C38" s="1028">
        <f ca="1">ROUND(C5*F38,0)</f>
        <v>10568</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829760</v>
      </c>
      <c r="D39" s="1032" t="s">
        <v>773</v>
      </c>
      <c r="E39" s="1033"/>
      <c r="F39" s="1034"/>
      <c r="G39" s="1291"/>
      <c r="H39" s="2471"/>
      <c r="I39" s="1304"/>
      <c r="J39" s="1305"/>
      <c r="K39" s="2469"/>
      <c r="L39" s="2471"/>
      <c r="M39" s="2471"/>
    </row>
    <row r="40" spans="1:18" ht="18" customHeight="1">
      <c r="A40" s="291" t="s">
        <v>395</v>
      </c>
      <c r="B40" s="292" t="s">
        <v>774</v>
      </c>
      <c r="C40" s="293">
        <f ca="1">ROUND(C39*(1-((1+F42)/(1+F40))^F41)/(F40-F42),0)</f>
        <v>26677178</v>
      </c>
      <c r="D40" s="316" t="s">
        <v>758</v>
      </c>
      <c r="E40" s="294" t="s">
        <v>759</v>
      </c>
      <c r="F40" s="304">
        <f ca="1">INDIRECT("'数据-取费表'!I"&amp;$G$1)</f>
        <v>4.4999999999999998E-2</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45.53</v>
      </c>
      <c r="G41" s="1291"/>
      <c r="H41" s="121"/>
      <c r="I41" s="1304"/>
      <c r="J41" s="1305"/>
      <c r="K41" s="2328"/>
      <c r="L41" s="121"/>
      <c r="M41" s="121"/>
    </row>
    <row r="42" spans="1:18" ht="18" customHeight="1">
      <c r="A42" s="300"/>
      <c r="B42" s="301"/>
      <c r="C42" s="302"/>
      <c r="D42" s="319"/>
      <c r="E42" s="294" t="s">
        <v>766</v>
      </c>
      <c r="F42" s="304">
        <f ca="1">INDIRECT("'数据-取费表'!v"&amp;$G$1)</f>
        <v>0.03</v>
      </c>
      <c r="G42" s="1291"/>
      <c r="H42" s="121"/>
      <c r="I42" s="1304"/>
      <c r="J42" s="1305"/>
      <c r="K42" s="2328"/>
      <c r="L42" s="121"/>
      <c r="M42" s="121"/>
    </row>
    <row r="43" spans="1:18" ht="18" customHeight="1" thickBot="1">
      <c r="A43" s="325" t="s">
        <v>396</v>
      </c>
      <c r="B43" s="326" t="s">
        <v>776</v>
      </c>
      <c r="C43" s="327">
        <f ca="1">ROUND(C40/F43,0)</f>
        <v>70974</v>
      </c>
      <c r="D43" s="328" t="s">
        <v>777</v>
      </c>
      <c r="E43" s="329" t="s">
        <v>778</v>
      </c>
      <c r="F43" s="330">
        <f ca="1">INDIRECT("'数据-取费表'!k"&amp;$G$1)</f>
        <v>375.87</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3349</v>
      </c>
      <c r="B45" s="1306"/>
      <c r="C45" s="1375">
        <f ca="1">ROUND((C68-C40)/10000,4)</f>
        <v>-2743.7069000000001</v>
      </c>
      <c r="D45" s="3128" t="s">
        <v>3350</v>
      </c>
      <c r="E45" s="1306"/>
      <c r="F45" s="1306"/>
      <c r="O45" s="1309" t="s">
        <v>808</v>
      </c>
      <c r="P45" s="1365"/>
      <c r="Q45" s="1365"/>
      <c r="R45" s="1365"/>
    </row>
    <row r="46" spans="1:18" s="1291" customFormat="1" ht="13.5" thickBot="1">
      <c r="A46" s="1310" t="s">
        <v>809</v>
      </c>
      <c r="C46" s="1311">
        <f ca="1">ROUND(C45,0)</f>
        <v>-2744</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3487</v>
      </c>
      <c r="K47" s="1322" t="s">
        <v>816</v>
      </c>
      <c r="L47" s="1323">
        <f ca="1">INDIRECT("'数据-取费表'!d"&amp;$G$1)</f>
        <v>70</v>
      </c>
      <c r="M47" s="1287" t="str">
        <f>IF(ISNUMBER(FIND("住宅",C1)),"住宅","非住宅")</f>
        <v>住宅</v>
      </c>
      <c r="O47" s="1324" t="s">
        <v>403</v>
      </c>
      <c r="P47" s="1325" t="s">
        <v>817</v>
      </c>
      <c r="Q47" s="1326">
        <f ca="1">C40+J29</f>
        <v>26677178</v>
      </c>
      <c r="R47" s="1326" t="s">
        <v>818</v>
      </c>
    </row>
    <row r="48" spans="1:18" s="1291" customFormat="1" ht="28.5" thickBot="1">
      <c r="A48" s="1047" t="s">
        <v>438</v>
      </c>
      <c r="B48" s="292" t="s">
        <v>692</v>
      </c>
      <c r="C48" s="1267">
        <f ca="1">C49+C53+C55</f>
        <v>0</v>
      </c>
      <c r="D48" s="1049"/>
      <c r="E48" s="1050"/>
      <c r="F48" s="908"/>
      <c r="G48" s="681"/>
      <c r="H48" s="682"/>
      <c r="I48" s="1327" t="s">
        <v>819</v>
      </c>
      <c r="J48" s="1328" t="s">
        <v>3488</v>
      </c>
      <c r="K48" s="1329" t="s">
        <v>820</v>
      </c>
      <c r="L48" s="1330">
        <f ca="1">INDIRECT("'数据-取费表'!f"&amp;$G$1)</f>
        <v>45.53</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2002</v>
      </c>
      <c r="K49" s="1329" t="s">
        <v>824</v>
      </c>
      <c r="L49" s="1332"/>
      <c r="O49" s="1333" t="s">
        <v>405</v>
      </c>
      <c r="P49" s="1325" t="s">
        <v>825</v>
      </c>
      <c r="Q49" s="1326">
        <f ca="1">C29</f>
        <v>13722832</v>
      </c>
      <c r="R49" s="1326" t="s">
        <v>818</v>
      </c>
    </row>
    <row r="50" spans="1:18" s="1291" customFormat="1" ht="13.5" thickBot="1">
      <c r="A50" s="922"/>
      <c r="B50" s="925"/>
      <c r="C50" s="926"/>
      <c r="D50" s="899"/>
      <c r="E50" s="993" t="s">
        <v>697</v>
      </c>
      <c r="F50" s="994">
        <f ca="1">F7</f>
        <v>375.87</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38</v>
      </c>
      <c r="K51" s="1338" t="s">
        <v>830</v>
      </c>
      <c r="L51" s="1339">
        <f ca="1">ROUND(-PV(INDIRECT("'数据-取费表'!h"&amp;$G$1),J51,(C39-C13*C76),0),0)</f>
        <v>16070679</v>
      </c>
      <c r="M51" s="1340"/>
      <c r="O51" s="1333" t="s">
        <v>407</v>
      </c>
      <c r="P51" s="1325" t="s">
        <v>831</v>
      </c>
      <c r="Q51" s="1336">
        <f>J52</f>
        <v>0.05</v>
      </c>
      <c r="R51" s="1326"/>
    </row>
    <row r="52" spans="1:18" s="1291" customFormat="1" ht="13.5" thickBot="1">
      <c r="A52" s="923"/>
      <c r="B52" s="925"/>
      <c r="C52" s="926"/>
      <c r="D52" s="899"/>
      <c r="E52" s="927" t="s">
        <v>699</v>
      </c>
      <c r="F52" s="991"/>
      <c r="I52" s="1341" t="s">
        <v>832</v>
      </c>
      <c r="J52" s="1342">
        <v>0.05</v>
      </c>
      <c r="K52" s="1341" t="s">
        <v>833</v>
      </c>
      <c r="L52" s="1342"/>
      <c r="O52" s="1333" t="s">
        <v>408</v>
      </c>
      <c r="P52" s="1325" t="s">
        <v>834</v>
      </c>
      <c r="Q52" s="1326">
        <f ca="1">J53</f>
        <v>45.53</v>
      </c>
      <c r="R52" s="1326" t="s">
        <v>835</v>
      </c>
    </row>
    <row r="53" spans="1:18" s="1291" customFormat="1" ht="30.75" customHeight="1" thickBot="1">
      <c r="A53" s="1048" t="s">
        <v>440</v>
      </c>
      <c r="B53" s="315" t="s">
        <v>700</v>
      </c>
      <c r="C53" s="308">
        <f ca="1">ROUND(IF(F53="押一",C49/12*F11,IF(F53="押二",C49/12*2*F11,IF(F53="押三",C49/12*3*F11,C54*F11))),0)</f>
        <v>0</v>
      </c>
      <c r="D53" s="150" t="s">
        <v>2117</v>
      </c>
      <c r="E53" s="305" t="s">
        <v>701</v>
      </c>
      <c r="F53" s="1053"/>
      <c r="I53" s="1343" t="s">
        <v>836</v>
      </c>
      <c r="J53" s="2005">
        <f ca="1">IF(M47="住宅",IF(D1="——",MAX(J51,L48),MAX(J51,L48-'数据-取费表'!B24)),IF(D1="——",MIN(J51,L48),MIN(J51,L48-'数据-取费表'!B24)))</f>
        <v>45.53</v>
      </c>
      <c r="K53" s="3395" t="s">
        <v>837</v>
      </c>
      <c r="L53" s="3396"/>
      <c r="O53" s="1324" t="s">
        <v>409</v>
      </c>
      <c r="P53" s="1325" t="s">
        <v>838</v>
      </c>
      <c r="Q53" s="1326">
        <f ca="1">Q47+Q48</f>
        <v>26677178</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12076092</v>
      </c>
      <c r="D56" s="1351"/>
      <c r="E56" s="1352"/>
      <c r="F56" s="1344"/>
      <c r="I56" s="1353" t="s">
        <v>842</v>
      </c>
      <c r="J56" s="1354" t="s">
        <v>3391</v>
      </c>
      <c r="K56" s="1327" t="s">
        <v>843</v>
      </c>
      <c r="L56" s="1330">
        <f ca="1">IF(L48&lt;J51,"——",L48-J51)</f>
        <v>7.5300000000000011</v>
      </c>
      <c r="O56" s="1324" t="s">
        <v>403</v>
      </c>
      <c r="P56" s="1325" t="s">
        <v>817</v>
      </c>
      <c r="Q56" s="1326">
        <f ca="1">C40+J29</f>
        <v>26677178</v>
      </c>
      <c r="R56" s="1326" t="s">
        <v>818</v>
      </c>
    </row>
    <row r="57" spans="1:18" s="1291" customFormat="1" ht="24.75" thickBot="1">
      <c r="A57" s="1355"/>
      <c r="B57" s="896" t="s">
        <v>767</v>
      </c>
      <c r="C57" s="230">
        <f ca="1">C29</f>
        <v>13722832</v>
      </c>
      <c r="D57" s="1356"/>
      <c r="E57" s="1357"/>
      <c r="F57" s="1358"/>
      <c r="I57" s="1359" t="s">
        <v>844</v>
      </c>
      <c r="J57" s="1360" t="str">
        <f ca="1">IF(OR(M47="住宅",J51&lt;L48,J56="是"),"——",J51-L48)</f>
        <v>——</v>
      </c>
      <c r="K57" s="1327" t="s">
        <v>892</v>
      </c>
      <c r="L57" s="1330">
        <f ca="1">IF(L48&lt;J51,"——",IF(L55="比较法",L49,IF(L55="基准地价",L50,L51)))</f>
        <v>16070679</v>
      </c>
      <c r="O57" s="1324" t="s">
        <v>404</v>
      </c>
      <c r="P57" s="1325" t="s">
        <v>893</v>
      </c>
      <c r="Q57" s="1326">
        <f ca="1">L60</f>
        <v>0</v>
      </c>
      <c r="R57" s="1326" t="s">
        <v>894</v>
      </c>
    </row>
    <row r="58" spans="1:18" s="1291" customFormat="1" ht="24.75" thickBot="1">
      <c r="A58" s="307" t="s">
        <v>393</v>
      </c>
      <c r="B58" s="904" t="s">
        <v>714</v>
      </c>
      <c r="C58" s="308">
        <f ca="1">ROUND(C59+C64+C65+C66,0)</f>
        <v>39522</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3333</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0</v>
      </c>
      <c r="I62" s="1366" t="s">
        <v>858</v>
      </c>
      <c r="J62" s="610" t="s">
        <v>859</v>
      </c>
      <c r="K62" s="610" t="s">
        <v>860</v>
      </c>
      <c r="L62" s="610" t="s">
        <v>861</v>
      </c>
      <c r="M62" s="1367" t="s">
        <v>862</v>
      </c>
      <c r="O62" s="1324" t="s">
        <v>409</v>
      </c>
      <c r="P62" s="1325" t="s">
        <v>863</v>
      </c>
      <c r="Q62" s="1326">
        <f ca="1">Q56+Q57</f>
        <v>26677178</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27446</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12076</v>
      </c>
      <c r="D65" s="910" t="s">
        <v>743</v>
      </c>
      <c r="E65" s="896" t="s">
        <v>744</v>
      </c>
      <c r="F65" s="321">
        <f t="shared" ca="1" si="0"/>
        <v>1E-3</v>
      </c>
      <c r="I65" s="1366" t="s">
        <v>867</v>
      </c>
      <c r="J65" s="610">
        <v>40</v>
      </c>
      <c r="K65" s="610">
        <v>30</v>
      </c>
      <c r="L65" s="610">
        <v>50</v>
      </c>
      <c r="M65" s="1368">
        <v>0.02</v>
      </c>
      <c r="O65" s="1324" t="s">
        <v>403</v>
      </c>
      <c r="P65" s="1325" t="s">
        <v>868</v>
      </c>
      <c r="Q65" s="1326">
        <f ca="1">C40+J29</f>
        <v>26677178</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-39522</v>
      </c>
      <c r="D67" s="909" t="s">
        <v>753</v>
      </c>
      <c r="E67" s="914"/>
      <c r="F67" s="915"/>
      <c r="O67" s="1333" t="s">
        <v>405</v>
      </c>
      <c r="P67" s="1325" t="s">
        <v>850</v>
      </c>
      <c r="Q67" s="1369">
        <f ca="1">L51</f>
        <v>16070679</v>
      </c>
      <c r="R67" s="1326" t="s">
        <v>870</v>
      </c>
    </row>
    <row r="68" spans="1:18" s="1291" customFormat="1" ht="16.5" thickBot="1">
      <c r="A68" s="893" t="s">
        <v>395</v>
      </c>
      <c r="B68" s="894" t="s">
        <v>774</v>
      </c>
      <c r="C68" s="293">
        <f ca="1">ROUND(C67*(1-((1+F70)/(1+F68))^F69)/(F68-F70),0)</f>
        <v>-759891</v>
      </c>
      <c r="D68" s="911" t="s">
        <v>758</v>
      </c>
      <c r="E68" s="896" t="s">
        <v>759</v>
      </c>
      <c r="F68" s="304">
        <f ca="1">F40</f>
        <v>4.4999999999999998E-2</v>
      </c>
      <c r="O68" s="1333" t="s">
        <v>406</v>
      </c>
      <c r="P68" s="1370" t="s">
        <v>871</v>
      </c>
      <c r="Q68" s="1326">
        <f ca="1">ROUND(Q69-Q70*Q71,0)</f>
        <v>829760</v>
      </c>
      <c r="R68" s="1326" t="s">
        <v>414</v>
      </c>
    </row>
    <row r="69" spans="1:18" s="1291" customFormat="1" ht="13.5" thickBot="1">
      <c r="A69" s="897"/>
      <c r="B69" s="898"/>
      <c r="C69" s="298"/>
      <c r="D69" s="916" t="s">
        <v>762</v>
      </c>
      <c r="E69" s="896" t="s">
        <v>763</v>
      </c>
      <c r="F69" s="324">
        <f ca="1">F41</f>
        <v>45.53</v>
      </c>
      <c r="O69" s="1333" t="s">
        <v>411</v>
      </c>
      <c r="P69" s="1370" t="s">
        <v>872</v>
      </c>
      <c r="Q69" s="1326">
        <f ca="1">C39</f>
        <v>829760</v>
      </c>
      <c r="R69" s="1326" t="s">
        <v>818</v>
      </c>
    </row>
    <row r="70" spans="1:18" s="1291" customFormat="1" ht="13.5" thickBot="1">
      <c r="A70" s="900"/>
      <c r="B70" s="901"/>
      <c r="C70" s="302"/>
      <c r="D70" s="912"/>
      <c r="E70" s="896" t="s">
        <v>766</v>
      </c>
      <c r="F70" s="991"/>
      <c r="O70" s="1333" t="s">
        <v>412</v>
      </c>
      <c r="P70" s="1370" t="s">
        <v>873</v>
      </c>
      <c r="Q70" s="1326">
        <f ca="1">C13</f>
        <v>12076092</v>
      </c>
      <c r="R70" s="1326" t="s">
        <v>818</v>
      </c>
    </row>
    <row r="71" spans="1:18" s="1291" customFormat="1" ht="13.5" thickBot="1">
      <c r="A71" s="917" t="s">
        <v>396</v>
      </c>
      <c r="B71" s="918" t="s">
        <v>776</v>
      </c>
      <c r="C71" s="327">
        <f ca="1">ROUND(C68/F71,0)</f>
        <v>-2022</v>
      </c>
      <c r="D71" s="919" t="s">
        <v>777</v>
      </c>
      <c r="E71" s="920" t="s">
        <v>778</v>
      </c>
      <c r="F71" s="330">
        <f ca="1">F43</f>
        <v>375.87</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f ca="1">Q65+Q66</f>
        <v>26677178</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0.54699999999999993</v>
      </c>
    </row>
    <row r="83" spans="2:3">
      <c r="B83" s="265" t="s">
        <v>803</v>
      </c>
      <c r="C83" s="266">
        <f ca="1">ROUND(C13/C40,3)</f>
        <v>0.45300000000000001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15" customHeight="1">
      <c r="A2" s="1292" t="s">
        <v>2312</v>
      </c>
      <c r="B2" s="2592" t="e">
        <f>IF(D2="——",C40,C40+E2)</f>
        <v>#DIV/0!</v>
      </c>
      <c r="C2" s="2593" t="s">
        <v>2313</v>
      </c>
      <c r="D2" s="3136" t="s">
        <v>3356</v>
      </c>
      <c r="E2" s="3137"/>
      <c r="F2" s="2595"/>
      <c r="G2" s="2596"/>
      <c r="H2" s="2597"/>
      <c r="I2" s="2598"/>
      <c r="J2" s="3400" t="s">
        <v>2314</v>
      </c>
      <c r="K2" s="3401"/>
      <c r="L2" s="2599" t="s">
        <v>2315</v>
      </c>
      <c r="M2" s="2599" t="s">
        <v>2316</v>
      </c>
      <c r="N2" s="2599" t="s">
        <v>2317</v>
      </c>
      <c r="O2" s="2599" t="s">
        <v>2318</v>
      </c>
      <c r="P2" s="2599" t="s">
        <v>2319</v>
      </c>
      <c r="Q2" s="2600" t="s">
        <v>2320</v>
      </c>
      <c r="R2" s="2601" t="s">
        <v>2321</v>
      </c>
      <c r="S2" s="2590"/>
      <c r="T2" s="2590"/>
      <c r="U2" s="2590"/>
      <c r="V2" s="2598"/>
    </row>
    <row r="3" spans="1:22" s="2602" customFormat="1" ht="13.15" customHeight="1">
      <c r="A3" s="2603" t="s">
        <v>2322</v>
      </c>
      <c r="B3" s="2604" t="e">
        <f>ROUND(B2*10000/B4,0)</f>
        <v>#DIV/0!</v>
      </c>
      <c r="C3" s="2593" t="s">
        <v>2323</v>
      </c>
      <c r="D3" s="2593"/>
      <c r="E3" s="2594"/>
      <c r="F3" s="2595"/>
      <c r="G3" s="2596"/>
      <c r="H3" s="2597"/>
      <c r="I3" s="2598"/>
      <c r="J3" s="3402" t="s">
        <v>2324</v>
      </c>
      <c r="K3" s="3403"/>
      <c r="L3" s="2605"/>
      <c r="M3" s="2605"/>
      <c r="N3" s="2605"/>
      <c r="O3" s="2605"/>
      <c r="P3" s="2605"/>
      <c r="Q3" s="2606"/>
      <c r="R3" s="2607">
        <f>SUM(L3:Q3)</f>
        <v>0</v>
      </c>
      <c r="S3" s="2590"/>
      <c r="T3" s="2590"/>
      <c r="U3" s="2590"/>
      <c r="V3" s="2598"/>
    </row>
    <row r="4" spans="1:22" s="2602" customFormat="1" ht="13.15" customHeight="1">
      <c r="A4" s="2608" t="s">
        <v>2325</v>
      </c>
      <c r="B4" s="2609"/>
      <c r="C4" s="2593"/>
      <c r="D4" s="2593"/>
      <c r="E4" s="2594"/>
      <c r="F4" s="2595"/>
      <c r="G4" s="2596"/>
      <c r="H4" s="2597"/>
      <c r="I4" s="2598"/>
      <c r="J4" s="3402" t="s">
        <v>2326</v>
      </c>
      <c r="K4" s="3403"/>
      <c r="L4" s="2610"/>
      <c r="M4" s="2610"/>
      <c r="N4" s="2610"/>
      <c r="O4" s="2610"/>
      <c r="P4" s="2610"/>
      <c r="Q4" s="2611"/>
      <c r="R4" s="2612">
        <f>SUM(L4:Q4)</f>
        <v>0</v>
      </c>
      <c r="S4" s="2590"/>
      <c r="T4" s="2590"/>
      <c r="U4" s="2590"/>
      <c r="V4" s="2598"/>
    </row>
    <row r="5" spans="1:22" s="2602" customFormat="1" ht="13.1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15" customHeight="1" thickBot="1">
      <c r="A6" s="3404" t="s">
        <v>2330</v>
      </c>
      <c r="B6" s="3405"/>
      <c r="C6" s="3406"/>
      <c r="D6" s="2619"/>
      <c r="E6" s="2620"/>
      <c r="F6" s="2621"/>
      <c r="G6" s="2622"/>
      <c r="H6" s="2597"/>
      <c r="I6" s="2598"/>
      <c r="J6" s="3407">
        <v>1</v>
      </c>
      <c r="K6" s="3408"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15" customHeight="1">
      <c r="A7" s="2625" t="s">
        <v>2340</v>
      </c>
      <c r="B7" s="2626"/>
      <c r="C7" s="2627"/>
      <c r="D7" s="2628">
        <f>SUM(D9,D10,D11,D17,0)</f>
        <v>0</v>
      </c>
      <c r="E7" s="2629" t="e">
        <f>E9+E10+E11+E17</f>
        <v>#DIV/0!</v>
      </c>
      <c r="F7" s="2630"/>
      <c r="G7" s="2631"/>
      <c r="H7" s="2597"/>
      <c r="I7" s="2598"/>
      <c r="J7" s="3407"/>
      <c r="K7" s="3409"/>
      <c r="L7" s="2632" t="s">
        <v>2341</v>
      </c>
      <c r="M7" s="2633"/>
      <c r="N7" s="2609"/>
      <c r="O7" s="2634"/>
      <c r="P7" s="2634"/>
      <c r="Q7" s="2635">
        <v>365</v>
      </c>
      <c r="R7" s="2636">
        <f>ROUND(M7*N7*O7*P7*Q7/10000,0)</f>
        <v>0</v>
      </c>
      <c r="S7" s="2590"/>
      <c r="T7" s="2590" t="s">
        <v>2342</v>
      </c>
      <c r="U7" s="2590"/>
      <c r="V7" s="2598"/>
    </row>
    <row r="8" spans="1:22" s="2602" customFormat="1" ht="13.15" customHeight="1">
      <c r="A8" s="2637" t="s">
        <v>2343</v>
      </c>
      <c r="B8" s="3411" t="s">
        <v>2344</v>
      </c>
      <c r="C8" s="3412"/>
      <c r="D8" s="2638" t="s">
        <v>2345</v>
      </c>
      <c r="E8" s="2639" t="s">
        <v>2346</v>
      </c>
      <c r="F8" s="2640" t="s">
        <v>2347</v>
      </c>
      <c r="G8" s="2641"/>
      <c r="H8" s="2597"/>
      <c r="I8" s="2598"/>
      <c r="J8" s="3407"/>
      <c r="K8" s="3409"/>
      <c r="L8" s="2632" t="s">
        <v>2348</v>
      </c>
      <c r="M8" s="2633"/>
      <c r="N8" s="2609"/>
      <c r="O8" s="2634"/>
      <c r="P8" s="2634"/>
      <c r="Q8" s="2635">
        <v>365</v>
      </c>
      <c r="R8" s="2636">
        <f t="shared" ref="R8:R13" si="0">ROUND(M8*N8*O8*P8*Q8/10000,0)</f>
        <v>0</v>
      </c>
      <c r="S8" s="2590"/>
      <c r="T8" s="2590" t="s">
        <v>2349</v>
      </c>
      <c r="U8" s="2590"/>
      <c r="V8" s="2598"/>
    </row>
    <row r="9" spans="1:22" s="2602" customFormat="1" ht="13.15" customHeight="1">
      <c r="A9" s="2637">
        <v>1</v>
      </c>
      <c r="B9" s="3411" t="s">
        <v>2350</v>
      </c>
      <c r="C9" s="3412"/>
      <c r="D9" s="2638">
        <f>ROUND(D6*E9,0)</f>
        <v>0</v>
      </c>
      <c r="E9" s="2642"/>
      <c r="F9" s="2643" t="s">
        <v>2351</v>
      </c>
      <c r="G9" s="2622"/>
      <c r="H9" s="2597"/>
      <c r="I9" s="2598"/>
      <c r="J9" s="3407"/>
      <c r="K9" s="3409"/>
      <c r="L9" s="2632" t="s">
        <v>2352</v>
      </c>
      <c r="M9" s="2633"/>
      <c r="N9" s="2609"/>
      <c r="O9" s="2634"/>
      <c r="P9" s="2634"/>
      <c r="Q9" s="2635">
        <v>365</v>
      </c>
      <c r="R9" s="2636">
        <f t="shared" si="0"/>
        <v>0</v>
      </c>
      <c r="S9" s="2590"/>
      <c r="T9" s="2590"/>
      <c r="U9" s="2590"/>
      <c r="V9" s="2598"/>
    </row>
    <row r="10" spans="1:22" s="2602" customFormat="1" ht="13.15" customHeight="1">
      <c r="A10" s="2637">
        <v>2</v>
      </c>
      <c r="B10" s="3411" t="s">
        <v>2353</v>
      </c>
      <c r="C10" s="3412"/>
      <c r="D10" s="2638">
        <f>ROUND(D6*E10,0)</f>
        <v>0</v>
      </c>
      <c r="E10" s="2642"/>
      <c r="F10" s="2643" t="s">
        <v>2354</v>
      </c>
      <c r="G10" s="2622"/>
      <c r="H10" s="2597"/>
      <c r="I10" s="2598"/>
      <c r="J10" s="3407"/>
      <c r="K10" s="3409"/>
      <c r="L10" s="2632" t="s">
        <v>2355</v>
      </c>
      <c r="M10" s="2633"/>
      <c r="N10" s="2609"/>
      <c r="O10" s="2634"/>
      <c r="P10" s="2634"/>
      <c r="Q10" s="2635">
        <v>365</v>
      </c>
      <c r="R10" s="2636">
        <f t="shared" si="0"/>
        <v>0</v>
      </c>
      <c r="S10" s="2590"/>
      <c r="T10" s="2590"/>
      <c r="U10" s="2590"/>
      <c r="V10" s="2598"/>
    </row>
    <row r="11" spans="1:22" s="2602" customFormat="1" ht="13.15" customHeight="1">
      <c r="A11" s="2637">
        <v>3</v>
      </c>
      <c r="B11" s="3411" t="s">
        <v>2356</v>
      </c>
      <c r="C11" s="3412"/>
      <c r="D11" s="2638">
        <f>D12+D14+D15+D16</f>
        <v>0</v>
      </c>
      <c r="E11" s="2644" t="e">
        <f>D11/D6</f>
        <v>#DIV/0!</v>
      </c>
      <c r="F11" s="2640"/>
      <c r="G11" s="2641"/>
      <c r="H11" s="2597"/>
      <c r="I11" s="2598"/>
      <c r="J11" s="3407"/>
      <c r="K11" s="3409"/>
      <c r="L11" s="2632" t="s">
        <v>2357</v>
      </c>
      <c r="M11" s="2633"/>
      <c r="N11" s="2609"/>
      <c r="O11" s="2634"/>
      <c r="P11" s="2634"/>
      <c r="Q11" s="2635">
        <v>365</v>
      </c>
      <c r="R11" s="2636">
        <f t="shared" si="0"/>
        <v>0</v>
      </c>
      <c r="S11" s="2590"/>
      <c r="T11" s="2590"/>
      <c r="U11" s="2590"/>
      <c r="V11" s="2598"/>
    </row>
    <row r="12" spans="1:22" s="2602" customFormat="1" ht="13.15" customHeight="1">
      <c r="A12" s="2645" t="s">
        <v>2358</v>
      </c>
      <c r="B12" s="3413" t="s">
        <v>2359</v>
      </c>
      <c r="C12" s="3414"/>
      <c r="D12" s="2646">
        <f>ROUND(D13*1.2%*(1-30%),0)</f>
        <v>0</v>
      </c>
      <c r="E12" s="2647">
        <v>1.2E-2</v>
      </c>
      <c r="F12" s="2640" t="s">
        <v>2360</v>
      </c>
      <c r="G12" s="2641"/>
      <c r="H12" s="2597"/>
      <c r="I12" s="2598"/>
      <c r="J12" s="3407"/>
      <c r="K12" s="3409"/>
      <c r="L12" s="2632" t="s">
        <v>2361</v>
      </c>
      <c r="M12" s="2633"/>
      <c r="N12" s="2609"/>
      <c r="O12" s="2634"/>
      <c r="P12" s="2634"/>
      <c r="Q12" s="2635">
        <v>365</v>
      </c>
      <c r="R12" s="2636">
        <f t="shared" si="0"/>
        <v>0</v>
      </c>
      <c r="S12" s="2590"/>
      <c r="T12" s="2590"/>
      <c r="U12" s="2590"/>
      <c r="V12" s="2598"/>
    </row>
    <row r="13" spans="1:22" s="2602" customFormat="1" ht="13.15" customHeight="1">
      <c r="A13" s="2645"/>
      <c r="B13" s="2648"/>
      <c r="C13" s="2649" t="s">
        <v>2362</v>
      </c>
      <c r="D13" s="2650"/>
      <c r="E13" s="2651"/>
      <c r="F13" s="2640"/>
      <c r="G13" s="2641"/>
      <c r="H13" s="2597"/>
      <c r="I13" s="2598"/>
      <c r="J13" s="3407"/>
      <c r="K13" s="3409"/>
      <c r="L13" s="2632" t="s">
        <v>2363</v>
      </c>
      <c r="M13" s="2633"/>
      <c r="N13" s="2609"/>
      <c r="O13" s="2634"/>
      <c r="P13" s="2634"/>
      <c r="Q13" s="2635">
        <v>365</v>
      </c>
      <c r="R13" s="2636">
        <f t="shared" si="0"/>
        <v>0</v>
      </c>
      <c r="S13" s="2590"/>
      <c r="T13" s="2590"/>
      <c r="U13" s="2590"/>
      <c r="V13" s="2598"/>
    </row>
    <row r="14" spans="1:22" s="2602" customFormat="1" ht="13.15" customHeight="1">
      <c r="A14" s="2645" t="s">
        <v>2364</v>
      </c>
      <c r="B14" s="3413" t="s">
        <v>2365</v>
      </c>
      <c r="C14" s="3414"/>
      <c r="D14" s="2646">
        <f>ROUND(E14*B5/10000,0)</f>
        <v>0</v>
      </c>
      <c r="E14" s="2635"/>
      <c r="F14" s="2640" t="s">
        <v>2366</v>
      </c>
      <c r="G14" s="2641"/>
      <c r="H14" s="2597"/>
      <c r="I14" s="2598"/>
      <c r="J14" s="3407"/>
      <c r="K14" s="3410"/>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2368</v>
      </c>
      <c r="B15" s="3413" t="s">
        <v>2369</v>
      </c>
      <c r="C15" s="3414"/>
      <c r="D15" s="2646">
        <f>ROUND(D6*E15,0)</f>
        <v>0</v>
      </c>
      <c r="E15" s="2647">
        <v>5.5E-2</v>
      </c>
      <c r="F15" s="2640" t="s">
        <v>2370</v>
      </c>
      <c r="G15" s="2622"/>
      <c r="H15" s="2597"/>
      <c r="I15" s="2598"/>
      <c r="J15" s="3407">
        <v>2</v>
      </c>
      <c r="K15" s="3408"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15" customHeight="1">
      <c r="A16" s="2645" t="s">
        <v>2377</v>
      </c>
      <c r="B16" s="3413" t="s">
        <v>2378</v>
      </c>
      <c r="C16" s="3414"/>
      <c r="D16" s="2657">
        <f>D6*E16</f>
        <v>0</v>
      </c>
      <c r="E16" s="2658"/>
      <c r="F16" s="2643" t="s">
        <v>2379</v>
      </c>
      <c r="G16" s="2622"/>
      <c r="H16" s="2597"/>
      <c r="I16" s="2598"/>
      <c r="J16" s="3407"/>
      <c r="K16" s="3409"/>
      <c r="L16" s="2632" t="s">
        <v>2380</v>
      </c>
      <c r="M16" s="2633"/>
      <c r="N16" s="2633"/>
      <c r="O16" s="2634"/>
      <c r="P16" s="2635">
        <v>365</v>
      </c>
      <c r="Q16" s="2609"/>
      <c r="R16" s="2656">
        <f>ROUND(M16*N16*O16*P16/10000,0)</f>
        <v>0</v>
      </c>
      <c r="S16" s="2590"/>
      <c r="T16" s="2590"/>
      <c r="U16" s="2590"/>
      <c r="V16" s="2598"/>
    </row>
    <row r="17" spans="1:22" s="2602" customFormat="1" ht="13.15" customHeight="1" thickBot="1">
      <c r="A17" s="2659">
        <v>4</v>
      </c>
      <c r="B17" s="3415" t="s">
        <v>2381</v>
      </c>
      <c r="C17" s="3416"/>
      <c r="D17" s="2660">
        <f>ROUND(D6*E17,0)</f>
        <v>0</v>
      </c>
      <c r="E17" s="2661"/>
      <c r="F17" s="2662" t="s">
        <v>2382</v>
      </c>
      <c r="G17" s="2622"/>
      <c r="H17" s="2597"/>
      <c r="I17" s="2598"/>
      <c r="J17" s="3407"/>
      <c r="K17" s="3409"/>
      <c r="L17" s="2632" t="s">
        <v>2383</v>
      </c>
      <c r="M17" s="2633"/>
      <c r="N17" s="2633"/>
      <c r="O17" s="2634"/>
      <c r="P17" s="2635">
        <v>365</v>
      </c>
      <c r="Q17" s="2609"/>
      <c r="R17" s="2656">
        <f>ROUND(M17*N17*O17*P17/10000,0)</f>
        <v>0</v>
      </c>
      <c r="S17" s="2590"/>
      <c r="T17" s="2590"/>
      <c r="U17" s="2590"/>
      <c r="V17" s="2598"/>
    </row>
    <row r="18" spans="1:22" s="2602" customFormat="1" ht="13.15" customHeight="1" thickBot="1">
      <c r="A18" s="2625" t="s">
        <v>2384</v>
      </c>
      <c r="B18" s="2626"/>
      <c r="C18" s="2626"/>
      <c r="D18" s="2663">
        <f>ROUND(D6*E18,0)</f>
        <v>0</v>
      </c>
      <c r="E18" s="2664"/>
      <c r="F18" s="2665" t="s">
        <v>2385</v>
      </c>
      <c r="G18" s="2622"/>
      <c r="H18" s="2597"/>
      <c r="I18" s="2598"/>
      <c r="J18" s="3407"/>
      <c r="K18" s="3409"/>
      <c r="L18" s="2632" t="s">
        <v>2386</v>
      </c>
      <c r="M18" s="2633"/>
      <c r="N18" s="2633"/>
      <c r="O18" s="2634"/>
      <c r="P18" s="2635">
        <v>365</v>
      </c>
      <c r="Q18" s="2609"/>
      <c r="R18" s="2656">
        <f>ROUND(M18*N18*O18*P18/10000,0)</f>
        <v>0</v>
      </c>
      <c r="S18" s="2590"/>
      <c r="T18" s="2590"/>
      <c r="U18" s="2590"/>
      <c r="V18" s="2598"/>
    </row>
    <row r="19" spans="1:22" s="2602" customFormat="1" ht="13.15" customHeight="1" thickBot="1">
      <c r="A19" s="2666" t="s">
        <v>2387</v>
      </c>
      <c r="B19" s="2620"/>
      <c r="C19" s="2620"/>
      <c r="D19" s="2620"/>
      <c r="E19" s="2620"/>
      <c r="F19" s="2621"/>
      <c r="G19" s="2641"/>
      <c r="H19" s="2597"/>
      <c r="I19" s="2598"/>
      <c r="J19" s="3407"/>
      <c r="K19" s="3410"/>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7">
        <v>3</v>
      </c>
      <c r="K20" s="3408"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15" customHeight="1">
      <c r="A21" s="2625"/>
      <c r="B21" s="2626"/>
      <c r="C21" s="2671" t="s">
        <v>2396</v>
      </c>
      <c r="D21" s="2672" t="s">
        <v>2397</v>
      </c>
      <c r="E21" s="2673" t="s">
        <v>2398</v>
      </c>
      <c r="F21" s="2669"/>
      <c r="G21" s="2641"/>
      <c r="H21" s="2597"/>
      <c r="I21" s="2598"/>
      <c r="J21" s="3407"/>
      <c r="K21" s="3409"/>
      <c r="L21" s="2632" t="s">
        <v>2399</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2400</v>
      </c>
      <c r="D22" s="2676" t="s">
        <v>2401</v>
      </c>
      <c r="E22" s="2677" t="s">
        <v>2402</v>
      </c>
      <c r="F22" s="2669"/>
      <c r="G22" s="2590"/>
      <c r="H22" s="2597"/>
      <c r="I22" s="2598"/>
      <c r="J22" s="3407"/>
      <c r="K22" s="3409"/>
      <c r="L22" s="2632" t="s">
        <v>2403</v>
      </c>
      <c r="M22" s="2633"/>
      <c r="N22" s="2633"/>
      <c r="O22" s="2634"/>
      <c r="P22" s="2635">
        <v>365</v>
      </c>
      <c r="Q22" s="2609"/>
      <c r="R22" s="2674">
        <f>ROUND(M22*N22*O22*P22/10000,0)</f>
        <v>0</v>
      </c>
      <c r="S22" s="2590"/>
      <c r="T22" s="2590"/>
      <c r="U22" s="2590"/>
      <c r="V22" s="2598"/>
    </row>
    <row r="23" spans="1:22" s="2602" customFormat="1" ht="13.15" customHeight="1">
      <c r="A23" s="2678">
        <v>1</v>
      </c>
      <c r="B23" s="2679" t="s">
        <v>2404</v>
      </c>
      <c r="C23" s="2680">
        <f>D6</f>
        <v>0</v>
      </c>
      <c r="D23" s="2681">
        <f>C23*(1+D24)</f>
        <v>0</v>
      </c>
      <c r="E23" s="2682">
        <f>D23*(1+E24)</f>
        <v>0</v>
      </c>
      <c r="F23" s="2683"/>
      <c r="G23" s="2684"/>
      <c r="H23" s="2597"/>
      <c r="I23" s="2598"/>
      <c r="J23" s="3407"/>
      <c r="K23" s="3409"/>
      <c r="L23" s="2632" t="s">
        <v>2405</v>
      </c>
      <c r="M23" s="2633"/>
      <c r="N23" s="2633"/>
      <c r="O23" s="2634"/>
      <c r="P23" s="2635">
        <v>365</v>
      </c>
      <c r="Q23" s="2609"/>
      <c r="R23" s="2674">
        <f>ROUND(M23*N23*O23*P23/10000,0)</f>
        <v>0</v>
      </c>
      <c r="S23" s="2590"/>
      <c r="T23" s="2590"/>
      <c r="U23" s="2590"/>
      <c r="V23" s="2598"/>
    </row>
    <row r="24" spans="1:22" s="2602" customFormat="1" ht="13.15" customHeight="1">
      <c r="A24" s="2685"/>
      <c r="B24" s="2686" t="s">
        <v>2406</v>
      </c>
      <c r="C24" s="2687"/>
      <c r="D24" s="2688"/>
      <c r="E24" s="2689"/>
      <c r="F24" s="2690"/>
      <c r="G24" s="2684"/>
      <c r="H24" s="2597"/>
      <c r="I24" s="2598"/>
      <c r="J24" s="3407"/>
      <c r="K24" s="3410"/>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15" customHeight="1">
      <c r="A26" s="2678">
        <v>2</v>
      </c>
      <c r="B26" s="2679" t="s">
        <v>2408</v>
      </c>
      <c r="C26" s="2680">
        <f>D7</f>
        <v>0</v>
      </c>
      <c r="D26" s="2681">
        <f>D23*D27</f>
        <v>0</v>
      </c>
      <c r="E26" s="2682">
        <f>E23*E27</f>
        <v>0</v>
      </c>
      <c r="F26" s="2683"/>
      <c r="G26" s="2684"/>
      <c r="H26" s="2597"/>
      <c r="I26" s="2598"/>
      <c r="J26" s="3417">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15" customHeight="1">
      <c r="A27" s="2685"/>
      <c r="B27" s="2686" t="s">
        <v>2414</v>
      </c>
      <c r="C27" s="2703" t="e">
        <f>E7</f>
        <v>#DIV/0!</v>
      </c>
      <c r="D27" s="2688"/>
      <c r="E27" s="2689"/>
      <c r="F27" s="2690"/>
      <c r="G27" s="2684"/>
      <c r="H27" s="2704"/>
      <c r="I27" s="2696"/>
      <c r="J27" s="341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1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15" customHeight="1">
      <c r="A32" s="2678">
        <v>4</v>
      </c>
      <c r="B32" s="2679" t="s">
        <v>2422</v>
      </c>
      <c r="C32" s="2680">
        <f>C23-C26-C29</f>
        <v>0</v>
      </c>
      <c r="D32" s="2681">
        <f>D23-D26-D29</f>
        <v>0</v>
      </c>
      <c r="E32" s="2682">
        <f>E23-E26-E29</f>
        <v>0</v>
      </c>
      <c r="F32" s="2683"/>
      <c r="G32" s="2590"/>
      <c r="H32" s="2597"/>
      <c r="I32" s="2598"/>
      <c r="J32" s="3400" t="s">
        <v>2314</v>
      </c>
      <c r="K32" s="3401"/>
      <c r="L32" s="2599" t="s">
        <v>2315</v>
      </c>
      <c r="M32" s="2599" t="s">
        <v>2316</v>
      </c>
      <c r="N32" s="2599" t="s">
        <v>2317</v>
      </c>
      <c r="O32" s="2599" t="s">
        <v>2318</v>
      </c>
      <c r="P32" s="2599" t="s">
        <v>2319</v>
      </c>
      <c r="Q32" s="2600" t="s">
        <v>2320</v>
      </c>
      <c r="R32" s="2719" t="s">
        <v>2321</v>
      </c>
      <c r="S32" s="2590"/>
      <c r="T32" s="2590"/>
      <c r="U32" s="2590"/>
      <c r="V32" s="2696"/>
    </row>
    <row r="33" spans="1:23" s="2602" customFormat="1" ht="13.15" customHeight="1">
      <c r="A33" s="2678"/>
      <c r="B33" s="2679"/>
      <c r="C33" s="2680"/>
      <c r="D33" s="2720"/>
      <c r="E33" s="2721"/>
      <c r="F33" s="2683"/>
      <c r="G33" s="2590"/>
      <c r="H33" s="2704"/>
      <c r="I33" s="2696"/>
      <c r="J33" s="3402" t="s">
        <v>2324</v>
      </c>
      <c r="K33" s="3403"/>
      <c r="L33" s="2605"/>
      <c r="M33" s="2605"/>
      <c r="N33" s="2605"/>
      <c r="O33" s="2605"/>
      <c r="P33" s="2605"/>
      <c r="Q33" s="2606"/>
      <c r="R33" s="2722">
        <f>SUM(L33:Q33)</f>
        <v>0</v>
      </c>
      <c r="S33" s="2590"/>
      <c r="T33" s="2590"/>
      <c r="U33" s="2590"/>
      <c r="V33" s="2598"/>
    </row>
    <row r="34" spans="1:23" s="2602" customFormat="1" ht="13.15" customHeight="1">
      <c r="A34" s="2678">
        <v>5</v>
      </c>
      <c r="B34" s="2679" t="s">
        <v>2423</v>
      </c>
      <c r="C34" s="2723"/>
      <c r="D34" s="2724"/>
      <c r="E34" s="2725"/>
      <c r="F34" s="2683"/>
      <c r="G34" s="2590"/>
      <c r="H34" s="2704"/>
      <c r="I34" s="2696"/>
      <c r="J34" s="3402" t="s">
        <v>2326</v>
      </c>
      <c r="K34" s="3403"/>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15" customHeight="1" thickBot="1">
      <c r="A36" s="2678">
        <v>7</v>
      </c>
      <c r="B36" s="2732" t="s">
        <v>2425</v>
      </c>
      <c r="C36" s="2733"/>
      <c r="D36" s="2734"/>
      <c r="E36" s="2735"/>
      <c r="F36" s="2736">
        <f>C36+D36+E36</f>
        <v>0</v>
      </c>
      <c r="G36" s="2590"/>
      <c r="H36" s="2597"/>
      <c r="I36" s="2598"/>
      <c r="J36" s="3407">
        <v>1</v>
      </c>
      <c r="K36" s="3408" t="s">
        <v>2426</v>
      </c>
      <c r="L36" s="2623"/>
      <c r="M36" s="2624"/>
      <c r="N36" s="2624"/>
      <c r="O36" s="2624"/>
      <c r="P36" s="2624"/>
      <c r="Q36" s="2624"/>
      <c r="R36" s="2607" t="s">
        <v>2338</v>
      </c>
      <c r="S36" s="2590"/>
      <c r="T36" s="2590" t="s">
        <v>2339</v>
      </c>
      <c r="U36" s="2590"/>
      <c r="V36" s="2598"/>
    </row>
    <row r="37" spans="1:23" s="2602" customFormat="1" ht="13.15" customHeight="1">
      <c r="A37" s="2678"/>
      <c r="B37" s="2679"/>
      <c r="C37" s="2679"/>
      <c r="D37" s="2679"/>
      <c r="E37" s="2679"/>
      <c r="F37" s="2683"/>
      <c r="G37" s="2590"/>
      <c r="H37" s="2597"/>
      <c r="I37" s="2598"/>
      <c r="J37" s="3407"/>
      <c r="K37" s="3409"/>
      <c r="L37" s="2632"/>
      <c r="M37" s="2633"/>
      <c r="N37" s="2609"/>
      <c r="O37" s="2634"/>
      <c r="P37" s="2634"/>
      <c r="Q37" s="2635"/>
      <c r="R37" s="2636"/>
      <c r="S37" s="2590"/>
      <c r="T37" s="2590" t="s">
        <v>2342</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7"/>
      <c r="K38" s="3409"/>
      <c r="L38" s="2632"/>
      <c r="M38" s="2633"/>
      <c r="N38" s="2609"/>
      <c r="O38" s="2634"/>
      <c r="P38" s="2634"/>
      <c r="Q38" s="2635"/>
      <c r="R38" s="2636"/>
      <c r="S38" s="2590"/>
      <c r="T38" s="2590" t="s">
        <v>2349</v>
      </c>
      <c r="U38" s="2590"/>
      <c r="V38" s="2598"/>
    </row>
    <row r="39" spans="1:23" s="2602" customFormat="1" ht="13.15" customHeight="1">
      <c r="A39" s="2678">
        <v>9</v>
      </c>
      <c r="B39" s="2679" t="s">
        <v>2427</v>
      </c>
      <c r="C39" s="2646" t="e">
        <f>C38</f>
        <v>#DIV/0!</v>
      </c>
      <c r="D39" s="2679">
        <f>D38/(1+D34)^C36</f>
        <v>0</v>
      </c>
      <c r="E39" s="2679">
        <f>E38/(1+E34)^(C36+D36)</f>
        <v>0</v>
      </c>
      <c r="F39" s="2683"/>
      <c r="G39" s="2598"/>
      <c r="H39" s="2597"/>
      <c r="I39" s="2598"/>
      <c r="J39" s="3407"/>
      <c r="K39" s="3409"/>
      <c r="L39" s="2632"/>
      <c r="M39" s="2633"/>
      <c r="N39" s="2609"/>
      <c r="O39" s="2634"/>
      <c r="P39" s="2634"/>
      <c r="Q39" s="2635"/>
      <c r="R39" s="2636"/>
      <c r="S39" s="2590"/>
      <c r="T39" s="2590"/>
      <c r="U39" s="2590"/>
      <c r="V39" s="2598"/>
    </row>
    <row r="40" spans="1:23" s="2602" customFormat="1" ht="13.15" customHeight="1">
      <c r="A40" s="2737">
        <v>10</v>
      </c>
      <c r="B40" s="2679" t="s">
        <v>2428</v>
      </c>
      <c r="C40" s="2738" t="e">
        <f>C39+D39+E39</f>
        <v>#DIV/0!</v>
      </c>
      <c r="D40" s="2739"/>
      <c r="E40" s="2739"/>
      <c r="F40" s="2740"/>
      <c r="G40" s="2590"/>
      <c r="H40" s="2597"/>
      <c r="I40" s="2598"/>
      <c r="J40" s="3407"/>
      <c r="K40" s="3410"/>
      <c r="L40" s="2652" t="s">
        <v>2367</v>
      </c>
      <c r="M40" s="2653"/>
      <c r="N40" s="2653"/>
      <c r="O40" s="2654"/>
      <c r="P40" s="2654"/>
      <c r="Q40" s="2655"/>
      <c r="R40" s="2601">
        <f>SUM(R37:R39)</f>
        <v>0</v>
      </c>
      <c r="S40" s="2590"/>
      <c r="T40" s="2590"/>
      <c r="U40" s="2590"/>
      <c r="V40" s="2598"/>
    </row>
    <row r="41" spans="1:23" s="2602" customFormat="1" ht="13.1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7">
        <v>3</v>
      </c>
      <c r="K42" s="2698" t="s">
        <v>2409</v>
      </c>
      <c r="L42" s="2699"/>
      <c r="M42" s="2700"/>
      <c r="N42" s="2701" t="s">
        <v>2410</v>
      </c>
      <c r="O42" s="2701" t="s">
        <v>2411</v>
      </c>
      <c r="P42" s="2702" t="s">
        <v>2412</v>
      </c>
      <c r="Q42" s="2702" t="s">
        <v>2413</v>
      </c>
      <c r="R42" s="2607" t="s">
        <v>2338</v>
      </c>
      <c r="S42" s="2641"/>
      <c r="T42" s="2641"/>
      <c r="U42" s="2590"/>
      <c r="V42" s="2598"/>
    </row>
    <row r="43" spans="1:23" ht="13.15" customHeight="1">
      <c r="A43" s="2602"/>
      <c r="B43" s="2602"/>
      <c r="C43" s="2602"/>
      <c r="D43" s="2602"/>
      <c r="E43" s="2602"/>
      <c r="F43" s="2602"/>
      <c r="I43" s="2585"/>
      <c r="J43" s="341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2667.7177999999999</v>
      </c>
      <c r="C2" s="1728" t="s">
        <v>1651</v>
      </c>
      <c r="D2" s="1729" t="s">
        <v>1652</v>
      </c>
      <c r="E2" s="2390">
        <f>SUM(E6:E13)</f>
        <v>375.87</v>
      </c>
      <c r="F2" s="2477"/>
      <c r="G2" s="459"/>
      <c r="H2" s="459"/>
      <c r="I2" s="459"/>
      <c r="J2" s="459"/>
      <c r="K2" s="459"/>
      <c r="L2" s="459"/>
      <c r="M2" s="459"/>
      <c r="N2" s="459"/>
      <c r="O2" s="459"/>
      <c r="P2" s="459"/>
      <c r="Q2" s="459"/>
      <c r="R2" s="459"/>
      <c r="S2" s="459"/>
    </row>
    <row r="3" spans="1:22" ht="15.75">
      <c r="A3" s="1727" t="s">
        <v>686</v>
      </c>
      <c r="B3" s="2384">
        <f ca="1">ROUND(B2*10000/E2,0)</f>
        <v>70974</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19" t="s">
        <v>1654</v>
      </c>
      <c r="C5" s="3420"/>
      <c r="D5" s="2478"/>
      <c r="E5" s="1730"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2667.7177999999999</v>
      </c>
      <c r="C6" s="1728" t="s">
        <v>1651</v>
      </c>
      <c r="D6" s="2477"/>
      <c r="E6" s="2389">
        <f>IF(OR(A6=0,F6="否"),0,'数据-取费表'!K6+'数据-取费表'!S6)</f>
        <v>375.87</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估价对象为北京市房地产，为所有。根据《国有土地使用证》[]，估价对象（分摊）出让国有建设用地使用权面积为0平方米，建筑面积为375.87平方米。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估价对象为北京市房地产,属开发建设的，该项目尚在开发建设中。根据《国有土地使用证》[]，估价对象（分摊）出让国有建设用地使用权面积为0平方米，规划建筑面积为375.87平方米。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2024年11月26日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topLeftCell="A28" zoomScale="85" zoomScaleNormal="70" zoomScaleSheetLayoutView="85" workbookViewId="0">
      <selection activeCell="C34" sqref="C34:C3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3392</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2481.2460000000001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66013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8340953.7300000004</v>
      </c>
      <c r="D5" s="203" t="s">
        <v>1469</v>
      </c>
      <c r="E5" s="204" t="s">
        <v>1470</v>
      </c>
      <c r="F5" s="204" t="s">
        <v>1471</v>
      </c>
      <c r="G5" s="205"/>
    </row>
    <row r="6" spans="1:8" s="206" customFormat="1" ht="13.5" customHeight="1">
      <c r="A6" s="732" t="s">
        <v>1472</v>
      </c>
      <c r="B6" s="207" t="s">
        <v>1473</v>
      </c>
      <c r="C6" s="208">
        <f>基准地价修正!C33*基准地价修正!D33</f>
        <v>8035724.7300000004</v>
      </c>
      <c r="D6" s="209"/>
      <c r="E6" s="210"/>
      <c r="F6" s="210"/>
      <c r="G6" s="211"/>
    </row>
    <row r="7" spans="1:8" s="206" customFormat="1" ht="13.5" customHeight="1">
      <c r="A7" s="732" t="s">
        <v>1474</v>
      </c>
      <c r="B7" s="207" t="s">
        <v>1475</v>
      </c>
      <c r="C7" s="212">
        <f>ROUND(C6*F7,0)</f>
        <v>245090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60139</v>
      </c>
      <c r="D8" s="214"/>
      <c r="E8" s="212"/>
      <c r="F8" s="213"/>
      <c r="G8" s="1713" t="s">
        <v>3554</v>
      </c>
    </row>
    <row r="9" spans="1:8" s="206" customFormat="1" ht="13.5" customHeight="1">
      <c r="A9" s="733" t="s">
        <v>355</v>
      </c>
      <c r="B9" s="216" t="s">
        <v>1478</v>
      </c>
      <c r="C9" s="217">
        <f ca="1">ROUND(D9*E9,0)</f>
        <v>60139</v>
      </c>
      <c r="D9" s="795">
        <f ca="1">IF(B1="",'数据-汇总表'!E5,IF(INDIRECT("'数据-取费表'!c"&amp;$G$1)="住宅",INDIRECT("'数据-取费表'!k"&amp;$G$1),0))</f>
        <v>375.87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375.87</v>
      </c>
      <c r="E19" s="203">
        <f>'数据-取费表'!B31</f>
        <v>200</v>
      </c>
      <c r="F19" s="223"/>
      <c r="G19" s="1713" t="s">
        <v>3555</v>
      </c>
    </row>
    <row r="20" spans="1:7" s="206" customFormat="1" ht="13.5" customHeight="1">
      <c r="A20" s="247" t="s">
        <v>1574</v>
      </c>
      <c r="B20" s="202" t="s">
        <v>1575</v>
      </c>
      <c r="C20" s="224">
        <f ca="1">ROUND((C5+C19)*F20,0)</f>
        <v>250229</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823096</v>
      </c>
      <c r="D22" s="227">
        <f ca="1">C26</f>
        <v>1.4E-3</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811210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11886</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2147796</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ROUND((C5+C19+C20)*F27,0)</f>
        <v>2147796</v>
      </c>
      <c r="D28" s="227"/>
      <c r="E28" s="228"/>
      <c r="F28" s="238"/>
      <c r="G28" s="239"/>
    </row>
    <row r="29" spans="1:7" s="206" customFormat="1" ht="13.5" customHeight="1">
      <c r="A29" s="734" t="s">
        <v>347</v>
      </c>
      <c r="B29" s="240" t="s">
        <v>1517</v>
      </c>
      <c r="C29" s="230">
        <f ca="1">ROUND(C21*F27,4)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12736368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9321576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7517400</v>
      </c>
      <c r="D34" s="209"/>
      <c r="E34" s="212"/>
      <c r="F34" s="249"/>
      <c r="G34" s="211"/>
    </row>
    <row r="35" spans="1:7" ht="13.5" customHeight="1">
      <c r="A35" s="734" t="s">
        <v>351</v>
      </c>
      <c r="B35" s="207" t="s">
        <v>1527</v>
      </c>
      <c r="C35" s="212">
        <f ca="1">ROUND(C34*F35,0)</f>
        <v>751740</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751740</v>
      </c>
      <c r="D36" s="212"/>
      <c r="E36" s="212"/>
      <c r="F36" s="251">
        <f>'数据-取费表'!B34</f>
        <v>0.1</v>
      </c>
      <c r="G36" s="252" t="s">
        <v>1530</v>
      </c>
    </row>
    <row r="37" spans="1:7" s="250" customFormat="1" ht="13.5" customHeight="1">
      <c r="A37" s="734" t="s">
        <v>353</v>
      </c>
      <c r="B37" s="207" t="s">
        <v>1531</v>
      </c>
      <c r="C37" s="241">
        <f ca="1">ROUND(E37*D37,0)</f>
        <v>75174</v>
      </c>
      <c r="D37" s="209">
        <f ca="1">D19</f>
        <v>375.87</v>
      </c>
      <c r="E37" s="241">
        <f>'数据-取费表'!B35</f>
        <v>200</v>
      </c>
      <c r="F37" s="251"/>
      <c r="G37" s="253"/>
    </row>
    <row r="38" spans="1:7" ht="13.5" customHeight="1">
      <c r="A38" s="734" t="s">
        <v>354</v>
      </c>
      <c r="B38" s="207" t="s">
        <v>1533</v>
      </c>
      <c r="C38" s="212">
        <f ca="1">ROUND(C34*F38,0)</f>
        <v>225522</v>
      </c>
      <c r="D38" s="212"/>
      <c r="E38" s="212"/>
      <c r="F38" s="251">
        <f>'数据-取费表'!B36</f>
        <v>0.03</v>
      </c>
      <c r="G38" s="211" t="s">
        <v>1528</v>
      </c>
    </row>
    <row r="39" spans="1:7" s="206" customFormat="1" ht="13.5" customHeight="1">
      <c r="A39" s="247" t="s">
        <v>1534</v>
      </c>
      <c r="B39" s="202" t="s">
        <v>1535</v>
      </c>
      <c r="C39" s="224">
        <f ca="1">ROUND(C33*F20,0)</f>
        <v>279647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456058</v>
      </c>
      <c r="D41" s="227">
        <f ca="1">C44</f>
        <v>1.4E-3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442775</v>
      </c>
      <c r="D42" s="230"/>
      <c r="E42" s="230"/>
      <c r="F42" s="231"/>
      <c r="G42" s="3346" t="s">
        <v>1591</v>
      </c>
    </row>
    <row r="43" spans="1:7" ht="13.5" customHeight="1">
      <c r="A43" s="734" t="s">
        <v>347</v>
      </c>
      <c r="B43" s="207" t="s">
        <v>1545</v>
      </c>
      <c r="C43" s="230">
        <f ca="1">ROUND(IF('数据-取费表'!B22&lt;=1,C39*F22*'数据-取费表'!B20/2,C39*(POWER((1+F22),'数据-取费表'!B20/2)-1)),0)</f>
        <v>13283</v>
      </c>
      <c r="D43" s="230"/>
      <c r="E43" s="230"/>
      <c r="F43" s="231"/>
      <c r="G43" s="3347"/>
    </row>
    <row r="44" spans="1:7" ht="13.5" customHeight="1">
      <c r="A44" s="734" t="s">
        <v>348</v>
      </c>
      <c r="B44" s="207" t="s">
        <v>1546</v>
      </c>
      <c r="C44" s="230">
        <f ca="1">ROUND(IF('数据-取费表'!B22&lt;=1,C40*F22*'数据-取费表'!B20/2,C40*(POWER((1+F22),'数据-取费表'!B20/2)-1)),4)</f>
        <v>1.4E-3</v>
      </c>
      <c r="D44" s="230"/>
      <c r="E44" s="230"/>
      <c r="F44" s="231"/>
      <c r="G44" s="3348"/>
    </row>
    <row r="45" spans="1:7" s="206" customFormat="1" ht="13.5" customHeight="1">
      <c r="A45" s="247" t="s">
        <v>1547</v>
      </c>
      <c r="B45" s="236" t="s">
        <v>1513</v>
      </c>
      <c r="C45" s="237">
        <f ca="1">C46</f>
        <v>2400306</v>
      </c>
      <c r="D45" s="227">
        <f ca="1">C47</f>
        <v>7.4999999999999997E-3</v>
      </c>
      <c r="E45" s="228" t="s">
        <v>1539</v>
      </c>
      <c r="F45" s="238">
        <f ca="1">F27</f>
        <v>0.25</v>
      </c>
      <c r="G45" s="239" t="s">
        <v>1548</v>
      </c>
    </row>
    <row r="46" spans="1:7" s="206" customFormat="1" ht="13.5" customHeight="1">
      <c r="A46" s="734" t="s">
        <v>346</v>
      </c>
      <c r="B46" s="240" t="s">
        <v>1549</v>
      </c>
      <c r="C46" s="241">
        <f ca="1">ROUND((C33+C39)*F27,0)</f>
        <v>2400306</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13722832</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12076092</v>
      </c>
      <c r="D51" s="224"/>
      <c r="E51" s="224"/>
      <c r="F51" s="256"/>
      <c r="G51" s="226" t="s">
        <v>1560</v>
      </c>
    </row>
    <row r="52" spans="1:7" s="200" customFormat="1" ht="16.5" thickBot="1">
      <c r="A52" s="257" t="s">
        <v>1561</v>
      </c>
      <c r="B52" s="258"/>
      <c r="C52" s="259">
        <f ca="1">C31+C51</f>
        <v>24812460</v>
      </c>
      <c r="D52" s="258"/>
      <c r="E52" s="258"/>
      <c r="F52" s="258"/>
      <c r="G52" s="260"/>
    </row>
    <row r="55" spans="1:7" ht="15">
      <c r="B55" s="262" t="s">
        <v>1562</v>
      </c>
      <c r="C55" s="263"/>
    </row>
    <row r="56" spans="1:7">
      <c r="B56" s="265" t="s">
        <v>802</v>
      </c>
      <c r="C56" s="267">
        <f ca="1">1-C57</f>
        <v>0.51300000000000001</v>
      </c>
    </row>
    <row r="57" spans="1:7">
      <c r="B57" s="265" t="s">
        <v>803</v>
      </c>
      <c r="C57" s="266">
        <f ca="1">ROUND(C51/C52,3)</f>
        <v>0.48699999999999999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375.87</v>
      </c>
      <c r="E3" s="1804"/>
      <c r="F3" s="856"/>
      <c r="G3" s="855"/>
      <c r="H3" s="855"/>
      <c r="I3" s="855"/>
      <c r="J3" s="855"/>
      <c r="K3" s="857"/>
      <c r="L3" s="2501"/>
      <c r="M3" s="2502"/>
      <c r="N3" s="2502"/>
      <c r="O3" s="2502"/>
      <c r="P3" s="1803"/>
      <c r="Q3" s="859"/>
      <c r="R3" s="859"/>
      <c r="S3" s="859"/>
      <c r="T3" s="859"/>
      <c r="U3" s="859"/>
      <c r="V3" s="859"/>
      <c r="W3" s="859"/>
      <c r="X3" s="859"/>
      <c r="Y3" s="859"/>
      <c r="Z3" s="859"/>
      <c r="AA3" s="859"/>
      <c r="AB3" s="859"/>
      <c r="AC3" s="1804"/>
    </row>
    <row r="4" spans="1:29" ht="15">
      <c r="A4" s="345" t="s">
        <v>1769</v>
      </c>
      <c r="B4" s="346"/>
      <c r="C4" s="3352" t="s">
        <v>1770</v>
      </c>
      <c r="D4" s="3353"/>
      <c r="E4" s="3354" t="s">
        <v>1771</v>
      </c>
      <c r="F4" s="3355"/>
      <c r="G4" s="3352" t="s">
        <v>1772</v>
      </c>
      <c r="H4" s="3353"/>
      <c r="I4" s="3352" t="s">
        <v>1773</v>
      </c>
      <c r="J4" s="3353"/>
      <c r="K4" s="537" t="s">
        <v>1774</v>
      </c>
      <c r="L4" s="2484"/>
      <c r="M4" s="2485"/>
      <c r="N4" s="2485"/>
      <c r="O4" s="2485"/>
      <c r="P4" s="3356" t="s">
        <v>1775</v>
      </c>
      <c r="Q4" s="3357"/>
      <c r="R4" s="3362" t="s">
        <v>1771</v>
      </c>
      <c r="S4" s="3363"/>
      <c r="T4" s="3362" t="s">
        <v>1772</v>
      </c>
      <c r="U4" s="3363"/>
      <c r="V4" s="3376" t="s">
        <v>1773</v>
      </c>
      <c r="W4" s="3376"/>
      <c r="X4" s="1264"/>
      <c r="Y4" s="3362" t="s">
        <v>1775</v>
      </c>
      <c r="Z4" s="3363"/>
      <c r="AA4" s="3349" t="s">
        <v>1771</v>
      </c>
      <c r="AB4" s="3376" t="s">
        <v>1772</v>
      </c>
      <c r="AC4" s="3349" t="s">
        <v>1773</v>
      </c>
    </row>
    <row r="5" spans="1:29" ht="15">
      <c r="A5" s="348"/>
      <c r="B5" s="349"/>
      <c r="C5" s="3394" t="s">
        <v>1673</v>
      </c>
      <c r="D5" s="3367"/>
      <c r="E5" s="3421" t="s">
        <v>1674</v>
      </c>
      <c r="F5" s="3369"/>
      <c r="G5" s="3394" t="s">
        <v>1675</v>
      </c>
      <c r="H5" s="3367"/>
      <c r="I5" s="3394" t="s">
        <v>1676</v>
      </c>
      <c r="J5" s="3367"/>
      <c r="K5" s="537"/>
      <c r="L5" s="2484"/>
      <c r="M5" s="2485"/>
      <c r="N5" s="2485"/>
      <c r="O5" s="2485"/>
      <c r="P5" s="3358"/>
      <c r="Q5" s="3359"/>
      <c r="R5" s="3364"/>
      <c r="S5" s="3365"/>
      <c r="T5" s="3364"/>
      <c r="U5" s="3365"/>
      <c r="V5" s="3376"/>
      <c r="W5" s="3376"/>
      <c r="X5" s="1264"/>
      <c r="Y5" s="3364"/>
      <c r="Z5" s="3365"/>
      <c r="AA5" s="3350"/>
      <c r="AB5" s="3376"/>
      <c r="AC5" s="3350"/>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360"/>
      <c r="Q6" s="3361"/>
      <c r="R6" s="3364"/>
      <c r="S6" s="3365"/>
      <c r="T6" s="3374"/>
      <c r="U6" s="3375"/>
      <c r="V6" s="3376"/>
      <c r="W6" s="3376"/>
      <c r="X6" s="1264"/>
      <c r="Y6" s="3374"/>
      <c r="Z6" s="3375"/>
      <c r="AA6" s="3351"/>
      <c r="AB6" s="3376"/>
      <c r="AC6" s="3351"/>
    </row>
    <row r="7" spans="1:29" s="102" customFormat="1" ht="15.75" thickBot="1">
      <c r="A7" s="352" t="s">
        <v>1679</v>
      </c>
      <c r="B7" s="353"/>
      <c r="C7" s="354">
        <f>'数据-取费表'!B2</f>
        <v>45622</v>
      </c>
      <c r="D7" s="355">
        <v>100</v>
      </c>
      <c r="E7" s="356"/>
      <c r="F7" s="357">
        <f>SUMIF(58:58,YEAR(E7)&amp;"-"&amp;MONTH(E7),59:59)</f>
        <v>0</v>
      </c>
      <c r="G7" s="356"/>
      <c r="H7" s="355">
        <f>SUMIF(58:58,YEAR(G7)&amp;"-"&amp;MONTH(G7),59:59)</f>
        <v>0</v>
      </c>
      <c r="I7" s="356"/>
      <c r="J7" s="355">
        <f>SUMIF(58:58,YEAR(I7)&amp;"-"&amp;MONTH(I7),59:59)</f>
        <v>0</v>
      </c>
      <c r="K7" s="38"/>
      <c r="L7" s="2486"/>
      <c r="M7" s="2437"/>
      <c r="N7" s="2437"/>
      <c r="O7" s="2437"/>
      <c r="P7" s="3377" t="s">
        <v>1680</v>
      </c>
      <c r="Q7" s="3378"/>
      <c r="R7" s="664" t="s">
        <v>14</v>
      </c>
      <c r="S7" s="665">
        <f t="shared" ref="S7:S15" si="0">F7</f>
        <v>0</v>
      </c>
      <c r="T7" s="664" t="s">
        <v>14</v>
      </c>
      <c r="U7" s="665">
        <f t="shared" ref="U7:U15" si="1">H7</f>
        <v>0</v>
      </c>
      <c r="V7" s="664" t="s">
        <v>14</v>
      </c>
      <c r="W7" s="665">
        <f t="shared" ref="W7:W15" si="2">J7</f>
        <v>0</v>
      </c>
      <c r="X7" s="666"/>
      <c r="Y7" s="3377" t="s">
        <v>1680</v>
      </c>
      <c r="Z7" s="337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77" t="s">
        <v>1683</v>
      </c>
      <c r="Q8" s="3379"/>
      <c r="R8" s="664" t="s">
        <v>14</v>
      </c>
      <c r="S8" s="665">
        <f t="shared" si="0"/>
        <v>100</v>
      </c>
      <c r="T8" s="664" t="s">
        <v>14</v>
      </c>
      <c r="U8" s="665">
        <f t="shared" si="1"/>
        <v>100</v>
      </c>
      <c r="V8" s="664" t="s">
        <v>14</v>
      </c>
      <c r="W8" s="665">
        <f t="shared" si="2"/>
        <v>100</v>
      </c>
      <c r="X8" s="666"/>
      <c r="Y8" s="3377" t="s">
        <v>1683</v>
      </c>
      <c r="Z8" s="337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8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8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1" t="s">
        <v>1691</v>
      </c>
      <c r="Q15" s="1262" t="str">
        <f t="shared" si="6"/>
        <v>商业繁华度</v>
      </c>
      <c r="R15" s="667" t="s">
        <v>14</v>
      </c>
      <c r="S15" s="668">
        <f t="shared" si="0"/>
        <v>100</v>
      </c>
      <c r="T15" s="667" t="s">
        <v>14</v>
      </c>
      <c r="U15" s="668">
        <f t="shared" si="1"/>
        <v>100</v>
      </c>
      <c r="V15" s="667" t="s">
        <v>14</v>
      </c>
      <c r="W15" s="668">
        <f t="shared" si="2"/>
        <v>100</v>
      </c>
      <c r="X15" s="1264"/>
      <c r="Y15" s="338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82"/>
      <c r="Q16" s="1262"/>
      <c r="R16" s="667"/>
      <c r="S16" s="668"/>
      <c r="T16" s="667"/>
      <c r="U16" s="668"/>
      <c r="V16" s="667"/>
      <c r="W16" s="668"/>
      <c r="X16" s="1264"/>
      <c r="Y16" s="3384"/>
      <c r="Z16" s="1263"/>
      <c r="AA16" s="1263">
        <v>1</v>
      </c>
      <c r="AB16" s="1263">
        <v>1</v>
      </c>
      <c r="AC16" s="1263">
        <v>1</v>
      </c>
    </row>
    <row r="17" spans="1:29" ht="156.75">
      <c r="A17" s="367"/>
      <c r="B17" s="390" t="s">
        <v>1259</v>
      </c>
      <c r="C17" s="1753" t="str">
        <f>估价对象房地状况!C6</f>
        <v>估价对象周边有24路、117路、123路、132路、135路、413路、515路等多条公交线路，地铁2号线及13号线换乘站（东直门站），东直门长途汽车站等，综合评价交通便捷度较好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2"/>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82"/>
      <c r="Q18" s="1262"/>
      <c r="R18" s="667"/>
      <c r="S18" s="668"/>
      <c r="T18" s="667"/>
      <c r="U18" s="668"/>
      <c r="V18" s="667"/>
      <c r="W18" s="668"/>
      <c r="X18" s="1264"/>
      <c r="Y18" s="3384"/>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2"/>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82"/>
      <c r="Q20" s="1262"/>
      <c r="R20" s="667"/>
      <c r="S20" s="668"/>
      <c r="T20" s="667"/>
      <c r="U20" s="668"/>
      <c r="V20" s="667"/>
      <c r="W20" s="668"/>
      <c r="X20" s="1264"/>
      <c r="Y20" s="3384"/>
      <c r="Z20" s="1263"/>
      <c r="AA20" s="1263">
        <v>1</v>
      </c>
      <c r="AB20" s="1263">
        <v>1</v>
      </c>
      <c r="AC20" s="1263">
        <v>1</v>
      </c>
    </row>
    <row r="21" spans="1:29" ht="15">
      <c r="A21" s="367"/>
      <c r="B21" s="586"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2"/>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82"/>
      <c r="Q22" s="1262"/>
      <c r="R22" s="667"/>
      <c r="S22" s="668"/>
      <c r="T22" s="667"/>
      <c r="U22" s="668"/>
      <c r="V22" s="667"/>
      <c r="W22" s="668"/>
      <c r="X22" s="1264"/>
      <c r="Y22" s="3384"/>
      <c r="Z22" s="1263"/>
      <c r="AA22" s="1263">
        <v>1</v>
      </c>
      <c r="AB22" s="1263">
        <v>1</v>
      </c>
      <c r="AC22" s="1263">
        <v>1</v>
      </c>
    </row>
    <row r="23" spans="1:29" ht="99.75">
      <c r="A23" s="367"/>
      <c r="B23" s="390" t="s">
        <v>1261</v>
      </c>
      <c r="C23" s="1805" t="str">
        <f>估价对象房地状况!C9</f>
        <v>区域自然环境：亮马河、东城区亮马河公园；人文环境：工人体育场、东直门外清真寺；综合评价环境状况较好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2"/>
      <c r="Q23" s="1262" t="str">
        <f>B23</f>
        <v>自然及人文环境</v>
      </c>
      <c r="R23" s="667" t="s">
        <v>14</v>
      </c>
      <c r="S23" s="668">
        <f>F23</f>
        <v>100</v>
      </c>
      <c r="T23" s="667" t="s">
        <v>14</v>
      </c>
      <c r="U23" s="668">
        <f>H23</f>
        <v>100</v>
      </c>
      <c r="V23" s="667" t="s">
        <v>14</v>
      </c>
      <c r="W23" s="668">
        <f>J23</f>
        <v>100</v>
      </c>
      <c r="X23" s="1264"/>
      <c r="Y23" s="338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82"/>
      <c r="Q24" s="1262"/>
      <c r="R24" s="667"/>
      <c r="S24" s="668"/>
      <c r="T24" s="667"/>
      <c r="U24" s="668"/>
      <c r="V24" s="667"/>
      <c r="W24" s="668"/>
      <c r="X24" s="1264"/>
      <c r="Y24" s="338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2"/>
      <c r="Q25" s="1262" t="str">
        <f t="shared" ref="Q25:Q46" si="11">B25</f>
        <v>临街状况</v>
      </c>
      <c r="R25" s="667" t="s">
        <v>14</v>
      </c>
      <c r="S25" s="668">
        <f>F25</f>
        <v>100</v>
      </c>
      <c r="T25" s="667" t="s">
        <v>14</v>
      </c>
      <c r="U25" s="668">
        <f>H25</f>
        <v>100</v>
      </c>
      <c r="V25" s="667" t="s">
        <v>14</v>
      </c>
      <c r="W25" s="668">
        <f>J25</f>
        <v>100</v>
      </c>
      <c r="X25" s="1264"/>
      <c r="Y25" s="3384"/>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2"/>
      <c r="Q26" s="1262" t="str">
        <f t="shared" si="11"/>
        <v>平面位置/可视性</v>
      </c>
      <c r="R26" s="667" t="s">
        <v>14</v>
      </c>
      <c r="S26" s="668">
        <f>F26</f>
        <v>100</v>
      </c>
      <c r="T26" s="667" t="s">
        <v>14</v>
      </c>
      <c r="U26" s="668">
        <f>H26</f>
        <v>100</v>
      </c>
      <c r="V26" s="667" t="s">
        <v>14</v>
      </c>
      <c r="W26" s="668">
        <f>J26</f>
        <v>100</v>
      </c>
      <c r="X26" s="1264"/>
      <c r="Y26" s="3384"/>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7"/>
      <c r="N27" s="2437"/>
      <c r="O27" s="2437"/>
      <c r="P27" s="3382"/>
      <c r="Q27" s="530" t="str">
        <f t="shared" si="11"/>
        <v>人流量</v>
      </c>
      <c r="R27" s="664" t="s">
        <v>14</v>
      </c>
      <c r="S27" s="665">
        <f>F27</f>
        <v>100</v>
      </c>
      <c r="T27" s="664" t="s">
        <v>14</v>
      </c>
      <c r="U27" s="665">
        <f>H27</f>
        <v>100</v>
      </c>
      <c r="V27" s="664" t="s">
        <v>14</v>
      </c>
      <c r="W27" s="665">
        <f>J27</f>
        <v>100</v>
      </c>
      <c r="X27" s="666"/>
      <c r="Y27" s="338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4"/>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2"/>
      <c r="Q29" s="1262">
        <f t="shared" si="11"/>
        <v>111</v>
      </c>
      <c r="R29" s="667" t="s">
        <v>14</v>
      </c>
      <c r="S29" s="668">
        <f t="shared" si="12"/>
        <v>100</v>
      </c>
      <c r="T29" s="667" t="s">
        <v>14</v>
      </c>
      <c r="U29" s="668">
        <f t="shared" si="13"/>
        <v>100</v>
      </c>
      <c r="V29" s="667" t="s">
        <v>14</v>
      </c>
      <c r="W29" s="668">
        <f t="shared" si="14"/>
        <v>100</v>
      </c>
      <c r="X29" s="1264"/>
      <c r="Y29" s="3384"/>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2"/>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2"/>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85" t="s">
        <v>1696</v>
      </c>
      <c r="Q32" s="1262" t="str">
        <f t="shared" si="11"/>
        <v>商业类型</v>
      </c>
      <c r="R32" s="667" t="s">
        <v>14</v>
      </c>
      <c r="S32" s="668">
        <f t="shared" si="12"/>
        <v>100</v>
      </c>
      <c r="T32" s="667" t="s">
        <v>14</v>
      </c>
      <c r="U32" s="668">
        <f t="shared" si="13"/>
        <v>100</v>
      </c>
      <c r="V32" s="667" t="s">
        <v>14</v>
      </c>
      <c r="W32" s="668">
        <f t="shared" si="14"/>
        <v>100</v>
      </c>
      <c r="X32" s="1264"/>
      <c r="Y32" s="338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6"/>
      <c r="Q34" s="1262" t="str">
        <f t="shared" si="11"/>
        <v>建筑结构</v>
      </c>
      <c r="R34" s="667" t="s">
        <v>14</v>
      </c>
      <c r="S34" s="668">
        <f t="shared" si="12"/>
        <v>100</v>
      </c>
      <c r="T34" s="667" t="s">
        <v>14</v>
      </c>
      <c r="U34" s="668">
        <f t="shared" si="13"/>
        <v>100</v>
      </c>
      <c r="V34" s="667" t="s">
        <v>14</v>
      </c>
      <c r="W34" s="668">
        <f t="shared" si="14"/>
        <v>100</v>
      </c>
      <c r="X34" s="1264"/>
      <c r="Y34" s="3388"/>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86"/>
      <c r="Q35" s="1262" t="str">
        <f t="shared" si="11"/>
        <v>公共部分装修</v>
      </c>
      <c r="R35" s="667" t="s">
        <v>14</v>
      </c>
      <c r="S35" s="668">
        <f t="shared" si="12"/>
        <v>100</v>
      </c>
      <c r="T35" s="667" t="s">
        <v>14</v>
      </c>
      <c r="U35" s="668">
        <f t="shared" si="13"/>
        <v>100</v>
      </c>
      <c r="V35" s="667" t="s">
        <v>14</v>
      </c>
      <c r="W35" s="668">
        <f t="shared" si="14"/>
        <v>100</v>
      </c>
      <c r="X35" s="1264"/>
      <c r="Y35" s="338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6"/>
      <c r="Q36" s="1262" t="str">
        <f t="shared" si="11"/>
        <v>成新度</v>
      </c>
      <c r="R36" s="667" t="s">
        <v>14</v>
      </c>
      <c r="S36" s="668" t="e">
        <f t="shared" si="12"/>
        <v>#N/A</v>
      </c>
      <c r="T36" s="667" t="s">
        <v>14</v>
      </c>
      <c r="U36" s="668" t="e">
        <f t="shared" si="13"/>
        <v>#N/A</v>
      </c>
      <c r="V36" s="667" t="s">
        <v>14</v>
      </c>
      <c r="W36" s="668" t="e">
        <f t="shared" si="14"/>
        <v>#N/A</v>
      </c>
      <c r="X36" s="1264"/>
      <c r="Y36" s="3388"/>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86" t="s">
        <v>1696</v>
      </c>
      <c r="Q38" s="1262" t="str">
        <f t="shared" si="11"/>
        <v>业态</v>
      </c>
      <c r="R38" s="667" t="s">
        <v>14</v>
      </c>
      <c r="S38" s="668">
        <f t="shared" si="12"/>
        <v>100</v>
      </c>
      <c r="T38" s="667" t="s">
        <v>14</v>
      </c>
      <c r="U38" s="668">
        <f t="shared" si="13"/>
        <v>100</v>
      </c>
      <c r="V38" s="667" t="s">
        <v>14</v>
      </c>
      <c r="W38" s="668">
        <f t="shared" si="14"/>
        <v>100</v>
      </c>
      <c r="X38" s="1264"/>
      <c r="Y38" s="3388"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86"/>
      <c r="Q39" s="1262" t="str">
        <f t="shared" si="11"/>
        <v>层高</v>
      </c>
      <c r="R39" s="667" t="s">
        <v>14</v>
      </c>
      <c r="S39" s="668">
        <f t="shared" si="12"/>
        <v>100</v>
      </c>
      <c r="T39" s="667" t="s">
        <v>14</v>
      </c>
      <c r="U39" s="668">
        <f t="shared" si="13"/>
        <v>100</v>
      </c>
      <c r="V39" s="667" t="s">
        <v>14</v>
      </c>
      <c r="W39" s="668">
        <f t="shared" si="14"/>
        <v>100</v>
      </c>
      <c r="X39" s="1264"/>
      <c r="Y39" s="338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6"/>
      <c r="Q40" s="1262" t="str">
        <f t="shared" si="11"/>
        <v>单套建筑面积</v>
      </c>
      <c r="R40" s="667" t="s">
        <v>14</v>
      </c>
      <c r="S40" s="668">
        <f t="shared" si="12"/>
        <v>100</v>
      </c>
      <c r="T40" s="667" t="s">
        <v>14</v>
      </c>
      <c r="U40" s="668">
        <f t="shared" si="13"/>
        <v>100</v>
      </c>
      <c r="V40" s="667" t="s">
        <v>14</v>
      </c>
      <c r="W40" s="668">
        <f t="shared" si="14"/>
        <v>100</v>
      </c>
      <c r="X40" s="1264"/>
      <c r="Y40" s="338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86"/>
      <c r="Q42" s="1262" t="str">
        <f t="shared" si="11"/>
        <v>内部装修</v>
      </c>
      <c r="R42" s="667" t="s">
        <v>14</v>
      </c>
      <c r="S42" s="668">
        <f t="shared" si="12"/>
        <v>100</v>
      </c>
      <c r="T42" s="667" t="s">
        <v>14</v>
      </c>
      <c r="U42" s="668">
        <f t="shared" si="13"/>
        <v>100</v>
      </c>
      <c r="V42" s="667" t="s">
        <v>14</v>
      </c>
      <c r="W42" s="668">
        <f t="shared" si="14"/>
        <v>100</v>
      </c>
      <c r="X42" s="1264"/>
      <c r="Y42" s="3388"/>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86"/>
      <c r="Q43" s="1262" t="str">
        <f t="shared" si="11"/>
        <v>内部装修维护情况</v>
      </c>
      <c r="R43" s="667" t="s">
        <v>14</v>
      </c>
      <c r="S43" s="668">
        <f t="shared" si="12"/>
        <v>100</v>
      </c>
      <c r="T43" s="667" t="s">
        <v>14</v>
      </c>
      <c r="U43" s="668">
        <f t="shared" si="13"/>
        <v>100</v>
      </c>
      <c r="V43" s="667" t="s">
        <v>14</v>
      </c>
      <c r="W43" s="668">
        <f t="shared" si="14"/>
        <v>100</v>
      </c>
      <c r="X43" s="1264"/>
      <c r="Y43" s="3388"/>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6"/>
      <c r="Q45" s="1262">
        <f t="shared" si="11"/>
        <v>111</v>
      </c>
      <c r="R45" s="667" t="s">
        <v>14</v>
      </c>
      <c r="S45" s="668">
        <f t="shared" si="12"/>
        <v>100</v>
      </c>
      <c r="T45" s="667" t="s">
        <v>14</v>
      </c>
      <c r="U45" s="668">
        <f t="shared" si="13"/>
        <v>100</v>
      </c>
      <c r="V45" s="667" t="s">
        <v>14</v>
      </c>
      <c r="W45" s="668">
        <f t="shared" si="14"/>
        <v>100</v>
      </c>
      <c r="X45" s="1264"/>
      <c r="Y45" s="3388"/>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7"/>
      <c r="Q46" s="1262">
        <f t="shared" si="11"/>
        <v>111</v>
      </c>
      <c r="R46" s="667" t="s">
        <v>14</v>
      </c>
      <c r="S46" s="668">
        <f t="shared" si="12"/>
        <v>100</v>
      </c>
      <c r="T46" s="667" t="s">
        <v>14</v>
      </c>
      <c r="U46" s="668">
        <f t="shared" si="13"/>
        <v>100</v>
      </c>
      <c r="V46" s="667" t="s">
        <v>14</v>
      </c>
      <c r="W46" s="668">
        <f t="shared" si="14"/>
        <v>100</v>
      </c>
      <c r="X46" s="1264"/>
      <c r="Y46" s="3389"/>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390" t="str">
        <f>A47</f>
        <v>成交单价（元/平方米）</v>
      </c>
      <c r="Q47" s="3390"/>
      <c r="R47" s="3376">
        <f>E47</f>
        <v>0</v>
      </c>
      <c r="S47" s="3376"/>
      <c r="T47" s="3376">
        <f>G47</f>
        <v>0</v>
      </c>
      <c r="U47" s="3376"/>
      <c r="V47" s="3376">
        <f>I47</f>
        <v>0</v>
      </c>
      <c r="W47" s="3376"/>
      <c r="X47" s="385"/>
      <c r="Y47" s="673"/>
      <c r="Z47" s="385"/>
      <c r="AA47" s="385"/>
      <c r="AB47" s="385"/>
      <c r="AC47" s="385"/>
    </row>
    <row r="48" spans="1:29" ht="15.75" thickBot="1">
      <c r="A48" s="423" t="s">
        <v>1793</v>
      </c>
      <c r="B48" s="424"/>
      <c r="C48" s="1082" t="e">
        <f>R49</f>
        <v>#DIV/0!</v>
      </c>
      <c r="D48" s="2140" t="s">
        <v>2136</v>
      </c>
      <c r="E48" s="1083" t="e">
        <f>R48</f>
        <v>#DIV/0!</v>
      </c>
      <c r="F48" s="2141"/>
      <c r="G48" s="1082" t="e">
        <f>T48</f>
        <v>#DIV/0!</v>
      </c>
      <c r="H48" s="2141"/>
      <c r="I48" s="1083" t="e">
        <f>V48</f>
        <v>#DIV/0!</v>
      </c>
      <c r="J48" s="2141"/>
      <c r="K48" s="2143">
        <f>F48+H48+J48</f>
        <v>0</v>
      </c>
      <c r="L48" s="2492"/>
      <c r="M48" s="2485"/>
      <c r="N48" s="2485"/>
      <c r="O48" s="2485"/>
      <c r="P48" s="3390" t="str">
        <f>A48</f>
        <v>比较价值（元/平方米）</v>
      </c>
      <c r="Q48" s="3390"/>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9"/>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375.87</v>
      </c>
      <c r="E3" s="1804"/>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52" t="s">
        <v>1770</v>
      </c>
      <c r="D4" s="3353"/>
      <c r="E4" s="3354" t="s">
        <v>1771</v>
      </c>
      <c r="F4" s="3355"/>
      <c r="G4" s="3352" t="s">
        <v>1772</v>
      </c>
      <c r="H4" s="3353"/>
      <c r="I4" s="3352" t="s">
        <v>1773</v>
      </c>
      <c r="J4" s="3353"/>
      <c r="K4" s="537" t="s">
        <v>1774</v>
      </c>
      <c r="L4" s="2484"/>
      <c r="M4" s="2485"/>
      <c r="N4" s="2485"/>
      <c r="O4" s="2485"/>
      <c r="P4" s="3428" t="s">
        <v>1775</v>
      </c>
      <c r="Q4" s="3429"/>
      <c r="R4" s="3423" t="s">
        <v>1771</v>
      </c>
      <c r="S4" s="3424"/>
      <c r="T4" s="3423" t="s">
        <v>1772</v>
      </c>
      <c r="U4" s="3424"/>
      <c r="V4" s="3432" t="s">
        <v>1773</v>
      </c>
      <c r="W4" s="3432"/>
      <c r="X4" s="1808"/>
      <c r="Y4" s="3423" t="s">
        <v>1775</v>
      </c>
      <c r="Z4" s="3424"/>
      <c r="AA4" s="3422" t="s">
        <v>1771</v>
      </c>
      <c r="AB4" s="3422" t="s">
        <v>1772</v>
      </c>
      <c r="AC4" s="3425" t="s">
        <v>1773</v>
      </c>
    </row>
    <row r="5" spans="1:29" ht="15">
      <c r="A5" s="348"/>
      <c r="B5" s="349"/>
      <c r="C5" s="3394" t="s">
        <v>1673</v>
      </c>
      <c r="D5" s="3367"/>
      <c r="E5" s="3421" t="s">
        <v>1674</v>
      </c>
      <c r="F5" s="3369"/>
      <c r="G5" s="3394" t="s">
        <v>1675</v>
      </c>
      <c r="H5" s="3367"/>
      <c r="I5" s="3394" t="s">
        <v>1676</v>
      </c>
      <c r="J5" s="3367"/>
      <c r="K5" s="537"/>
      <c r="L5" s="2484"/>
      <c r="M5" s="2485"/>
      <c r="N5" s="2485"/>
      <c r="O5" s="2485"/>
      <c r="P5" s="3430"/>
      <c r="Q5" s="3359"/>
      <c r="R5" s="3364"/>
      <c r="S5" s="3365"/>
      <c r="T5" s="3364"/>
      <c r="U5" s="3365"/>
      <c r="V5" s="3376"/>
      <c r="W5" s="3376"/>
      <c r="X5" s="1264"/>
      <c r="Y5" s="3364"/>
      <c r="Z5" s="3365"/>
      <c r="AA5" s="3350"/>
      <c r="AB5" s="3350"/>
      <c r="AC5" s="3426"/>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431"/>
      <c r="Q6" s="3361"/>
      <c r="R6" s="3364"/>
      <c r="S6" s="3365"/>
      <c r="T6" s="3374"/>
      <c r="U6" s="3375"/>
      <c r="V6" s="3376"/>
      <c r="W6" s="3376"/>
      <c r="X6" s="1264"/>
      <c r="Y6" s="3374"/>
      <c r="Z6" s="3375"/>
      <c r="AA6" s="3351"/>
      <c r="AB6" s="3351"/>
      <c r="AC6" s="3427"/>
    </row>
    <row r="7" spans="1:29" s="102" customFormat="1" ht="15.75" thickBot="1">
      <c r="A7" s="352" t="s">
        <v>1679</v>
      </c>
      <c r="B7" s="353"/>
      <c r="C7" s="354">
        <f>'数据-取费表'!B2</f>
        <v>45622</v>
      </c>
      <c r="D7" s="355">
        <v>100</v>
      </c>
      <c r="E7" s="356"/>
      <c r="F7" s="357">
        <f>SUMIF(59:59,YEAR(E7)&amp;"-"&amp;MONTH(E7),60:60)</f>
        <v>0</v>
      </c>
      <c r="G7" s="356"/>
      <c r="H7" s="355">
        <f>SUMIF(59:59,YEAR(G7)&amp;"-"&amp;MONTH(G7),60:60)</f>
        <v>0</v>
      </c>
      <c r="I7" s="356"/>
      <c r="J7" s="355">
        <f>SUMIF(59:59,YEAR(I7)&amp;"-"&amp;MONTH(I7),60:60)</f>
        <v>0</v>
      </c>
      <c r="K7" s="38"/>
      <c r="L7" s="2486"/>
      <c r="M7" s="2437"/>
      <c r="N7" s="2437"/>
      <c r="O7" s="2437"/>
      <c r="P7" s="3433" t="s">
        <v>1680</v>
      </c>
      <c r="Q7" s="3378"/>
      <c r="R7" s="664" t="s">
        <v>14</v>
      </c>
      <c r="S7" s="665">
        <f t="shared" ref="S7:S15" si="0">F7</f>
        <v>0</v>
      </c>
      <c r="T7" s="664" t="s">
        <v>14</v>
      </c>
      <c r="U7" s="665">
        <f t="shared" ref="U7:U15" si="1">H7</f>
        <v>0</v>
      </c>
      <c r="V7" s="664" t="s">
        <v>14</v>
      </c>
      <c r="W7" s="665">
        <f t="shared" ref="W7:W15" si="2">J7</f>
        <v>0</v>
      </c>
      <c r="X7" s="666"/>
      <c r="Y7" s="3377" t="s">
        <v>1680</v>
      </c>
      <c r="Z7" s="337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33" t="s">
        <v>1683</v>
      </c>
      <c r="Q8" s="3379"/>
      <c r="R8" s="664" t="s">
        <v>14</v>
      </c>
      <c r="S8" s="665">
        <f t="shared" si="0"/>
        <v>100</v>
      </c>
      <c r="T8" s="664" t="s">
        <v>14</v>
      </c>
      <c r="U8" s="665">
        <f t="shared" si="1"/>
        <v>100</v>
      </c>
      <c r="V8" s="664" t="s">
        <v>14</v>
      </c>
      <c r="W8" s="665">
        <f t="shared" si="2"/>
        <v>100</v>
      </c>
      <c r="X8" s="666"/>
      <c r="Y8" s="3377" t="s">
        <v>1683</v>
      </c>
      <c r="Z8" s="337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8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7"/>
      <c r="N12" s="2437"/>
      <c r="O12" s="2437"/>
      <c r="P12" s="338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8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8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81" t="s">
        <v>1691</v>
      </c>
      <c r="Q15" s="1262" t="str">
        <f t="shared" si="6"/>
        <v>办公集聚程度</v>
      </c>
      <c r="R15" s="667" t="s">
        <v>14</v>
      </c>
      <c r="S15" s="668">
        <f t="shared" si="0"/>
        <v>100</v>
      </c>
      <c r="T15" s="667" t="s">
        <v>14</v>
      </c>
      <c r="U15" s="668">
        <f t="shared" si="1"/>
        <v>100</v>
      </c>
      <c r="V15" s="667" t="s">
        <v>14</v>
      </c>
      <c r="W15" s="668">
        <f t="shared" si="2"/>
        <v>100</v>
      </c>
      <c r="X15" s="1264"/>
      <c r="Y15" s="3383"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382"/>
      <c r="Q16" s="1262"/>
      <c r="R16" s="667"/>
      <c r="S16" s="668"/>
      <c r="T16" s="667"/>
      <c r="U16" s="668"/>
      <c r="V16" s="667"/>
      <c r="W16" s="668"/>
      <c r="X16" s="1264"/>
      <c r="Y16" s="3384"/>
      <c r="Z16" s="1263"/>
      <c r="AA16" s="1263">
        <v>1</v>
      </c>
      <c r="AB16" s="1263">
        <v>1</v>
      </c>
      <c r="AC16" s="1811">
        <v>1</v>
      </c>
    </row>
    <row r="17" spans="1:29" ht="156.75">
      <c r="A17" s="367"/>
      <c r="B17" s="556" t="s">
        <v>1259</v>
      </c>
      <c r="C17" s="1812" t="str">
        <f>估价对象房地状况!C6</f>
        <v>估价对象周边有24路、117路、123路、132路、135路、413路、515路等多条公交线路，地铁2号线及13号线换乘站（东直门站），东直门长途汽车站等，综合评价交通便捷度较好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82"/>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382"/>
      <c r="Q18" s="1262"/>
      <c r="R18" s="667"/>
      <c r="S18" s="668"/>
      <c r="T18" s="667"/>
      <c r="U18" s="668"/>
      <c r="V18" s="667"/>
      <c r="W18" s="668"/>
      <c r="X18" s="1264"/>
      <c r="Y18" s="3384"/>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82"/>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382"/>
      <c r="Q20" s="1262"/>
      <c r="R20" s="667"/>
      <c r="S20" s="668"/>
      <c r="T20" s="667"/>
      <c r="U20" s="668"/>
      <c r="V20" s="667"/>
      <c r="W20" s="668"/>
      <c r="X20" s="1264"/>
      <c r="Y20" s="3384"/>
      <c r="Z20" s="1263"/>
      <c r="AA20" s="1263">
        <v>1</v>
      </c>
      <c r="AB20" s="1263">
        <v>1</v>
      </c>
      <c r="AC20" s="1811">
        <v>1</v>
      </c>
    </row>
    <row r="21" spans="1:29" ht="15">
      <c r="A21" s="367"/>
      <c r="B21" s="557" t="s">
        <v>1813</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82"/>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0"/>
      <c r="M22" s="2485"/>
      <c r="N22" s="2485"/>
      <c r="O22" s="2485"/>
      <c r="P22" s="3382"/>
      <c r="Q22" s="1262"/>
      <c r="R22" s="667"/>
      <c r="S22" s="668"/>
      <c r="T22" s="667"/>
      <c r="U22" s="668"/>
      <c r="V22" s="667"/>
      <c r="W22" s="668"/>
      <c r="X22" s="1264"/>
      <c r="Y22" s="3384"/>
      <c r="Z22" s="1263"/>
      <c r="AA22" s="1263">
        <v>1</v>
      </c>
      <c r="AB22" s="1263">
        <v>1</v>
      </c>
      <c r="AC22" s="1811">
        <v>1</v>
      </c>
    </row>
    <row r="23" spans="1:29" ht="99.75">
      <c r="A23" s="367"/>
      <c r="B23" s="556" t="s">
        <v>1814</v>
      </c>
      <c r="C23" s="1812" t="str">
        <f>估价对象房地状况!C9</f>
        <v>区域自然环境：亮马河、东城区亮马河公园；人文环境：工人体育场、东直门外清真寺；综合评价环境状况较好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82"/>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382"/>
      <c r="Q24" s="1262"/>
      <c r="R24" s="667"/>
      <c r="S24" s="668"/>
      <c r="T24" s="667"/>
      <c r="U24" s="668"/>
      <c r="V24" s="667"/>
      <c r="W24" s="668"/>
      <c r="X24" s="1264"/>
      <c r="Y24" s="3384"/>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82"/>
      <c r="Q25" s="1262" t="str">
        <f>B25</f>
        <v>毗邻道路的类型与等级</v>
      </c>
      <c r="R25" s="667" t="s">
        <v>14</v>
      </c>
      <c r="S25" s="668">
        <f>F25</f>
        <v>100</v>
      </c>
      <c r="T25" s="667" t="s">
        <v>14</v>
      </c>
      <c r="U25" s="668">
        <f>H25</f>
        <v>100</v>
      </c>
      <c r="V25" s="667" t="s">
        <v>14</v>
      </c>
      <c r="W25" s="668">
        <f>J25</f>
        <v>100</v>
      </c>
      <c r="X25" s="1264"/>
      <c r="Y25" s="3384"/>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382"/>
      <c r="Q26" s="1262"/>
      <c r="R26" s="667"/>
      <c r="S26" s="668"/>
      <c r="T26" s="667"/>
      <c r="U26" s="668"/>
      <c r="V26" s="667"/>
      <c r="W26" s="668"/>
      <c r="X26" s="1264"/>
      <c r="Y26" s="3384"/>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82"/>
      <c r="Q27" s="1262" t="str">
        <f t="shared" ref="Q27:Q47" si="11">B27</f>
        <v>楼层</v>
      </c>
      <c r="R27" s="667" t="s">
        <v>14</v>
      </c>
      <c r="S27" s="668">
        <f>F27</f>
        <v>100</v>
      </c>
      <c r="T27" s="667" t="s">
        <v>14</v>
      </c>
      <c r="U27" s="668">
        <f>H27</f>
        <v>100</v>
      </c>
      <c r="V27" s="667" t="s">
        <v>14</v>
      </c>
      <c r="W27" s="668">
        <f>J27</f>
        <v>100</v>
      </c>
      <c r="X27" s="1264"/>
      <c r="Y27" s="3384"/>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7"/>
      <c r="N28" s="2437"/>
      <c r="O28" s="2437"/>
      <c r="P28" s="3382"/>
      <c r="Q28" s="530" t="str">
        <f t="shared" si="11"/>
        <v>朝向</v>
      </c>
      <c r="R28" s="664" t="s">
        <v>14</v>
      </c>
      <c r="S28" s="665">
        <f>F28</f>
        <v>100</v>
      </c>
      <c r="T28" s="664" t="s">
        <v>14</v>
      </c>
      <c r="U28" s="665">
        <f>H28</f>
        <v>100</v>
      </c>
      <c r="V28" s="664" t="s">
        <v>14</v>
      </c>
      <c r="W28" s="665">
        <f>J28</f>
        <v>100</v>
      </c>
      <c r="X28" s="666"/>
      <c r="Y28" s="3384"/>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382"/>
      <c r="Q29" s="1262">
        <f t="shared" si="11"/>
        <v>111</v>
      </c>
      <c r="R29" s="667" t="s">
        <v>14</v>
      </c>
      <c r="S29" s="668">
        <f t="shared" ref="S29:S47" si="12">F29</f>
        <v>100</v>
      </c>
      <c r="T29" s="667" t="s">
        <v>14</v>
      </c>
      <c r="U29" s="668">
        <f t="shared" ref="U29:U47" si="13">H29</f>
        <v>100</v>
      </c>
      <c r="V29" s="667" t="s">
        <v>14</v>
      </c>
      <c r="W29" s="668">
        <f t="shared" ref="W29:W47" si="14">J29</f>
        <v>100</v>
      </c>
      <c r="X29" s="1264"/>
      <c r="Y29" s="3384"/>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382"/>
      <c r="Q30" s="1262">
        <f t="shared" si="11"/>
        <v>111</v>
      </c>
      <c r="R30" s="667" t="s">
        <v>14</v>
      </c>
      <c r="S30" s="668">
        <f t="shared" si="12"/>
        <v>100</v>
      </c>
      <c r="T30" s="667" t="s">
        <v>14</v>
      </c>
      <c r="U30" s="668">
        <f t="shared" si="13"/>
        <v>100</v>
      </c>
      <c r="V30" s="667" t="s">
        <v>14</v>
      </c>
      <c r="W30" s="668">
        <f t="shared" si="14"/>
        <v>100</v>
      </c>
      <c r="X30" s="1264"/>
      <c r="Y30" s="3384"/>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382"/>
      <c r="Q31" s="1262">
        <f t="shared" si="11"/>
        <v>111</v>
      </c>
      <c r="R31" s="667" t="s">
        <v>14</v>
      </c>
      <c r="S31" s="668">
        <f t="shared" si="12"/>
        <v>100</v>
      </c>
      <c r="T31" s="667" t="s">
        <v>14</v>
      </c>
      <c r="U31" s="668">
        <f t="shared" si="13"/>
        <v>100</v>
      </c>
      <c r="V31" s="667" t="s">
        <v>14</v>
      </c>
      <c r="W31" s="668">
        <f t="shared" si="14"/>
        <v>100</v>
      </c>
      <c r="X31" s="1264"/>
      <c r="Y31" s="3384"/>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382"/>
      <c r="Q32" s="1262">
        <f t="shared" si="11"/>
        <v>111</v>
      </c>
      <c r="R32" s="667" t="s">
        <v>14</v>
      </c>
      <c r="S32" s="668">
        <f t="shared" si="12"/>
        <v>100</v>
      </c>
      <c r="T32" s="667" t="s">
        <v>14</v>
      </c>
      <c r="U32" s="668">
        <f t="shared" si="13"/>
        <v>100</v>
      </c>
      <c r="V32" s="667" t="s">
        <v>14</v>
      </c>
      <c r="W32" s="668">
        <f t="shared" si="14"/>
        <v>100</v>
      </c>
      <c r="X32" s="1264"/>
      <c r="Y32" s="3384"/>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85" t="s">
        <v>1696</v>
      </c>
      <c r="Q33" s="1262" t="str">
        <f t="shared" si="11"/>
        <v>建筑类型</v>
      </c>
      <c r="R33" s="667" t="s">
        <v>14</v>
      </c>
      <c r="S33" s="668">
        <f t="shared" si="12"/>
        <v>100</v>
      </c>
      <c r="T33" s="667" t="s">
        <v>14</v>
      </c>
      <c r="U33" s="668">
        <f t="shared" si="13"/>
        <v>100</v>
      </c>
      <c r="V33" s="667" t="s">
        <v>14</v>
      </c>
      <c r="W33" s="668">
        <f t="shared" si="14"/>
        <v>100</v>
      </c>
      <c r="X33" s="1264"/>
      <c r="Y33" s="3388"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6"/>
      <c r="Q35" s="1262" t="str">
        <f t="shared" si="11"/>
        <v>建筑结构</v>
      </c>
      <c r="R35" s="667" t="s">
        <v>14</v>
      </c>
      <c r="S35" s="668">
        <f t="shared" si="12"/>
        <v>100</v>
      </c>
      <c r="T35" s="667" t="s">
        <v>14</v>
      </c>
      <c r="U35" s="668">
        <f t="shared" si="13"/>
        <v>100</v>
      </c>
      <c r="V35" s="667" t="s">
        <v>14</v>
      </c>
      <c r="W35" s="668">
        <f t="shared" si="14"/>
        <v>100</v>
      </c>
      <c r="X35" s="1264"/>
      <c r="Y35" s="3388"/>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6"/>
      <c r="Q36" s="1262" t="str">
        <f t="shared" si="11"/>
        <v>公共部分装修</v>
      </c>
      <c r="R36" s="667" t="s">
        <v>14</v>
      </c>
      <c r="S36" s="668">
        <f t="shared" si="12"/>
        <v>100</v>
      </c>
      <c r="T36" s="667" t="s">
        <v>14</v>
      </c>
      <c r="U36" s="668">
        <f t="shared" si="13"/>
        <v>100</v>
      </c>
      <c r="V36" s="667" t="s">
        <v>14</v>
      </c>
      <c r="W36" s="668">
        <f t="shared" si="14"/>
        <v>100</v>
      </c>
      <c r="X36" s="1264"/>
      <c r="Y36" s="3388"/>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6"/>
      <c r="Q37" s="1262" t="str">
        <f t="shared" si="11"/>
        <v>成新度</v>
      </c>
      <c r="R37" s="667" t="s">
        <v>14</v>
      </c>
      <c r="S37" s="668" t="e">
        <f t="shared" si="12"/>
        <v>#N/A</v>
      </c>
      <c r="T37" s="667" t="s">
        <v>14</v>
      </c>
      <c r="U37" s="668" t="e">
        <f t="shared" si="13"/>
        <v>#N/A</v>
      </c>
      <c r="V37" s="667" t="s">
        <v>14</v>
      </c>
      <c r="W37" s="668" t="e">
        <f t="shared" si="14"/>
        <v>#N/A</v>
      </c>
      <c r="X37" s="1264"/>
      <c r="Y37" s="3388"/>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6" t="s">
        <v>1696</v>
      </c>
      <c r="Q39" s="1262" t="str">
        <f t="shared" si="11"/>
        <v>物业管理</v>
      </c>
      <c r="R39" s="667" t="s">
        <v>14</v>
      </c>
      <c r="S39" s="668">
        <f t="shared" si="12"/>
        <v>100</v>
      </c>
      <c r="T39" s="667" t="s">
        <v>14</v>
      </c>
      <c r="U39" s="668">
        <f t="shared" si="13"/>
        <v>100</v>
      </c>
      <c r="V39" s="667" t="s">
        <v>14</v>
      </c>
      <c r="W39" s="668">
        <f t="shared" si="14"/>
        <v>100</v>
      </c>
      <c r="X39" s="1264"/>
      <c r="Y39" s="3388"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6"/>
      <c r="Q40" s="1262" t="str">
        <f t="shared" si="11"/>
        <v>市政基础设施</v>
      </c>
      <c r="R40" s="667" t="s">
        <v>14</v>
      </c>
      <c r="S40" s="668">
        <f t="shared" si="12"/>
        <v>100</v>
      </c>
      <c r="T40" s="667" t="s">
        <v>14</v>
      </c>
      <c r="U40" s="668">
        <f t="shared" si="13"/>
        <v>100</v>
      </c>
      <c r="V40" s="667" t="s">
        <v>14</v>
      </c>
      <c r="W40" s="668">
        <f t="shared" si="14"/>
        <v>100</v>
      </c>
      <c r="X40" s="1264"/>
      <c r="Y40" s="3388"/>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6"/>
      <c r="Q41" s="1262" t="str">
        <f t="shared" si="11"/>
        <v>层高</v>
      </c>
      <c r="R41" s="667" t="s">
        <v>14</v>
      </c>
      <c r="S41" s="668">
        <f t="shared" si="12"/>
        <v>100</v>
      </c>
      <c r="T41" s="667" t="s">
        <v>14</v>
      </c>
      <c r="U41" s="668">
        <f t="shared" si="13"/>
        <v>100</v>
      </c>
      <c r="V41" s="667" t="s">
        <v>14</v>
      </c>
      <c r="W41" s="668">
        <f t="shared" si="14"/>
        <v>100</v>
      </c>
      <c r="X41" s="1264"/>
      <c r="Y41" s="3388"/>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6"/>
      <c r="Q43" s="1262" t="str">
        <f t="shared" si="11"/>
        <v>内部装修</v>
      </c>
      <c r="R43" s="667" t="s">
        <v>14</v>
      </c>
      <c r="S43" s="668">
        <f t="shared" si="12"/>
        <v>100</v>
      </c>
      <c r="T43" s="667" t="s">
        <v>14</v>
      </c>
      <c r="U43" s="668">
        <f t="shared" si="13"/>
        <v>100</v>
      </c>
      <c r="V43" s="667" t="s">
        <v>14</v>
      </c>
      <c r="W43" s="668">
        <f t="shared" si="14"/>
        <v>100</v>
      </c>
      <c r="X43" s="1264"/>
      <c r="Y43" s="3388"/>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86"/>
      <c r="Q44" s="1262" t="str">
        <f t="shared" si="11"/>
        <v>内部装修维护情况</v>
      </c>
      <c r="R44" s="667" t="s">
        <v>14</v>
      </c>
      <c r="S44" s="668">
        <f t="shared" si="12"/>
        <v>100</v>
      </c>
      <c r="T44" s="667" t="s">
        <v>14</v>
      </c>
      <c r="U44" s="668">
        <f t="shared" si="13"/>
        <v>100</v>
      </c>
      <c r="V44" s="667" t="s">
        <v>14</v>
      </c>
      <c r="W44" s="668">
        <f t="shared" si="14"/>
        <v>100</v>
      </c>
      <c r="X44" s="1264"/>
      <c r="Y44" s="3388"/>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6"/>
      <c r="Q46" s="1262">
        <f t="shared" si="11"/>
        <v>111</v>
      </c>
      <c r="R46" s="667" t="s">
        <v>14</v>
      </c>
      <c r="S46" s="668">
        <f t="shared" si="12"/>
        <v>100</v>
      </c>
      <c r="T46" s="667" t="s">
        <v>14</v>
      </c>
      <c r="U46" s="668">
        <f t="shared" si="13"/>
        <v>100</v>
      </c>
      <c r="V46" s="667" t="s">
        <v>14</v>
      </c>
      <c r="W46" s="668">
        <f t="shared" si="14"/>
        <v>100</v>
      </c>
      <c r="X46" s="1264"/>
      <c r="Y46" s="3388"/>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7"/>
      <c r="Q47" s="1262">
        <f t="shared" si="11"/>
        <v>111</v>
      </c>
      <c r="R47" s="667" t="s">
        <v>14</v>
      </c>
      <c r="S47" s="668">
        <f t="shared" si="12"/>
        <v>100</v>
      </c>
      <c r="T47" s="667" t="s">
        <v>14</v>
      </c>
      <c r="U47" s="668">
        <f t="shared" si="13"/>
        <v>100</v>
      </c>
      <c r="V47" s="667" t="s">
        <v>14</v>
      </c>
      <c r="W47" s="668">
        <f t="shared" si="14"/>
        <v>100</v>
      </c>
      <c r="X47" s="1264"/>
      <c r="Y47" s="3389"/>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2"/>
      <c r="M48" s="2485"/>
      <c r="N48" s="2485"/>
      <c r="O48" s="2485"/>
      <c r="P48" s="3380" t="str">
        <f>A48</f>
        <v>成交单价（元/平方米）</v>
      </c>
      <c r="Q48" s="3390"/>
      <c r="R48" s="3376">
        <f>E48</f>
        <v>0</v>
      </c>
      <c r="S48" s="3376"/>
      <c r="T48" s="3376">
        <f>G48</f>
        <v>0</v>
      </c>
      <c r="U48" s="3376"/>
      <c r="V48" s="3376">
        <f>I48</f>
        <v>0</v>
      </c>
      <c r="W48" s="3376"/>
      <c r="X48" s="385"/>
      <c r="Y48" s="673"/>
      <c r="Z48" s="385"/>
      <c r="AA48" s="385"/>
      <c r="AB48" s="385"/>
      <c r="AC48" s="555"/>
    </row>
    <row r="49" spans="1:29" ht="15.75" thickBot="1">
      <c r="A49" s="423" t="s">
        <v>1793</v>
      </c>
      <c r="B49" s="424"/>
      <c r="C49" s="1082" t="e">
        <f>R50</f>
        <v>#DIV/0!</v>
      </c>
      <c r="D49" s="2140" t="s">
        <v>2136</v>
      </c>
      <c r="E49" s="1083" t="e">
        <f>R49</f>
        <v>#DIV/0!</v>
      </c>
      <c r="F49" s="2141"/>
      <c r="G49" s="1082" t="e">
        <f>T49</f>
        <v>#DIV/0!</v>
      </c>
      <c r="H49" s="2141"/>
      <c r="I49" s="1083" t="e">
        <f>V49</f>
        <v>#DIV/0!</v>
      </c>
      <c r="J49" s="2141"/>
      <c r="K49" s="2143">
        <f>F49+H49+J49</f>
        <v>0</v>
      </c>
      <c r="L49" s="2492"/>
      <c r="M49" s="2485"/>
      <c r="N49" s="2485"/>
      <c r="O49" s="2485"/>
      <c r="P49" s="3380" t="str">
        <f>A49</f>
        <v>比较价值（元/平方米）</v>
      </c>
      <c r="Q49" s="3390"/>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9"/>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375.87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860"/>
      <c r="M4" s="861"/>
      <c r="N4" s="861"/>
      <c r="O4" s="861"/>
      <c r="P4" s="3356" t="s">
        <v>1775</v>
      </c>
      <c r="Q4" s="3357"/>
      <c r="R4" s="3362" t="s">
        <v>1771</v>
      </c>
      <c r="S4" s="3363"/>
      <c r="T4" s="3362" t="s">
        <v>1772</v>
      </c>
      <c r="U4" s="3363"/>
      <c r="V4" s="3376" t="s">
        <v>1773</v>
      </c>
      <c r="W4" s="3376"/>
      <c r="X4" s="1264"/>
      <c r="Y4" s="3362" t="s">
        <v>1775</v>
      </c>
      <c r="Z4" s="3363"/>
      <c r="AA4" s="3349" t="s">
        <v>1771</v>
      </c>
      <c r="AB4" s="3350" t="s">
        <v>1772</v>
      </c>
      <c r="AC4" s="3349" t="s">
        <v>1773</v>
      </c>
    </row>
    <row r="5" spans="1:29" ht="15">
      <c r="A5" s="348"/>
      <c r="B5" s="349"/>
      <c r="C5" s="3394" t="s">
        <v>1673</v>
      </c>
      <c r="D5" s="3367"/>
      <c r="E5" s="3421" t="s">
        <v>1674</v>
      </c>
      <c r="F5" s="3369"/>
      <c r="G5" s="3394" t="s">
        <v>1675</v>
      </c>
      <c r="H5" s="3367"/>
      <c r="I5" s="3394" t="s">
        <v>1676</v>
      </c>
      <c r="J5" s="3367"/>
      <c r="K5" s="537"/>
      <c r="L5" s="860"/>
      <c r="M5" s="861"/>
      <c r="N5" s="861"/>
      <c r="O5" s="861"/>
      <c r="P5" s="3358"/>
      <c r="Q5" s="3359"/>
      <c r="R5" s="3364"/>
      <c r="S5" s="3365"/>
      <c r="T5" s="3364"/>
      <c r="U5" s="3365"/>
      <c r="V5" s="3376"/>
      <c r="W5" s="3376"/>
      <c r="X5" s="1264"/>
      <c r="Y5" s="3364"/>
      <c r="Z5" s="3365"/>
      <c r="AA5" s="3350"/>
      <c r="AB5" s="3350"/>
      <c r="AC5" s="3350"/>
    </row>
    <row r="6" spans="1:29" ht="15.75" thickBot="1">
      <c r="A6" s="350"/>
      <c r="B6" s="351"/>
      <c r="C6" s="3370" t="s">
        <v>1677</v>
      </c>
      <c r="D6" s="3371"/>
      <c r="E6" s="3372" t="s">
        <v>1677</v>
      </c>
      <c r="F6" s="3373"/>
      <c r="G6" s="3370" t="s">
        <v>1677</v>
      </c>
      <c r="H6" s="3371"/>
      <c r="I6" s="3370" t="s">
        <v>1677</v>
      </c>
      <c r="J6" s="3371"/>
      <c r="K6" s="537" t="s">
        <v>1678</v>
      </c>
      <c r="L6" s="860"/>
      <c r="M6" s="861"/>
      <c r="N6" s="861"/>
      <c r="O6" s="861"/>
      <c r="P6" s="3360"/>
      <c r="Q6" s="3361"/>
      <c r="R6" s="3364"/>
      <c r="S6" s="3365"/>
      <c r="T6" s="3374"/>
      <c r="U6" s="3375"/>
      <c r="V6" s="3376"/>
      <c r="W6" s="3376"/>
      <c r="X6" s="1264"/>
      <c r="Y6" s="3374"/>
      <c r="Z6" s="3375"/>
      <c r="AA6" s="3351"/>
      <c r="AB6" s="3351"/>
      <c r="AC6" s="3351"/>
    </row>
    <row r="7" spans="1:29" s="102" customFormat="1" ht="15.75" thickBot="1">
      <c r="A7" s="352" t="s">
        <v>1679</v>
      </c>
      <c r="B7" s="353"/>
      <c r="C7" s="354">
        <f>'数据-取费表'!B2</f>
        <v>45622</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378"/>
      <c r="R7" s="664" t="s">
        <v>14</v>
      </c>
      <c r="S7" s="665">
        <f t="shared" ref="S7:S15" si="0">F7</f>
        <v>0</v>
      </c>
      <c r="T7" s="664" t="s">
        <v>14</v>
      </c>
      <c r="U7" s="665">
        <f t="shared" ref="U7:U15" si="1">H7</f>
        <v>0</v>
      </c>
      <c r="V7" s="664" t="s">
        <v>14</v>
      </c>
      <c r="W7" s="665">
        <f t="shared" ref="W7:W15" si="2">J7</f>
        <v>0</v>
      </c>
      <c r="X7" s="666"/>
      <c r="Y7" s="3377" t="s">
        <v>1680</v>
      </c>
      <c r="Z7" s="337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9"/>
      <c r="R8" s="664" t="s">
        <v>14</v>
      </c>
      <c r="S8" s="665">
        <f t="shared" si="0"/>
        <v>100</v>
      </c>
      <c r="T8" s="664" t="s">
        <v>14</v>
      </c>
      <c r="U8" s="665">
        <f t="shared" si="1"/>
        <v>100</v>
      </c>
      <c r="V8" s="664" t="s">
        <v>14</v>
      </c>
      <c r="W8" s="665">
        <f t="shared" si="2"/>
        <v>100</v>
      </c>
      <c r="X8" s="666"/>
      <c r="Y8" s="3377" t="s">
        <v>1683</v>
      </c>
      <c r="Z8" s="337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9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0"/>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9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9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9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4"/>
      <c r="Q16" s="1262"/>
      <c r="R16" s="667"/>
      <c r="S16" s="668"/>
      <c r="T16" s="667"/>
      <c r="U16" s="668"/>
      <c r="V16" s="667"/>
      <c r="W16" s="668"/>
      <c r="X16" s="1264"/>
      <c r="Y16" s="3384"/>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4"/>
      <c r="Q18" s="1262"/>
      <c r="R18" s="667"/>
      <c r="S18" s="668"/>
      <c r="T18" s="667"/>
      <c r="U18" s="668"/>
      <c r="V18" s="667"/>
      <c r="W18" s="668"/>
      <c r="X18" s="1264"/>
      <c r="Y18" s="3384"/>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2" t="str">
        <f>B19</f>
        <v>公共配套设施</v>
      </c>
      <c r="R19" s="667" t="s">
        <v>14</v>
      </c>
      <c r="S19" s="668">
        <f>F19</f>
        <v>100</v>
      </c>
      <c r="T19" s="667" t="s">
        <v>14</v>
      </c>
      <c r="U19" s="668">
        <f>H19</f>
        <v>100</v>
      </c>
      <c r="V19" s="667" t="s">
        <v>14</v>
      </c>
      <c r="W19" s="668">
        <f>J19</f>
        <v>100</v>
      </c>
      <c r="X19" s="1264"/>
      <c r="Y19" s="338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4"/>
      <c r="Q20" s="1262"/>
      <c r="R20" s="667"/>
      <c r="S20" s="668"/>
      <c r="T20" s="667"/>
      <c r="U20" s="668"/>
      <c r="V20" s="667"/>
      <c r="W20" s="668"/>
      <c r="X20" s="1264"/>
      <c r="Y20" s="3384"/>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2" t="str">
        <f>B21</f>
        <v>基础设施水平</v>
      </c>
      <c r="R21" s="667" t="s">
        <v>14</v>
      </c>
      <c r="S21" s="668">
        <f>F21</f>
        <v>100</v>
      </c>
      <c r="T21" s="667" t="s">
        <v>14</v>
      </c>
      <c r="U21" s="668">
        <f>H21</f>
        <v>100</v>
      </c>
      <c r="V21" s="667" t="s">
        <v>14</v>
      </c>
      <c r="W21" s="668">
        <f>J21</f>
        <v>100</v>
      </c>
      <c r="X21" s="1264"/>
      <c r="Y21" s="338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84"/>
      <c r="Q22" s="1262"/>
      <c r="R22" s="667"/>
      <c r="S22" s="668"/>
      <c r="T22" s="667"/>
      <c r="U22" s="668"/>
      <c r="V22" s="667"/>
      <c r="W22" s="668"/>
      <c r="X22" s="1264"/>
      <c r="Y22" s="3384"/>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2" t="str">
        <f>B23</f>
        <v>环境质量</v>
      </c>
      <c r="R23" s="667" t="s">
        <v>14</v>
      </c>
      <c r="S23" s="668">
        <f>F23</f>
        <v>100</v>
      </c>
      <c r="T23" s="667" t="s">
        <v>14</v>
      </c>
      <c r="U23" s="668">
        <f>H23</f>
        <v>100</v>
      </c>
      <c r="V23" s="667" t="s">
        <v>14</v>
      </c>
      <c r="W23" s="668">
        <f>J23</f>
        <v>100</v>
      </c>
      <c r="X23" s="1264"/>
      <c r="Y23" s="338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4"/>
      <c r="Q24" s="1262"/>
      <c r="R24" s="667"/>
      <c r="S24" s="668"/>
      <c r="T24" s="667"/>
      <c r="U24" s="668"/>
      <c r="V24" s="667"/>
      <c r="W24" s="668"/>
      <c r="X24" s="1264"/>
      <c r="Y24" s="3384"/>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2">
        <f>B25</f>
        <v>111</v>
      </c>
      <c r="R25" s="667" t="s">
        <v>14</v>
      </c>
      <c r="S25" s="668">
        <f>F25</f>
        <v>100</v>
      </c>
      <c r="T25" s="667" t="s">
        <v>14</v>
      </c>
      <c r="U25" s="668">
        <f>H25</f>
        <v>100</v>
      </c>
      <c r="V25" s="667" t="s">
        <v>14</v>
      </c>
      <c r="W25" s="668">
        <f>J25</f>
        <v>100</v>
      </c>
      <c r="X25" s="1264"/>
      <c r="Y25" s="3384"/>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2">
        <f t="shared" ref="Q26:Q40" si="11">B26</f>
        <v>111</v>
      </c>
      <c r="R26" s="667" t="s">
        <v>14</v>
      </c>
      <c r="S26" s="668">
        <f>F26</f>
        <v>100</v>
      </c>
      <c r="T26" s="667" t="s">
        <v>14</v>
      </c>
      <c r="U26" s="668">
        <f>H26</f>
        <v>100</v>
      </c>
      <c r="V26" s="667" t="s">
        <v>14</v>
      </c>
      <c r="W26" s="668">
        <f>J26</f>
        <v>100</v>
      </c>
      <c r="X26" s="1264"/>
      <c r="Y26" s="3384"/>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2">
        <f t="shared" si="11"/>
        <v>111</v>
      </c>
      <c r="R28" s="667" t="s">
        <v>14</v>
      </c>
      <c r="S28" s="668">
        <f t="shared" ref="S28:S40" si="12">F28</f>
        <v>100</v>
      </c>
      <c r="T28" s="667" t="s">
        <v>14</v>
      </c>
      <c r="U28" s="668">
        <f t="shared" ref="U28:U40" si="13">H28</f>
        <v>100</v>
      </c>
      <c r="V28" s="667" t="s">
        <v>14</v>
      </c>
      <c r="W28" s="668">
        <f t="shared" ref="W28:W40" si="14">J28</f>
        <v>100</v>
      </c>
      <c r="X28" s="1264"/>
      <c r="Y28" s="338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37" t="s">
        <v>1696</v>
      </c>
      <c r="Q29" s="1262" t="str">
        <f t="shared" si="11"/>
        <v>建筑类型</v>
      </c>
      <c r="R29" s="667" t="s">
        <v>14</v>
      </c>
      <c r="S29" s="668">
        <f t="shared" si="12"/>
        <v>100</v>
      </c>
      <c r="T29" s="667" t="s">
        <v>14</v>
      </c>
      <c r="U29" s="668">
        <f t="shared" si="13"/>
        <v>100</v>
      </c>
      <c r="V29" s="667" t="s">
        <v>14</v>
      </c>
      <c r="W29" s="668">
        <f t="shared" si="14"/>
        <v>100</v>
      </c>
      <c r="X29" s="1264"/>
      <c r="Y29" s="338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2" t="str">
        <f t="shared" si="11"/>
        <v>建筑结构</v>
      </c>
      <c r="R31" s="667" t="s">
        <v>14</v>
      </c>
      <c r="S31" s="668">
        <f t="shared" si="12"/>
        <v>100</v>
      </c>
      <c r="T31" s="667" t="s">
        <v>14</v>
      </c>
      <c r="U31" s="668">
        <f t="shared" si="13"/>
        <v>100</v>
      </c>
      <c r="V31" s="667" t="s">
        <v>14</v>
      </c>
      <c r="W31" s="668">
        <f t="shared" si="14"/>
        <v>100</v>
      </c>
      <c r="X31" s="1264"/>
      <c r="Y31" s="338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2" t="str">
        <f t="shared" si="11"/>
        <v>公共部分装修</v>
      </c>
      <c r="R32" s="667" t="s">
        <v>14</v>
      </c>
      <c r="S32" s="668">
        <f t="shared" si="12"/>
        <v>100</v>
      </c>
      <c r="T32" s="667" t="s">
        <v>14</v>
      </c>
      <c r="U32" s="668">
        <f t="shared" si="13"/>
        <v>100</v>
      </c>
      <c r="V32" s="667" t="s">
        <v>14</v>
      </c>
      <c r="W32" s="668">
        <f t="shared" si="14"/>
        <v>100</v>
      </c>
      <c r="X32" s="1264"/>
      <c r="Y32" s="338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2" t="str">
        <f t="shared" si="11"/>
        <v>成新度</v>
      </c>
      <c r="R33" s="667" t="s">
        <v>14</v>
      </c>
      <c r="S33" s="668" t="e">
        <f t="shared" si="12"/>
        <v>#N/A</v>
      </c>
      <c r="T33" s="667" t="s">
        <v>14</v>
      </c>
      <c r="U33" s="668" t="e">
        <f t="shared" si="13"/>
        <v>#N/A</v>
      </c>
      <c r="V33" s="667" t="s">
        <v>14</v>
      </c>
      <c r="W33" s="668" t="e">
        <f t="shared" si="14"/>
        <v>#N/A</v>
      </c>
      <c r="X33" s="1264"/>
      <c r="Y33" s="338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2" t="str">
        <f t="shared" si="11"/>
        <v>市政基础设施</v>
      </c>
      <c r="R35" s="667" t="s">
        <v>14</v>
      </c>
      <c r="S35" s="668">
        <f t="shared" si="12"/>
        <v>100</v>
      </c>
      <c r="T35" s="667" t="s">
        <v>14</v>
      </c>
      <c r="U35" s="668">
        <f t="shared" si="13"/>
        <v>100</v>
      </c>
      <c r="V35" s="667" t="s">
        <v>14</v>
      </c>
      <c r="W35" s="668">
        <f t="shared" si="14"/>
        <v>100</v>
      </c>
      <c r="X35" s="1264"/>
      <c r="Y35" s="338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2" t="str">
        <f t="shared" si="11"/>
        <v>内部装修</v>
      </c>
      <c r="R36" s="667" t="s">
        <v>14</v>
      </c>
      <c r="S36" s="668">
        <f t="shared" si="12"/>
        <v>100</v>
      </c>
      <c r="T36" s="667" t="s">
        <v>14</v>
      </c>
      <c r="U36" s="668">
        <f t="shared" si="13"/>
        <v>100</v>
      </c>
      <c r="V36" s="667" t="s">
        <v>14</v>
      </c>
      <c r="W36" s="668">
        <f t="shared" si="14"/>
        <v>100</v>
      </c>
      <c r="X36" s="1264"/>
      <c r="Y36" s="338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2" t="str">
        <f t="shared" si="11"/>
        <v>内部装修状况</v>
      </c>
      <c r="R37" s="667" t="s">
        <v>14</v>
      </c>
      <c r="S37" s="668">
        <f t="shared" si="12"/>
        <v>100</v>
      </c>
      <c r="T37" s="667" t="s">
        <v>14</v>
      </c>
      <c r="U37" s="668">
        <f t="shared" si="13"/>
        <v>100</v>
      </c>
      <c r="V37" s="667" t="s">
        <v>14</v>
      </c>
      <c r="W37" s="668">
        <f t="shared" si="14"/>
        <v>100</v>
      </c>
      <c r="X37" s="1264"/>
      <c r="Y37" s="3388"/>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2">
        <f t="shared" si="11"/>
        <v>111</v>
      </c>
      <c r="R39" s="667" t="s">
        <v>14</v>
      </c>
      <c r="S39" s="668">
        <f t="shared" si="12"/>
        <v>100</v>
      </c>
      <c r="T39" s="667" t="s">
        <v>14</v>
      </c>
      <c r="U39" s="668">
        <f t="shared" si="13"/>
        <v>100</v>
      </c>
      <c r="V39" s="667" t="s">
        <v>14</v>
      </c>
      <c r="W39" s="668">
        <f t="shared" si="14"/>
        <v>100</v>
      </c>
      <c r="X39" s="1264"/>
      <c r="Y39" s="3388"/>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2">
        <f t="shared" si="11"/>
        <v>111</v>
      </c>
      <c r="R40" s="667" t="s">
        <v>14</v>
      </c>
      <c r="S40" s="668">
        <f t="shared" si="12"/>
        <v>100</v>
      </c>
      <c r="T40" s="667" t="s">
        <v>14</v>
      </c>
      <c r="U40" s="668">
        <f t="shared" si="13"/>
        <v>100</v>
      </c>
      <c r="V40" s="667" t="s">
        <v>14</v>
      </c>
      <c r="W40" s="668">
        <f t="shared" si="14"/>
        <v>100</v>
      </c>
      <c r="X40" s="1264"/>
      <c r="Y40" s="3389"/>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90" t="str">
        <f>A41</f>
        <v>成交单价（元/平方米）</v>
      </c>
      <c r="Q41" s="3390"/>
      <c r="R41" s="3376">
        <f>E41</f>
        <v>0</v>
      </c>
      <c r="S41" s="3376"/>
      <c r="T41" s="3376">
        <f>G41</f>
        <v>0</v>
      </c>
      <c r="U41" s="3376"/>
      <c r="V41" s="3376">
        <f>I41</f>
        <v>0</v>
      </c>
      <c r="W41" s="3376"/>
      <c r="X41" s="385"/>
      <c r="Y41" s="673"/>
      <c r="Z41" s="385"/>
      <c r="AA41" s="385"/>
      <c r="AB41" s="385"/>
      <c r="AC41" s="385"/>
    </row>
    <row r="42" spans="1:29" ht="15.75" thickBot="1">
      <c r="A42" s="423" t="s">
        <v>1793</v>
      </c>
      <c r="B42" s="424"/>
      <c r="C42" s="1082" t="e">
        <f>R43</f>
        <v>#DIV/0!</v>
      </c>
      <c r="D42" s="2140" t="s">
        <v>2136</v>
      </c>
      <c r="E42" s="1083" t="e">
        <f>R42</f>
        <v>#DIV/0!</v>
      </c>
      <c r="F42" s="2141"/>
      <c r="G42" s="1082" t="e">
        <f>T42</f>
        <v>#DIV/0!</v>
      </c>
      <c r="H42" s="2141"/>
      <c r="I42" s="1083" t="e">
        <f>V42</f>
        <v>#DIV/0!</v>
      </c>
      <c r="J42" s="2141"/>
      <c r="K42" s="2143">
        <f>F42+H42+J42</f>
        <v>0</v>
      </c>
      <c r="L42" s="873"/>
      <c r="M42" s="861"/>
      <c r="N42" s="861"/>
      <c r="O42" s="861"/>
      <c r="P42" s="3390" t="str">
        <f>A42</f>
        <v>比较价值（元/平方米）</v>
      </c>
      <c r="Q42" s="3390"/>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3330</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4"/>
      <c r="M4" s="2485"/>
      <c r="N4" s="2485"/>
      <c r="O4" s="2485"/>
      <c r="P4" s="3356" t="s">
        <v>1775</v>
      </c>
      <c r="Q4" s="3357"/>
      <c r="R4" s="3362" t="s">
        <v>1771</v>
      </c>
      <c r="S4" s="3363"/>
      <c r="T4" s="3362" t="s">
        <v>1772</v>
      </c>
      <c r="U4" s="3363"/>
      <c r="V4" s="3376" t="s">
        <v>1773</v>
      </c>
      <c r="W4" s="3376"/>
      <c r="X4" s="1264"/>
      <c r="Y4" s="3362" t="s">
        <v>1775</v>
      </c>
      <c r="Z4" s="3363"/>
      <c r="AA4" s="3349" t="s">
        <v>1771</v>
      </c>
      <c r="AB4" s="3350" t="s">
        <v>1772</v>
      </c>
      <c r="AC4" s="3349" t="s">
        <v>1773</v>
      </c>
    </row>
    <row r="5" spans="1:29" ht="15">
      <c r="A5" s="348"/>
      <c r="B5" s="349"/>
      <c r="C5" s="3394" t="s">
        <v>1673</v>
      </c>
      <c r="D5" s="3367"/>
      <c r="E5" s="3421" t="s">
        <v>1674</v>
      </c>
      <c r="F5" s="3369"/>
      <c r="G5" s="3394" t="s">
        <v>1675</v>
      </c>
      <c r="H5" s="3367"/>
      <c r="I5" s="3394" t="s">
        <v>1676</v>
      </c>
      <c r="J5" s="3367"/>
      <c r="K5" s="537"/>
      <c r="L5" s="2484"/>
      <c r="M5" s="2485"/>
      <c r="N5" s="2485"/>
      <c r="O5" s="2485"/>
      <c r="P5" s="3358"/>
      <c r="Q5" s="3359"/>
      <c r="R5" s="3364"/>
      <c r="S5" s="3365"/>
      <c r="T5" s="3364"/>
      <c r="U5" s="3365"/>
      <c r="V5" s="3376"/>
      <c r="W5" s="3376"/>
      <c r="X5" s="1264"/>
      <c r="Y5" s="3364"/>
      <c r="Z5" s="3365"/>
      <c r="AA5" s="3350"/>
      <c r="AB5" s="3350"/>
      <c r="AC5" s="3350"/>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360"/>
      <c r="Q6" s="3361"/>
      <c r="R6" s="3364"/>
      <c r="S6" s="3365"/>
      <c r="T6" s="3374"/>
      <c r="U6" s="3375"/>
      <c r="V6" s="3376"/>
      <c r="W6" s="3376"/>
      <c r="X6" s="1264"/>
      <c r="Y6" s="3374"/>
      <c r="Z6" s="3375"/>
      <c r="AA6" s="3351"/>
      <c r="AB6" s="3351"/>
      <c r="AC6" s="3351"/>
    </row>
    <row r="7" spans="1:29" s="102" customFormat="1" ht="15.75" thickBot="1">
      <c r="A7" s="352" t="s">
        <v>1679</v>
      </c>
      <c r="B7" s="353"/>
      <c r="C7" s="354">
        <f>'数据-取费表'!B2</f>
        <v>45622</v>
      </c>
      <c r="D7" s="355">
        <v>100</v>
      </c>
      <c r="E7" s="356"/>
      <c r="F7" s="357">
        <f>SUMIF(48:48,YEAR(E7)&amp;"-"&amp;MONTH(E7),49:49)</f>
        <v>0</v>
      </c>
      <c r="G7" s="356"/>
      <c r="H7" s="355">
        <f>SUMIF(48:48,YEAR(G7)&amp;"-"&amp;MONTH(G7),49:49)</f>
        <v>0</v>
      </c>
      <c r="I7" s="356"/>
      <c r="J7" s="355">
        <f>SUMIF(48:48,YEAR(I7)&amp;"-"&amp;MONTH(I7),49:49)</f>
        <v>0</v>
      </c>
      <c r="K7" s="38"/>
      <c r="L7" s="2486"/>
      <c r="M7" s="2437"/>
      <c r="N7" s="2437"/>
      <c r="O7" s="2437"/>
      <c r="P7" s="3377" t="s">
        <v>1680</v>
      </c>
      <c r="Q7" s="3378"/>
      <c r="R7" s="664" t="s">
        <v>14</v>
      </c>
      <c r="S7" s="665">
        <f t="shared" ref="S7:S14" si="0">F7</f>
        <v>0</v>
      </c>
      <c r="T7" s="664" t="s">
        <v>14</v>
      </c>
      <c r="U7" s="665">
        <f t="shared" ref="U7:U14" si="1">H7</f>
        <v>0</v>
      </c>
      <c r="V7" s="664" t="s">
        <v>14</v>
      </c>
      <c r="W7" s="665">
        <f t="shared" ref="W7:W14" si="2">J7</f>
        <v>0</v>
      </c>
      <c r="X7" s="666"/>
      <c r="Y7" s="3377" t="s">
        <v>1680</v>
      </c>
      <c r="Z7" s="337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77" t="s">
        <v>1683</v>
      </c>
      <c r="Q8" s="3379"/>
      <c r="R8" s="664" t="s">
        <v>14</v>
      </c>
      <c r="S8" s="665">
        <f t="shared" si="0"/>
        <v>100</v>
      </c>
      <c r="T8" s="664" t="s">
        <v>14</v>
      </c>
      <c r="U8" s="665">
        <f t="shared" si="1"/>
        <v>100</v>
      </c>
      <c r="V8" s="664" t="s">
        <v>14</v>
      </c>
      <c r="W8" s="665">
        <f t="shared" si="2"/>
        <v>100</v>
      </c>
      <c r="X8" s="666"/>
      <c r="Y8" s="3377" t="s">
        <v>1683</v>
      </c>
      <c r="Z8" s="337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9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9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9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9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9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71">
      <c r="A14" s="345" t="s">
        <v>1690</v>
      </c>
      <c r="B14" s="554" t="s">
        <v>1833</v>
      </c>
      <c r="C14" s="1818" t="str">
        <f>IF(B1="工业",估价对象房地状况!G4,估价对象房地状况!C6)</f>
        <v>估价对象周边有24路、117路、123路、132路、135路、413路、515路等多条公交线路，地铁2号线及13号线换乘站（东直门站），东直门长途汽车站等，综合评价交通便捷度较好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84"/>
      <c r="Q15" s="1262"/>
      <c r="R15" s="667"/>
      <c r="S15" s="668"/>
      <c r="T15" s="667"/>
      <c r="U15" s="668"/>
      <c r="V15" s="667"/>
      <c r="W15" s="668"/>
      <c r="X15" s="1264"/>
      <c r="Y15" s="3384"/>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84"/>
      <c r="Q17" s="1262"/>
      <c r="R17" s="667"/>
      <c r="S17" s="668"/>
      <c r="T17" s="667"/>
      <c r="U17" s="668"/>
      <c r="V17" s="667"/>
      <c r="W17" s="668"/>
      <c r="X17" s="1264"/>
      <c r="Y17" s="3384"/>
      <c r="Z17" s="1263"/>
      <c r="AA17" s="1263">
        <v>1</v>
      </c>
      <c r="AB17" s="1263">
        <v>1</v>
      </c>
      <c r="AC17" s="1263">
        <v>1</v>
      </c>
    </row>
    <row r="18" spans="1:29" ht="15">
      <c r="A18" s="348"/>
      <c r="B18" s="557"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84"/>
      <c r="Q19" s="1262"/>
      <c r="R19" s="667"/>
      <c r="S19" s="668"/>
      <c r="T19" s="667"/>
      <c r="U19" s="668"/>
      <c r="V19" s="667"/>
      <c r="W19" s="668"/>
      <c r="X19" s="1264"/>
      <c r="Y19" s="3384"/>
      <c r="Z19" s="1263"/>
      <c r="AA19" s="1263">
        <v>1</v>
      </c>
      <c r="AB19" s="1263">
        <v>1</v>
      </c>
      <c r="AC19" s="1263">
        <v>1</v>
      </c>
    </row>
    <row r="20" spans="1:29" ht="99.75">
      <c r="A20" s="348"/>
      <c r="B20" s="556" t="s">
        <v>1834</v>
      </c>
      <c r="C20" s="1753" t="str">
        <f>IF(B1="工业",估价对象房地状况!G7,估价对象房地状况!C9)</f>
        <v>区域自然环境：亮马河、东城区亮马河公园；人文环境：工人体育场、东直门外清真寺；综合评价环境状况较好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84"/>
      <c r="Q21" s="1262"/>
      <c r="R21" s="667"/>
      <c r="S21" s="668"/>
      <c r="T21" s="667"/>
      <c r="U21" s="668"/>
      <c r="V21" s="667"/>
      <c r="W21" s="668"/>
      <c r="X21" s="1264"/>
      <c r="Y21" s="338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4"/>
      <c r="Q24" s="1262">
        <f t="shared" ref="Q24:Q36"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7"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8"/>
      <c r="Q28" s="1262" t="str">
        <f t="shared" si="11"/>
        <v>公共部分装修</v>
      </c>
      <c r="R28" s="667" t="s">
        <v>14</v>
      </c>
      <c r="S28" s="668">
        <f t="shared" si="12"/>
        <v>100</v>
      </c>
      <c r="T28" s="667" t="s">
        <v>14</v>
      </c>
      <c r="U28" s="668">
        <f t="shared" si="13"/>
        <v>100</v>
      </c>
      <c r="V28" s="667" t="s">
        <v>14</v>
      </c>
      <c r="W28" s="668">
        <f t="shared" si="14"/>
        <v>100</v>
      </c>
      <c r="X28" s="1264"/>
      <c r="Y28" s="338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8"/>
      <c r="Q29" s="1262" t="str">
        <f t="shared" si="11"/>
        <v>成新率</v>
      </c>
      <c r="R29" s="667" t="s">
        <v>14</v>
      </c>
      <c r="S29" s="668" t="e">
        <f t="shared" si="12"/>
        <v>#N/A</v>
      </c>
      <c r="T29" s="667" t="s">
        <v>14</v>
      </c>
      <c r="U29" s="668" t="e">
        <f t="shared" si="13"/>
        <v>#N/A</v>
      </c>
      <c r="V29" s="667" t="s">
        <v>14</v>
      </c>
      <c r="W29" s="668" t="e">
        <f t="shared" si="14"/>
        <v>#N/A</v>
      </c>
      <c r="X29" s="1264"/>
      <c r="Y29" s="338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8"/>
      <c r="Q30" s="1262" t="str">
        <f t="shared" si="11"/>
        <v>物业等级</v>
      </c>
      <c r="R30" s="667" t="s">
        <v>14</v>
      </c>
      <c r="S30" s="668">
        <f t="shared" si="12"/>
        <v>100</v>
      </c>
      <c r="T30" s="667" t="s">
        <v>14</v>
      </c>
      <c r="U30" s="668">
        <f t="shared" si="13"/>
        <v>100</v>
      </c>
      <c r="V30" s="667" t="s">
        <v>14</v>
      </c>
      <c r="W30" s="668">
        <f t="shared" si="14"/>
        <v>100</v>
      </c>
      <c r="X30" s="1264"/>
      <c r="Y30" s="338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8" t="s">
        <v>1696</v>
      </c>
      <c r="Q32" s="1262" t="str">
        <f t="shared" si="11"/>
        <v>车位类型</v>
      </c>
      <c r="R32" s="667" t="s">
        <v>14</v>
      </c>
      <c r="S32" s="668">
        <f t="shared" si="12"/>
        <v>100</v>
      </c>
      <c r="T32" s="667" t="s">
        <v>14</v>
      </c>
      <c r="U32" s="668">
        <f t="shared" si="13"/>
        <v>100</v>
      </c>
      <c r="V32" s="667" t="s">
        <v>14</v>
      </c>
      <c r="W32" s="668">
        <f t="shared" si="14"/>
        <v>100</v>
      </c>
      <c r="X32" s="1264"/>
      <c r="Y32" s="338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8"/>
      <c r="Q33" s="1262" t="str">
        <f t="shared" si="11"/>
        <v>是否直接入户</v>
      </c>
      <c r="R33" s="667" t="s">
        <v>14</v>
      </c>
      <c r="S33" s="668">
        <f t="shared" si="12"/>
        <v>100</v>
      </c>
      <c r="T33" s="667" t="s">
        <v>14</v>
      </c>
      <c r="U33" s="668">
        <f t="shared" si="13"/>
        <v>100</v>
      </c>
      <c r="V33" s="667" t="s">
        <v>14</v>
      </c>
      <c r="W33" s="668">
        <f t="shared" si="14"/>
        <v>100</v>
      </c>
      <c r="X33" s="1264"/>
      <c r="Y33" s="338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8"/>
      <c r="Q36" s="1262">
        <f t="shared" si="11"/>
        <v>111</v>
      </c>
      <c r="R36" s="667" t="s">
        <v>14</v>
      </c>
      <c r="S36" s="668">
        <f t="shared" si="12"/>
        <v>100</v>
      </c>
      <c r="T36" s="667" t="s">
        <v>14</v>
      </c>
      <c r="U36" s="668">
        <f t="shared" si="13"/>
        <v>100</v>
      </c>
      <c r="V36" s="667" t="s">
        <v>14</v>
      </c>
      <c r="W36" s="668">
        <f t="shared" si="14"/>
        <v>100</v>
      </c>
      <c r="X36" s="1264"/>
      <c r="Y36" s="3388"/>
      <c r="Z36" s="1263">
        <f t="shared" si="15"/>
        <v>111</v>
      </c>
      <c r="AA36" s="1263">
        <f t="shared" si="3"/>
        <v>1</v>
      </c>
      <c r="AB36" s="1263">
        <f t="shared" si="4"/>
        <v>1</v>
      </c>
      <c r="AC36" s="1263">
        <f t="shared" si="5"/>
        <v>1</v>
      </c>
    </row>
    <row r="37" spans="1:29" ht="15">
      <c r="A37" s="416" t="s">
        <v>1844</v>
      </c>
      <c r="B37" s="1820" t="s">
        <v>3351</v>
      </c>
      <c r="C37" s="1081" t="s">
        <v>0</v>
      </c>
      <c r="D37" s="418"/>
      <c r="E37" s="419"/>
      <c r="F37" s="420"/>
      <c r="G37" s="421"/>
      <c r="H37" s="422"/>
      <c r="I37" s="419"/>
      <c r="J37" s="422"/>
      <c r="K37" s="545"/>
      <c r="L37" s="2492"/>
      <c r="M37" s="2485"/>
      <c r="N37" s="2485"/>
      <c r="O37" s="2485"/>
      <c r="P37" s="3390" t="str">
        <f>A37</f>
        <v>成交单价</v>
      </c>
      <c r="Q37" s="3390"/>
      <c r="R37" s="3376">
        <f>E37</f>
        <v>0</v>
      </c>
      <c r="S37" s="3376"/>
      <c r="T37" s="3376">
        <f>G37</f>
        <v>0</v>
      </c>
      <c r="U37" s="3376"/>
      <c r="V37" s="3376">
        <f>I37</f>
        <v>0</v>
      </c>
      <c r="W37" s="3376"/>
      <c r="X37" s="385"/>
      <c r="Y37" s="673"/>
      <c r="Z37" s="385"/>
      <c r="AA37" s="385"/>
      <c r="AB37" s="385"/>
      <c r="AC37" s="385"/>
    </row>
    <row r="38" spans="1:29" ht="15.75" thickBot="1">
      <c r="A38" s="423" t="s">
        <v>1845</v>
      </c>
      <c r="B38" s="424" t="str">
        <f>B37</f>
        <v>元/平方米</v>
      </c>
      <c r="C38" s="1082" t="e">
        <f>R39</f>
        <v>#DIV/0!</v>
      </c>
      <c r="D38" s="2140" t="s">
        <v>2136</v>
      </c>
      <c r="E38" s="1083" t="e">
        <f>R38</f>
        <v>#DIV/0!</v>
      </c>
      <c r="F38" s="2141"/>
      <c r="G38" s="1082" t="e">
        <f>T38</f>
        <v>#DIV/0!</v>
      </c>
      <c r="H38" s="2141"/>
      <c r="I38" s="1083" t="e">
        <f>V38</f>
        <v>#DIV/0!</v>
      </c>
      <c r="J38" s="2141"/>
      <c r="K38" s="2143">
        <f>F38+H38+J38</f>
        <v>0</v>
      </c>
      <c r="L38" s="2492"/>
      <c r="M38" s="2485"/>
      <c r="N38" s="2485"/>
      <c r="O38" s="2485"/>
      <c r="P38" s="3390" t="str">
        <f>A38</f>
        <v>比较价值（元/平方米）</v>
      </c>
      <c r="Q38" s="3390"/>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91" t="str">
        <f>A39</f>
        <v>估价对象XX用房的比较价值（楼面单价，元/平方米）</v>
      </c>
      <c r="Q39" s="3392"/>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3331</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4"/>
      <c r="M4" s="2485"/>
      <c r="N4" s="2485"/>
      <c r="O4" s="2485"/>
      <c r="P4" s="3356" t="s">
        <v>1775</v>
      </c>
      <c r="Q4" s="3357"/>
      <c r="R4" s="3362" t="s">
        <v>1771</v>
      </c>
      <c r="S4" s="3363"/>
      <c r="T4" s="3362" t="s">
        <v>1772</v>
      </c>
      <c r="U4" s="3363"/>
      <c r="V4" s="3376" t="s">
        <v>1773</v>
      </c>
      <c r="W4" s="3376"/>
      <c r="X4" s="1264"/>
      <c r="Y4" s="3362" t="s">
        <v>1775</v>
      </c>
      <c r="Z4" s="3363"/>
      <c r="AA4" s="3349" t="s">
        <v>1771</v>
      </c>
      <c r="AB4" s="3350" t="s">
        <v>1772</v>
      </c>
      <c r="AC4" s="3349" t="s">
        <v>1773</v>
      </c>
    </row>
    <row r="5" spans="1:29" ht="15">
      <c r="A5" s="348"/>
      <c r="B5" s="349"/>
      <c r="C5" s="3394" t="s">
        <v>1673</v>
      </c>
      <c r="D5" s="3367"/>
      <c r="E5" s="3421" t="s">
        <v>1674</v>
      </c>
      <c r="F5" s="3369"/>
      <c r="G5" s="3394" t="s">
        <v>1675</v>
      </c>
      <c r="H5" s="3367"/>
      <c r="I5" s="3394" t="s">
        <v>1676</v>
      </c>
      <c r="J5" s="3367"/>
      <c r="K5" s="537"/>
      <c r="L5" s="2484"/>
      <c r="M5" s="2485"/>
      <c r="N5" s="2485"/>
      <c r="O5" s="2485"/>
      <c r="P5" s="3358"/>
      <c r="Q5" s="3359"/>
      <c r="R5" s="3364"/>
      <c r="S5" s="3365"/>
      <c r="T5" s="3364"/>
      <c r="U5" s="3365"/>
      <c r="V5" s="3376"/>
      <c r="W5" s="3376"/>
      <c r="X5" s="1264"/>
      <c r="Y5" s="3364"/>
      <c r="Z5" s="3365"/>
      <c r="AA5" s="3350"/>
      <c r="AB5" s="3350"/>
      <c r="AC5" s="3350"/>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360"/>
      <c r="Q6" s="3361"/>
      <c r="R6" s="3364"/>
      <c r="S6" s="3365"/>
      <c r="T6" s="3374"/>
      <c r="U6" s="3375"/>
      <c r="V6" s="3376"/>
      <c r="W6" s="3376"/>
      <c r="X6" s="1264"/>
      <c r="Y6" s="3374"/>
      <c r="Z6" s="3375"/>
      <c r="AA6" s="3351"/>
      <c r="AB6" s="3351"/>
      <c r="AC6" s="3351"/>
    </row>
    <row r="7" spans="1:29" s="102" customFormat="1" ht="15.75" thickBot="1">
      <c r="A7" s="352" t="s">
        <v>1679</v>
      </c>
      <c r="B7" s="353"/>
      <c r="C7" s="354">
        <f>'数据-取费表'!B2</f>
        <v>45622</v>
      </c>
      <c r="D7" s="355">
        <v>100</v>
      </c>
      <c r="E7" s="356"/>
      <c r="F7" s="357">
        <f>SUMIF(46:46,YEAR(E7)&amp;"-"&amp;MONTH(E7),47:47)</f>
        <v>0</v>
      </c>
      <c r="G7" s="1821"/>
      <c r="H7" s="355">
        <f>SUMIF(46:46,YEAR(G7)&amp;"-"&amp;MONTH(G7),47:47)</f>
        <v>0</v>
      </c>
      <c r="I7" s="356"/>
      <c r="J7" s="355">
        <f>SUMIF(46:46,YEAR(I7)&amp;"-"&amp;MONTH(I7),47:47)</f>
        <v>0</v>
      </c>
      <c r="K7" s="38"/>
      <c r="L7" s="2486"/>
      <c r="M7" s="2437"/>
      <c r="N7" s="2437"/>
      <c r="O7" s="2437"/>
      <c r="P7" s="3377" t="s">
        <v>1680</v>
      </c>
      <c r="Q7" s="3378"/>
      <c r="R7" s="664" t="s">
        <v>14</v>
      </c>
      <c r="S7" s="665">
        <f t="shared" ref="S7:S14" si="0">F7</f>
        <v>0</v>
      </c>
      <c r="T7" s="664" t="s">
        <v>14</v>
      </c>
      <c r="U7" s="665">
        <f t="shared" ref="U7:U14" si="1">H7</f>
        <v>0</v>
      </c>
      <c r="V7" s="664" t="s">
        <v>14</v>
      </c>
      <c r="W7" s="665">
        <f t="shared" ref="W7:W14" si="2">J7</f>
        <v>0</v>
      </c>
      <c r="X7" s="666"/>
      <c r="Y7" s="3377" t="s">
        <v>1680</v>
      </c>
      <c r="Z7" s="337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77" t="s">
        <v>1683</v>
      </c>
      <c r="Q8" s="3379"/>
      <c r="R8" s="664" t="s">
        <v>14</v>
      </c>
      <c r="S8" s="665">
        <f t="shared" si="0"/>
        <v>100</v>
      </c>
      <c r="T8" s="664" t="s">
        <v>14</v>
      </c>
      <c r="U8" s="665">
        <f t="shared" si="1"/>
        <v>100</v>
      </c>
      <c r="V8" s="664" t="s">
        <v>14</v>
      </c>
      <c r="W8" s="665">
        <f t="shared" si="2"/>
        <v>100</v>
      </c>
      <c r="X8" s="666"/>
      <c r="Y8" s="3377" t="s">
        <v>1683</v>
      </c>
      <c r="Z8" s="337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90"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90"/>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90"/>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9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39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71">
      <c r="A14" s="379" t="s">
        <v>1690</v>
      </c>
      <c r="B14" s="58" t="s">
        <v>1833</v>
      </c>
      <c r="C14" s="1818" t="str">
        <f>IF(B1="工业",估价对象房地状况!G4,估价对象房地状况!C6)</f>
        <v>估价对象周边有24路、117路、123路、132路、135路、413路、515路等多条公交线路，地铁2号线及13号线换乘站（东直门站），东直门长途汽车站等，综合评价交通便捷度较好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3" t="s">
        <v>1691</v>
      </c>
      <c r="Q14" s="1262" t="str">
        <f t="shared" si="6"/>
        <v>交通便捷度</v>
      </c>
      <c r="R14" s="667" t="s">
        <v>14</v>
      </c>
      <c r="S14" s="668">
        <f t="shared" si="0"/>
        <v>100</v>
      </c>
      <c r="T14" s="667" t="s">
        <v>14</v>
      </c>
      <c r="U14" s="668">
        <f t="shared" si="1"/>
        <v>100</v>
      </c>
      <c r="V14" s="667" t="s">
        <v>14</v>
      </c>
      <c r="W14" s="668">
        <f t="shared" si="2"/>
        <v>100</v>
      </c>
      <c r="X14" s="1264"/>
      <c r="Y14" s="338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84"/>
      <c r="Q15" s="1262"/>
      <c r="R15" s="667"/>
      <c r="S15" s="668"/>
      <c r="T15" s="667"/>
      <c r="U15" s="668"/>
      <c r="V15" s="667"/>
      <c r="W15" s="668"/>
      <c r="X15" s="1264"/>
      <c r="Y15" s="3384"/>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4"/>
      <c r="Q16" s="1262" t="str">
        <f>B16</f>
        <v>公共配套设施</v>
      </c>
      <c r="R16" s="667" t="s">
        <v>14</v>
      </c>
      <c r="S16" s="668">
        <f>F16</f>
        <v>100</v>
      </c>
      <c r="T16" s="667" t="s">
        <v>14</v>
      </c>
      <c r="U16" s="668">
        <f>H16</f>
        <v>100</v>
      </c>
      <c r="V16" s="667" t="s">
        <v>14</v>
      </c>
      <c r="W16" s="668">
        <f>J16</f>
        <v>100</v>
      </c>
      <c r="X16" s="1264"/>
      <c r="Y16" s="338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84"/>
      <c r="Q17" s="1262"/>
      <c r="R17" s="667"/>
      <c r="S17" s="668"/>
      <c r="T17" s="667"/>
      <c r="U17" s="668"/>
      <c r="V17" s="667"/>
      <c r="W17" s="668"/>
      <c r="X17" s="1264"/>
      <c r="Y17" s="3384"/>
      <c r="Z17" s="1263"/>
      <c r="AA17" s="1263">
        <v>1</v>
      </c>
      <c r="AB17" s="1263">
        <v>1</v>
      </c>
      <c r="AC17" s="1263">
        <v>1</v>
      </c>
    </row>
    <row r="18" spans="1:29" ht="15">
      <c r="A18" s="367"/>
      <c r="B18" s="586"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4"/>
      <c r="Q18" s="1262" t="str">
        <f>B18</f>
        <v>基础设施水平</v>
      </c>
      <c r="R18" s="667" t="s">
        <v>14</v>
      </c>
      <c r="S18" s="668">
        <f>F18</f>
        <v>100</v>
      </c>
      <c r="T18" s="667" t="s">
        <v>14</v>
      </c>
      <c r="U18" s="668">
        <f>H18</f>
        <v>100</v>
      </c>
      <c r="V18" s="667" t="s">
        <v>14</v>
      </c>
      <c r="W18" s="668">
        <f>J18</f>
        <v>100</v>
      </c>
      <c r="X18" s="1264"/>
      <c r="Y18" s="338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84"/>
      <c r="Q19" s="1262"/>
      <c r="R19" s="667"/>
      <c r="S19" s="668"/>
      <c r="T19" s="667"/>
      <c r="U19" s="668"/>
      <c r="V19" s="667"/>
      <c r="W19" s="668"/>
      <c r="X19" s="1264"/>
      <c r="Y19" s="3384"/>
      <c r="Z19" s="1263"/>
      <c r="AA19" s="1263">
        <v>1</v>
      </c>
      <c r="AB19" s="1263">
        <v>1</v>
      </c>
      <c r="AC19" s="1263">
        <v>1</v>
      </c>
    </row>
    <row r="20" spans="1:29" ht="99.75">
      <c r="A20" s="367"/>
      <c r="B20" s="390" t="s">
        <v>1834</v>
      </c>
      <c r="C20" s="1753" t="str">
        <f>IF(B1="工业",估价对象房地状况!G7,估价对象房地状况!C9)</f>
        <v>区域自然环境：亮马河、东城区亮马河公园；人文环境：工人体育场、东直门外清真寺；综合评价环境状况较好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4"/>
      <c r="Q20" s="1262" t="str">
        <f>B20</f>
        <v>自然及人文环境</v>
      </c>
      <c r="R20" s="667" t="s">
        <v>14</v>
      </c>
      <c r="S20" s="668">
        <f>F20</f>
        <v>100</v>
      </c>
      <c r="T20" s="667" t="s">
        <v>14</v>
      </c>
      <c r="U20" s="668">
        <f>H20</f>
        <v>100</v>
      </c>
      <c r="V20" s="667" t="s">
        <v>14</v>
      </c>
      <c r="W20" s="668">
        <f>J20</f>
        <v>100</v>
      </c>
      <c r="X20" s="1264"/>
      <c r="Y20" s="338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84"/>
      <c r="Q21" s="1262"/>
      <c r="R21" s="667"/>
      <c r="S21" s="668"/>
      <c r="T21" s="667"/>
      <c r="U21" s="668"/>
      <c r="V21" s="667"/>
      <c r="W21" s="668"/>
      <c r="X21" s="1264"/>
      <c r="Y21" s="338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4"/>
      <c r="Q22" s="1262" t="str">
        <f>B22</f>
        <v>楼层</v>
      </c>
      <c r="R22" s="667" t="s">
        <v>14</v>
      </c>
      <c r="S22" s="668">
        <f>F22</f>
        <v>100</v>
      </c>
      <c r="T22" s="667" t="s">
        <v>14</v>
      </c>
      <c r="U22" s="668">
        <f>H22</f>
        <v>100</v>
      </c>
      <c r="V22" s="667" t="s">
        <v>14</v>
      </c>
      <c r="W22" s="668">
        <f>J22</f>
        <v>100</v>
      </c>
      <c r="X22" s="1264"/>
      <c r="Y22" s="338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4"/>
      <c r="Q23" s="1262">
        <f>B23</f>
        <v>111</v>
      </c>
      <c r="R23" s="667" t="s">
        <v>14</v>
      </c>
      <c r="S23" s="668">
        <f>F23</f>
        <v>100</v>
      </c>
      <c r="T23" s="667" t="s">
        <v>14</v>
      </c>
      <c r="U23" s="668">
        <f>H23</f>
        <v>100</v>
      </c>
      <c r="V23" s="667" t="s">
        <v>14</v>
      </c>
      <c r="W23" s="668">
        <f>J23</f>
        <v>100</v>
      </c>
      <c r="X23" s="1264"/>
      <c r="Y23" s="338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4"/>
      <c r="Q24" s="1262">
        <f t="shared" ref="Q24:Q34" si="11">B24</f>
        <v>111</v>
      </c>
      <c r="R24" s="667" t="s">
        <v>14</v>
      </c>
      <c r="S24" s="668">
        <f>F24</f>
        <v>100</v>
      </c>
      <c r="T24" s="667" t="s">
        <v>14</v>
      </c>
      <c r="U24" s="668">
        <f>H24</f>
        <v>100</v>
      </c>
      <c r="V24" s="667" t="s">
        <v>14</v>
      </c>
      <c r="W24" s="668">
        <f>J24</f>
        <v>100</v>
      </c>
      <c r="X24" s="1264"/>
      <c r="Y24" s="3384"/>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7"/>
      <c r="N25" s="2437"/>
      <c r="O25" s="2538"/>
      <c r="P25" s="3384"/>
      <c r="Q25" s="530">
        <f t="shared" si="11"/>
        <v>111</v>
      </c>
      <c r="R25" s="664" t="s">
        <v>14</v>
      </c>
      <c r="S25" s="665">
        <f>F25</f>
        <v>100</v>
      </c>
      <c r="T25" s="664" t="s">
        <v>14</v>
      </c>
      <c r="U25" s="665">
        <f>H25</f>
        <v>100</v>
      </c>
      <c r="V25" s="664" t="s">
        <v>14</v>
      </c>
      <c r="W25" s="665">
        <f>J25</f>
        <v>100</v>
      </c>
      <c r="X25" s="666"/>
      <c r="Y25" s="338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3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8"/>
      <c r="Q28" s="1262" t="str">
        <f t="shared" si="11"/>
        <v>物业等级</v>
      </c>
      <c r="R28" s="667" t="s">
        <v>14</v>
      </c>
      <c r="S28" s="668">
        <f t="shared" si="12"/>
        <v>100</v>
      </c>
      <c r="T28" s="667" t="s">
        <v>14</v>
      </c>
      <c r="U28" s="668">
        <f t="shared" si="13"/>
        <v>100</v>
      </c>
      <c r="V28" s="667" t="s">
        <v>14</v>
      </c>
      <c r="W28" s="668">
        <f t="shared" si="14"/>
        <v>100</v>
      </c>
      <c r="X28" s="1264"/>
      <c r="Y28" s="338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8"/>
      <c r="Q29" s="1262" t="str">
        <f t="shared" si="11"/>
        <v>有无电梯</v>
      </c>
      <c r="R29" s="667" t="s">
        <v>14</v>
      </c>
      <c r="S29" s="668">
        <f t="shared" si="12"/>
        <v>100</v>
      </c>
      <c r="T29" s="667" t="s">
        <v>14</v>
      </c>
      <c r="U29" s="668">
        <f t="shared" si="13"/>
        <v>100</v>
      </c>
      <c r="V29" s="667" t="s">
        <v>14</v>
      </c>
      <c r="W29" s="668">
        <f t="shared" si="14"/>
        <v>100</v>
      </c>
      <c r="X29" s="1264"/>
      <c r="Y29" s="338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8"/>
      <c r="Q30" s="1262" t="str">
        <f t="shared" si="11"/>
        <v>建筑面积</v>
      </c>
      <c r="R30" s="667" t="s">
        <v>14</v>
      </c>
      <c r="S30" s="668" t="e">
        <f t="shared" si="12"/>
        <v>#N/A</v>
      </c>
      <c r="T30" s="667" t="s">
        <v>14</v>
      </c>
      <c r="U30" s="668" t="e">
        <f t="shared" si="13"/>
        <v>#N/A</v>
      </c>
      <c r="V30" s="667" t="s">
        <v>14</v>
      </c>
      <c r="W30" s="668" t="e">
        <f t="shared" si="14"/>
        <v>#N/A</v>
      </c>
      <c r="X30" s="1264"/>
      <c r="Y30" s="338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8" t="s">
        <v>1696</v>
      </c>
      <c r="Q32" s="1262">
        <f t="shared" si="11"/>
        <v>111</v>
      </c>
      <c r="R32" s="667" t="s">
        <v>14</v>
      </c>
      <c r="S32" s="668">
        <f t="shared" si="12"/>
        <v>100</v>
      </c>
      <c r="T32" s="667" t="s">
        <v>14</v>
      </c>
      <c r="U32" s="668">
        <f t="shared" si="13"/>
        <v>100</v>
      </c>
      <c r="V32" s="667" t="s">
        <v>14</v>
      </c>
      <c r="W32" s="668">
        <f t="shared" si="14"/>
        <v>100</v>
      </c>
      <c r="X32" s="1264"/>
      <c r="Y32" s="338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8"/>
      <c r="Q33" s="1262">
        <f t="shared" si="11"/>
        <v>111</v>
      </c>
      <c r="R33" s="667" t="s">
        <v>14</v>
      </c>
      <c r="S33" s="668">
        <f t="shared" si="12"/>
        <v>100</v>
      </c>
      <c r="T33" s="667" t="s">
        <v>14</v>
      </c>
      <c r="U33" s="668">
        <f t="shared" si="13"/>
        <v>100</v>
      </c>
      <c r="V33" s="667" t="s">
        <v>14</v>
      </c>
      <c r="W33" s="668">
        <f t="shared" si="14"/>
        <v>100</v>
      </c>
      <c r="X33" s="1264"/>
      <c r="Y33" s="3388"/>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388"/>
      <c r="Q34" s="1262">
        <f t="shared" si="11"/>
        <v>111</v>
      </c>
      <c r="R34" s="667" t="s">
        <v>14</v>
      </c>
      <c r="S34" s="668">
        <f t="shared" si="12"/>
        <v>100</v>
      </c>
      <c r="T34" s="667" t="s">
        <v>14</v>
      </c>
      <c r="U34" s="668">
        <f t="shared" si="13"/>
        <v>100</v>
      </c>
      <c r="V34" s="667" t="s">
        <v>14</v>
      </c>
      <c r="W34" s="668">
        <f t="shared" si="14"/>
        <v>100</v>
      </c>
      <c r="X34" s="1264"/>
      <c r="Y34" s="3388"/>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390" t="str">
        <f>A35</f>
        <v>成交单价（元/平方米）</v>
      </c>
      <c r="Q35" s="3390"/>
      <c r="R35" s="3376">
        <f>E35</f>
        <v>0</v>
      </c>
      <c r="S35" s="3376"/>
      <c r="T35" s="3376">
        <f>G35</f>
        <v>0</v>
      </c>
      <c r="U35" s="3376"/>
      <c r="V35" s="3376">
        <f>I35</f>
        <v>0</v>
      </c>
      <c r="W35" s="3376"/>
      <c r="X35" s="385"/>
      <c r="Y35" s="673"/>
      <c r="Z35" s="385"/>
      <c r="AA35" s="385"/>
      <c r="AB35" s="385"/>
      <c r="AC35" s="385"/>
    </row>
    <row r="36" spans="1:30" ht="15.75" thickBot="1">
      <c r="A36" s="423" t="s">
        <v>1793</v>
      </c>
      <c r="B36" s="424"/>
      <c r="C36" s="1082" t="e">
        <f>R37</f>
        <v>#DIV/0!</v>
      </c>
      <c r="D36" s="2140" t="s">
        <v>2136</v>
      </c>
      <c r="E36" s="1083" t="e">
        <f>R36</f>
        <v>#DIV/0!</v>
      </c>
      <c r="F36" s="2141"/>
      <c r="G36" s="1082" t="e">
        <f>T36</f>
        <v>#DIV/0!</v>
      </c>
      <c r="H36" s="2141"/>
      <c r="I36" s="1083" t="e">
        <f>V36</f>
        <v>#DIV/0!</v>
      </c>
      <c r="J36" s="2141"/>
      <c r="K36" s="2143">
        <f>F36+H36+J36</f>
        <v>0</v>
      </c>
      <c r="L36" s="2492"/>
      <c r="M36" s="2485"/>
      <c r="N36" s="2485"/>
      <c r="O36" s="2485"/>
      <c r="P36" s="3390" t="str">
        <f>A36</f>
        <v>比较价值（元/平方米）</v>
      </c>
      <c r="Q36" s="3390"/>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91" t="str">
        <f>A37</f>
        <v>估价对象XX用房的比较价值（楼面单价，元/平方米）</v>
      </c>
      <c r="Q37" s="3392"/>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4"/>
      <c r="M4" s="2485"/>
      <c r="N4" s="2485"/>
      <c r="O4" s="2485"/>
      <c r="P4" s="3356" t="s">
        <v>1775</v>
      </c>
      <c r="Q4" s="3357"/>
      <c r="R4" s="3362" t="s">
        <v>1771</v>
      </c>
      <c r="S4" s="3363"/>
      <c r="T4" s="3362" t="s">
        <v>1772</v>
      </c>
      <c r="U4" s="3363"/>
      <c r="V4" s="3376" t="s">
        <v>1773</v>
      </c>
      <c r="W4" s="3376"/>
      <c r="X4" s="1264"/>
      <c r="Y4" s="3362" t="s">
        <v>1775</v>
      </c>
      <c r="Z4" s="3363"/>
      <c r="AA4" s="3349" t="s">
        <v>1771</v>
      </c>
      <c r="AB4" s="3350" t="s">
        <v>1772</v>
      </c>
      <c r="AC4" s="3349" t="s">
        <v>1773</v>
      </c>
    </row>
    <row r="5" spans="1:29" ht="15">
      <c r="A5" s="348"/>
      <c r="B5" s="349"/>
      <c r="C5" s="3394" t="s">
        <v>1673</v>
      </c>
      <c r="D5" s="3367"/>
      <c r="E5" s="3421" t="s">
        <v>1674</v>
      </c>
      <c r="F5" s="3369"/>
      <c r="G5" s="3394" t="s">
        <v>1675</v>
      </c>
      <c r="H5" s="3367"/>
      <c r="I5" s="3394" t="s">
        <v>1676</v>
      </c>
      <c r="J5" s="3367"/>
      <c r="K5" s="537"/>
      <c r="L5" s="2484"/>
      <c r="M5" s="2485"/>
      <c r="N5" s="2485"/>
      <c r="O5" s="2485"/>
      <c r="P5" s="3358"/>
      <c r="Q5" s="3359"/>
      <c r="R5" s="3364"/>
      <c r="S5" s="3365"/>
      <c r="T5" s="3364"/>
      <c r="U5" s="3365"/>
      <c r="V5" s="3376"/>
      <c r="W5" s="3376"/>
      <c r="X5" s="1264"/>
      <c r="Y5" s="3364"/>
      <c r="Z5" s="3365"/>
      <c r="AA5" s="3350"/>
      <c r="AB5" s="3350"/>
      <c r="AC5" s="3350"/>
    </row>
    <row r="6" spans="1:29" ht="15.75" thickBot="1">
      <c r="A6" s="350"/>
      <c r="B6" s="351"/>
      <c r="C6" s="3370" t="s">
        <v>1677</v>
      </c>
      <c r="D6" s="3371"/>
      <c r="E6" s="3372" t="s">
        <v>1677</v>
      </c>
      <c r="F6" s="3373"/>
      <c r="G6" s="3370" t="s">
        <v>1677</v>
      </c>
      <c r="H6" s="3371"/>
      <c r="I6" s="3370" t="s">
        <v>1677</v>
      </c>
      <c r="J6" s="3371"/>
      <c r="K6" s="537" t="s">
        <v>1678</v>
      </c>
      <c r="L6" s="2484"/>
      <c r="M6" s="2485"/>
      <c r="N6" s="2485"/>
      <c r="O6" s="2485"/>
      <c r="P6" s="3360"/>
      <c r="Q6" s="3361"/>
      <c r="R6" s="3364"/>
      <c r="S6" s="3365"/>
      <c r="T6" s="3374"/>
      <c r="U6" s="3375"/>
      <c r="V6" s="3376"/>
      <c r="W6" s="3376"/>
      <c r="X6" s="1264"/>
      <c r="Y6" s="3374"/>
      <c r="Z6" s="3375"/>
      <c r="AA6" s="3351"/>
      <c r="AB6" s="3351"/>
      <c r="AC6" s="3351"/>
    </row>
    <row r="7" spans="1:29" s="102" customFormat="1" ht="15.75" thickBot="1">
      <c r="A7" s="352" t="s">
        <v>1679</v>
      </c>
      <c r="B7" s="353"/>
      <c r="C7" s="354">
        <f>'数据-取费表'!B2</f>
        <v>45622</v>
      </c>
      <c r="D7" s="355">
        <v>100</v>
      </c>
      <c r="E7" s="356"/>
      <c r="F7" s="357">
        <f>SUMIF(69:69,YEAR(E7)&amp;"-"&amp;INT((MONTH(E7)+2)/3),70:70)</f>
        <v>0</v>
      </c>
      <c r="G7" s="1821"/>
      <c r="H7" s="355">
        <f>SUMIF(69:69,YEAR(G7)&amp;"-"&amp;INT((MONTH(G7)+2)/3),70:70)</f>
        <v>0</v>
      </c>
      <c r="I7" s="1821"/>
      <c r="J7" s="355">
        <f>SUMIF(69:69,YEAR(I7)&amp;"-"&amp;INT((MONTH(I7)+2)/3),70:70)</f>
        <v>0</v>
      </c>
      <c r="K7" s="38"/>
      <c r="L7" s="2486"/>
      <c r="M7" s="2437"/>
      <c r="N7" s="2437"/>
      <c r="O7" s="2437"/>
      <c r="P7" s="3377" t="s">
        <v>1680</v>
      </c>
      <c r="Q7" s="3378"/>
      <c r="R7" s="664" t="s">
        <v>14</v>
      </c>
      <c r="S7" s="665">
        <f t="shared" ref="S7:S15" si="0">F7</f>
        <v>0</v>
      </c>
      <c r="T7" s="664" t="s">
        <v>14</v>
      </c>
      <c r="U7" s="665">
        <f t="shared" ref="U7:U15" si="1">H7</f>
        <v>0</v>
      </c>
      <c r="V7" s="664" t="s">
        <v>14</v>
      </c>
      <c r="W7" s="665">
        <f t="shared" ref="W7:W15" si="2">J7</f>
        <v>0</v>
      </c>
      <c r="X7" s="666"/>
      <c r="Y7" s="3377" t="s">
        <v>1680</v>
      </c>
      <c r="Z7" s="337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77" t="s">
        <v>1683</v>
      </c>
      <c r="Q8" s="3379"/>
      <c r="R8" s="664" t="s">
        <v>14</v>
      </c>
      <c r="S8" s="665">
        <f t="shared" si="0"/>
        <v>0</v>
      </c>
      <c r="T8" s="664" t="s">
        <v>14</v>
      </c>
      <c r="U8" s="665">
        <f t="shared" si="1"/>
        <v>0</v>
      </c>
      <c r="V8" s="664" t="s">
        <v>14</v>
      </c>
      <c r="W8" s="665">
        <f t="shared" si="2"/>
        <v>0</v>
      </c>
      <c r="X8" s="666"/>
      <c r="Y8" s="3377" t="s">
        <v>1683</v>
      </c>
      <c r="Z8" s="337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7"/>
      <c r="N9" s="2437"/>
      <c r="O9" s="2538"/>
      <c r="P9" s="339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112</v>
      </c>
      <c r="G10" s="402"/>
      <c r="H10" s="119">
        <f>ROUND(100/'数据-取费表'!G16,0)</f>
        <v>112</v>
      </c>
      <c r="I10" s="402"/>
      <c r="J10" s="119">
        <f>ROUND(100/'数据-取费表'!G16,0)</f>
        <v>112</v>
      </c>
      <c r="K10" s="592"/>
      <c r="L10" s="2487"/>
      <c r="M10" s="2488"/>
      <c r="N10" s="2488"/>
      <c r="O10" s="2539"/>
      <c r="P10" s="3390"/>
      <c r="Q10" s="530" t="str">
        <f t="shared" si="6"/>
        <v>土地使用年限（年）</v>
      </c>
      <c r="R10" s="664" t="s">
        <v>14</v>
      </c>
      <c r="S10" s="665">
        <f t="shared" si="0"/>
        <v>112</v>
      </c>
      <c r="T10" s="664" t="s">
        <v>14</v>
      </c>
      <c r="U10" s="665">
        <f t="shared" si="1"/>
        <v>112</v>
      </c>
      <c r="V10" s="664" t="s">
        <v>14</v>
      </c>
      <c r="W10" s="665">
        <f t="shared" si="2"/>
        <v>112</v>
      </c>
      <c r="X10" s="666"/>
      <c r="Y10" s="3322"/>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9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90"/>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90"/>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90"/>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114">
      <c r="A15" s="379" t="s">
        <v>1690</v>
      </c>
      <c r="B15" s="58" t="s">
        <v>1257</v>
      </c>
      <c r="C15" s="1749" t="str">
        <f>估价对象房地状况!C15</f>
        <v>估价对象周边有梵悦108、使馆壹号院、海晟名苑、万国城MOMA等住宅小区，综合评价居住社区成熟度较好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3" t="s">
        <v>1691</v>
      </c>
      <c r="Q15" s="1262" t="str">
        <f t="shared" si="6"/>
        <v>居住社区成熟度</v>
      </c>
      <c r="R15" s="667" t="s">
        <v>14</v>
      </c>
      <c r="S15" s="668">
        <f t="shared" si="0"/>
        <v>100</v>
      </c>
      <c r="T15" s="667" t="s">
        <v>14</v>
      </c>
      <c r="U15" s="668">
        <f t="shared" si="1"/>
        <v>100</v>
      </c>
      <c r="V15" s="667" t="s">
        <v>14</v>
      </c>
      <c r="W15" s="668">
        <f t="shared" si="2"/>
        <v>100</v>
      </c>
      <c r="X15" s="1264"/>
      <c r="Y15" s="3383"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84"/>
      <c r="Q16" s="1262"/>
      <c r="R16" s="667"/>
      <c r="S16" s="668"/>
      <c r="T16" s="667"/>
      <c r="U16" s="668"/>
      <c r="V16" s="667"/>
      <c r="W16" s="668"/>
      <c r="X16" s="1264"/>
      <c r="Y16" s="3384"/>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4"/>
      <c r="Q17" s="1262" t="str">
        <f>B17</f>
        <v>商业繁华度</v>
      </c>
      <c r="R17" s="667" t="s">
        <v>14</v>
      </c>
      <c r="S17" s="668">
        <f>F17</f>
        <v>100</v>
      </c>
      <c r="T17" s="667" t="s">
        <v>14</v>
      </c>
      <c r="U17" s="668">
        <f>H17</f>
        <v>100</v>
      </c>
      <c r="V17" s="667" t="s">
        <v>14</v>
      </c>
      <c r="W17" s="668">
        <f>J17</f>
        <v>100</v>
      </c>
      <c r="X17" s="1264"/>
      <c r="Y17" s="3384"/>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84"/>
      <c r="Q18" s="1262"/>
      <c r="R18" s="667"/>
      <c r="S18" s="668"/>
      <c r="T18" s="667"/>
      <c r="U18" s="668"/>
      <c r="V18" s="667"/>
      <c r="W18" s="668"/>
      <c r="X18" s="1264"/>
      <c r="Y18" s="3384"/>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4"/>
      <c r="Q19" s="1262" t="str">
        <f>B19</f>
        <v>办公集聚程度</v>
      </c>
      <c r="R19" s="667" t="s">
        <v>14</v>
      </c>
      <c r="S19" s="668">
        <f>F19</f>
        <v>100</v>
      </c>
      <c r="T19" s="667" t="s">
        <v>14</v>
      </c>
      <c r="U19" s="668">
        <f>H19</f>
        <v>100</v>
      </c>
      <c r="V19" s="667" t="s">
        <v>14</v>
      </c>
      <c r="W19" s="668">
        <f>J19</f>
        <v>100</v>
      </c>
      <c r="X19" s="1264"/>
      <c r="Y19" s="3384"/>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84"/>
      <c r="Q20" s="1262"/>
      <c r="R20" s="667"/>
      <c r="S20" s="668"/>
      <c r="T20" s="667"/>
      <c r="U20" s="668"/>
      <c r="V20" s="667"/>
      <c r="W20" s="668"/>
      <c r="X20" s="1264"/>
      <c r="Y20" s="3384"/>
      <c r="Z20" s="1263"/>
      <c r="AA20" s="1263">
        <v>1</v>
      </c>
      <c r="AB20" s="1263">
        <v>1</v>
      </c>
      <c r="AC20" s="1263">
        <v>1</v>
      </c>
    </row>
    <row r="21" spans="1:29" ht="171">
      <c r="A21" s="367"/>
      <c r="B21" s="390" t="s">
        <v>1833</v>
      </c>
      <c r="C21" s="1753" t="str">
        <f>估价对象房地状况!C18</f>
        <v>估价对象周边有24路、117路、123路、132路、135路、413路、515路等多条公交线路，地铁2号线及13号线换乘站（东直门站），东直门长途汽车站等，综合评价交通便捷度较好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4"/>
      <c r="Q21" s="1262" t="str">
        <f>B21</f>
        <v>交通便捷度</v>
      </c>
      <c r="R21" s="667" t="s">
        <v>14</v>
      </c>
      <c r="S21" s="668">
        <f>F21</f>
        <v>100</v>
      </c>
      <c r="T21" s="667" t="s">
        <v>14</v>
      </c>
      <c r="U21" s="668">
        <f>H21</f>
        <v>100</v>
      </c>
      <c r="V21" s="667" t="s">
        <v>14</v>
      </c>
      <c r="W21" s="668">
        <f>J21</f>
        <v>100</v>
      </c>
      <c r="X21" s="1264"/>
      <c r="Y21" s="3384"/>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84"/>
      <c r="Q22" s="1262"/>
      <c r="R22" s="667"/>
      <c r="S22" s="668"/>
      <c r="T22" s="667"/>
      <c r="U22" s="668"/>
      <c r="V22" s="667"/>
      <c r="W22" s="668"/>
      <c r="X22" s="1264"/>
      <c r="Y22" s="3384"/>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4"/>
      <c r="Q23" s="1262" t="str">
        <f t="shared" ref="Q23:Q37" si="8">B23</f>
        <v>区域土地利用方向</v>
      </c>
      <c r="R23" s="667" t="s">
        <v>14</v>
      </c>
      <c r="S23" s="668">
        <f>F23</f>
        <v>100</v>
      </c>
      <c r="T23" s="667" t="s">
        <v>14</v>
      </c>
      <c r="U23" s="668">
        <f>H23</f>
        <v>100</v>
      </c>
      <c r="V23" s="667" t="s">
        <v>14</v>
      </c>
      <c r="W23" s="668">
        <f>J23</f>
        <v>100</v>
      </c>
      <c r="X23" s="1264"/>
      <c r="Y23" s="338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84"/>
      <c r="Q24" s="1262"/>
      <c r="R24" s="667"/>
      <c r="S24" s="668"/>
      <c r="T24" s="667"/>
      <c r="U24" s="668"/>
      <c r="V24" s="667"/>
      <c r="W24" s="668"/>
      <c r="X24" s="1264"/>
      <c r="Y24" s="3384"/>
      <c r="Z24" s="1263"/>
      <c r="AA24" s="1263"/>
      <c r="AB24" s="1263"/>
      <c r="AC24" s="1263"/>
    </row>
    <row r="25" spans="1:29" ht="99.75">
      <c r="A25" s="348"/>
      <c r="B25" s="586" t="s">
        <v>1872</v>
      </c>
      <c r="C25" s="1805" t="str">
        <f>估价对象房地状况!C20</f>
        <v>区域自然环境：亮马河、东城区亮马河公园；人文环境：工人体育场、东直门外清真寺；综合评价环境状况较好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4"/>
      <c r="Q25" s="1262" t="str">
        <f t="shared" si="8"/>
        <v>自然及人文环境状况</v>
      </c>
      <c r="R25" s="667" t="s">
        <v>14</v>
      </c>
      <c r="S25" s="668">
        <f>F25</f>
        <v>100</v>
      </c>
      <c r="T25" s="667" t="s">
        <v>14</v>
      </c>
      <c r="U25" s="668">
        <f>H25</f>
        <v>100</v>
      </c>
      <c r="V25" s="667" t="s">
        <v>14</v>
      </c>
      <c r="W25" s="668">
        <f>J25</f>
        <v>100</v>
      </c>
      <c r="X25" s="1264"/>
      <c r="Y25" s="3384"/>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84"/>
      <c r="Q26" s="1262"/>
      <c r="R26" s="667"/>
      <c r="S26" s="668"/>
      <c r="T26" s="667"/>
      <c r="U26" s="668"/>
      <c r="V26" s="667"/>
      <c r="W26" s="668"/>
      <c r="X26" s="1264"/>
      <c r="Y26" s="3384"/>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6"/>
      <c r="M28" s="2437"/>
      <c r="N28" s="2437"/>
      <c r="O28" s="2538"/>
      <c r="P28" s="3384"/>
      <c r="Q28" s="530"/>
      <c r="R28" s="664"/>
      <c r="S28" s="665"/>
      <c r="T28" s="664"/>
      <c r="U28" s="665"/>
      <c r="V28" s="664"/>
      <c r="W28" s="665"/>
      <c r="X28" s="666"/>
      <c r="Y28" s="3384"/>
      <c r="Z28" s="50"/>
      <c r="AA28" s="1263">
        <v>1</v>
      </c>
      <c r="AB28" s="1263">
        <v>1</v>
      </c>
      <c r="AC28" s="1263">
        <v>1</v>
      </c>
    </row>
    <row r="29" spans="1:29" s="102" customFormat="1" ht="15">
      <c r="A29" s="443"/>
      <c r="B29" s="586"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6"/>
      <c r="M30" s="2437"/>
      <c r="N30" s="2437"/>
      <c r="O30" s="2538"/>
      <c r="P30" s="3384"/>
      <c r="Q30" s="530"/>
      <c r="R30" s="664"/>
      <c r="S30" s="665"/>
      <c r="T30" s="664"/>
      <c r="U30" s="665"/>
      <c r="V30" s="664"/>
      <c r="W30" s="665"/>
      <c r="X30" s="666"/>
      <c r="Y30" s="338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4"/>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4"/>
      <c r="Q32" s="1262" t="str">
        <f t="shared" si="8"/>
        <v>毗邻道路的类型与等级</v>
      </c>
      <c r="R32" s="667" t="s">
        <v>14</v>
      </c>
      <c r="S32" s="668">
        <f t="shared" si="10"/>
        <v>100</v>
      </c>
      <c r="T32" s="667" t="s">
        <v>14</v>
      </c>
      <c r="U32" s="668">
        <f t="shared" si="11"/>
        <v>100</v>
      </c>
      <c r="V32" s="667" t="s">
        <v>14</v>
      </c>
      <c r="W32" s="668">
        <f t="shared" si="12"/>
        <v>100</v>
      </c>
      <c r="X32" s="1264"/>
      <c r="Y32" s="3384"/>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84"/>
      <c r="Q33" s="1262"/>
      <c r="R33" s="667"/>
      <c r="S33" s="668"/>
      <c r="T33" s="667"/>
      <c r="U33" s="668"/>
      <c r="V33" s="667"/>
      <c r="W33" s="668"/>
      <c r="X33" s="1264"/>
      <c r="Y33" s="3384"/>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4"/>
      <c r="Q34" s="1262" t="str">
        <f t="shared" si="8"/>
        <v>土地级别</v>
      </c>
      <c r="R34" s="667" t="s">
        <v>14</v>
      </c>
      <c r="S34" s="668">
        <f t="shared" si="10"/>
        <v>100</v>
      </c>
      <c r="T34" s="667" t="s">
        <v>14</v>
      </c>
      <c r="U34" s="668">
        <f t="shared" si="11"/>
        <v>100</v>
      </c>
      <c r="V34" s="667" t="s">
        <v>14</v>
      </c>
      <c r="W34" s="668">
        <f t="shared" si="12"/>
        <v>100</v>
      </c>
      <c r="X34" s="1264"/>
      <c r="Y34" s="3384"/>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4"/>
      <c r="Q35" s="1262">
        <f t="shared" si="8"/>
        <v>111</v>
      </c>
      <c r="R35" s="667" t="s">
        <v>14</v>
      </c>
      <c r="S35" s="668">
        <f t="shared" si="10"/>
        <v>100</v>
      </c>
      <c r="T35" s="667" t="s">
        <v>14</v>
      </c>
      <c r="U35" s="668">
        <f t="shared" si="11"/>
        <v>100</v>
      </c>
      <c r="V35" s="667" t="s">
        <v>14</v>
      </c>
      <c r="W35" s="668">
        <f t="shared" si="12"/>
        <v>100</v>
      </c>
      <c r="X35" s="1264"/>
      <c r="Y35" s="3384"/>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7" t="s">
        <v>1696</v>
      </c>
      <c r="Q36" s="1262">
        <f t="shared" si="8"/>
        <v>111</v>
      </c>
      <c r="R36" s="667" t="s">
        <v>14</v>
      </c>
      <c r="S36" s="668">
        <f t="shared" si="10"/>
        <v>100</v>
      </c>
      <c r="T36" s="667" t="s">
        <v>14</v>
      </c>
      <c r="U36" s="668">
        <f t="shared" si="11"/>
        <v>100</v>
      </c>
      <c r="V36" s="667" t="s">
        <v>14</v>
      </c>
      <c r="W36" s="668">
        <f t="shared" si="12"/>
        <v>100</v>
      </c>
      <c r="X36" s="1264"/>
      <c r="Y36" s="3388"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8"/>
      <c r="Q37" s="1262">
        <f t="shared" si="8"/>
        <v>111</v>
      </c>
      <c r="R37" s="669" t="s">
        <v>14</v>
      </c>
      <c r="S37" s="670">
        <f t="shared" si="10"/>
        <v>100</v>
      </c>
      <c r="T37" s="669" t="s">
        <v>14</v>
      </c>
      <c r="U37" s="670">
        <f t="shared" si="11"/>
        <v>100</v>
      </c>
      <c r="V37" s="669" t="s">
        <v>14</v>
      </c>
      <c r="W37" s="670">
        <f t="shared" si="12"/>
        <v>100</v>
      </c>
      <c r="X37" s="671"/>
      <c r="Y37" s="3388"/>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8"/>
      <c r="Q38" s="1262" t="str">
        <f>B38</f>
        <v>宗地面积</v>
      </c>
      <c r="R38" s="667" t="s">
        <v>14</v>
      </c>
      <c r="S38" s="668" t="e">
        <f t="shared" si="10"/>
        <v>#N/A</v>
      </c>
      <c r="T38" s="667" t="s">
        <v>14</v>
      </c>
      <c r="U38" s="668" t="e">
        <f t="shared" si="11"/>
        <v>#N/A</v>
      </c>
      <c r="V38" s="667" t="s">
        <v>14</v>
      </c>
      <c r="W38" s="668" t="e">
        <f t="shared" si="12"/>
        <v>#N/A</v>
      </c>
      <c r="X38" s="1264"/>
      <c r="Y38" s="3388"/>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88"/>
      <c r="Q39" s="1262" t="str">
        <f t="shared" ref="Q39:Q45" si="14">B39</f>
        <v>宗地形状</v>
      </c>
      <c r="R39" s="667" t="s">
        <v>14</v>
      </c>
      <c r="S39" s="668">
        <f t="shared" si="10"/>
        <v>100</v>
      </c>
      <c r="T39" s="667" t="s">
        <v>14</v>
      </c>
      <c r="U39" s="668">
        <f t="shared" si="11"/>
        <v>100</v>
      </c>
      <c r="V39" s="667" t="s">
        <v>14</v>
      </c>
      <c r="W39" s="668">
        <f t="shared" si="12"/>
        <v>100</v>
      </c>
      <c r="X39" s="1264"/>
      <c r="Y39" s="338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88"/>
      <c r="Q40" s="1262" t="str">
        <f t="shared" si="14"/>
        <v>临街宽度及深度</v>
      </c>
      <c r="R40" s="667" t="s">
        <v>14</v>
      </c>
      <c r="S40" s="668">
        <f t="shared" si="10"/>
        <v>100</v>
      </c>
      <c r="T40" s="667" t="s">
        <v>14</v>
      </c>
      <c r="U40" s="668">
        <f t="shared" si="11"/>
        <v>100</v>
      </c>
      <c r="V40" s="667" t="s">
        <v>14</v>
      </c>
      <c r="W40" s="668">
        <f t="shared" si="12"/>
        <v>100</v>
      </c>
      <c r="X40" s="1264"/>
      <c r="Y40" s="3388"/>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6"/>
      <c r="M41" s="2437"/>
      <c r="N41" s="2437"/>
      <c r="O41" s="2538"/>
      <c r="P41" s="3388"/>
      <c r="Q41" s="1262"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88" t="s">
        <v>1696</v>
      </c>
      <c r="Q42" s="1262" t="str">
        <f t="shared" si="14"/>
        <v>工程地质条件</v>
      </c>
      <c r="R42" s="667" t="s">
        <v>14</v>
      </c>
      <c r="S42" s="668">
        <f t="shared" si="10"/>
        <v>100</v>
      </c>
      <c r="T42" s="667" t="s">
        <v>14</v>
      </c>
      <c r="U42" s="668">
        <f t="shared" si="11"/>
        <v>100</v>
      </c>
      <c r="V42" s="667" t="s">
        <v>14</v>
      </c>
      <c r="W42" s="668">
        <f t="shared" si="12"/>
        <v>100</v>
      </c>
      <c r="X42" s="1264"/>
      <c r="Y42" s="3388"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8"/>
      <c r="Q43" s="1262">
        <f t="shared" si="14"/>
        <v>111</v>
      </c>
      <c r="R43" s="667" t="s">
        <v>14</v>
      </c>
      <c r="S43" s="668">
        <f t="shared" si="10"/>
        <v>100</v>
      </c>
      <c r="T43" s="667" t="s">
        <v>14</v>
      </c>
      <c r="U43" s="668">
        <f t="shared" si="11"/>
        <v>100</v>
      </c>
      <c r="V43" s="667" t="s">
        <v>14</v>
      </c>
      <c r="W43" s="668">
        <f t="shared" si="12"/>
        <v>100</v>
      </c>
      <c r="X43" s="1264"/>
      <c r="Y43" s="3388"/>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8"/>
      <c r="Q44" s="1262">
        <f t="shared" si="14"/>
        <v>111</v>
      </c>
      <c r="R44" s="667" t="s">
        <v>14</v>
      </c>
      <c r="S44" s="668">
        <f t="shared" si="10"/>
        <v>100</v>
      </c>
      <c r="T44" s="667" t="s">
        <v>14</v>
      </c>
      <c r="U44" s="668">
        <f t="shared" si="11"/>
        <v>100</v>
      </c>
      <c r="V44" s="667" t="s">
        <v>14</v>
      </c>
      <c r="W44" s="668">
        <f t="shared" si="12"/>
        <v>100</v>
      </c>
      <c r="X44" s="1264"/>
      <c r="Y44" s="3388"/>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8"/>
      <c r="Q45" s="1262">
        <f t="shared" si="14"/>
        <v>111</v>
      </c>
      <c r="R45" s="669" t="s">
        <v>14</v>
      </c>
      <c r="S45" s="670">
        <f t="shared" si="10"/>
        <v>100</v>
      </c>
      <c r="T45" s="669" t="s">
        <v>14</v>
      </c>
      <c r="U45" s="670">
        <f t="shared" si="11"/>
        <v>100</v>
      </c>
      <c r="V45" s="669" t="s">
        <v>14</v>
      </c>
      <c r="W45" s="670">
        <f t="shared" si="12"/>
        <v>100</v>
      </c>
      <c r="X45" s="671"/>
      <c r="Y45" s="3388"/>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2"/>
      <c r="M46" s="2485"/>
      <c r="N46" s="2485"/>
      <c r="O46" s="2485"/>
      <c r="P46" s="3390" t="str">
        <f>A46</f>
        <v>成交单价</v>
      </c>
      <c r="Q46" s="3390"/>
      <c r="R46" s="3376">
        <f>E46</f>
        <v>0</v>
      </c>
      <c r="S46" s="3376"/>
      <c r="T46" s="3376">
        <f>G46</f>
        <v>0</v>
      </c>
      <c r="U46" s="3376"/>
      <c r="V46" s="3376">
        <f>I46</f>
        <v>0</v>
      </c>
      <c r="W46" s="3376"/>
      <c r="X46" s="385"/>
      <c r="Y46" s="673"/>
      <c r="Z46" s="385"/>
      <c r="AA46" s="385"/>
      <c r="AB46" s="385"/>
      <c r="AC46" s="385"/>
    </row>
    <row r="47" spans="1:29" ht="15.75" thickBot="1">
      <c r="A47" s="423" t="s">
        <v>1793</v>
      </c>
      <c r="B47" s="603"/>
      <c r="C47" s="426" t="e">
        <f>R48</f>
        <v>#DIV/0!</v>
      </c>
      <c r="D47" s="2140" t="s">
        <v>2136</v>
      </c>
      <c r="E47" s="426" t="e">
        <f>R47</f>
        <v>#DIV/0!</v>
      </c>
      <c r="F47" s="2141"/>
      <c r="G47" s="425" t="e">
        <f>T47</f>
        <v>#DIV/0!</v>
      </c>
      <c r="H47" s="2141"/>
      <c r="I47" s="426" t="e">
        <f>V47</f>
        <v>#DIV/0!</v>
      </c>
      <c r="J47" s="2141"/>
      <c r="K47" s="2143">
        <f>F47+H47+J47</f>
        <v>0</v>
      </c>
      <c r="L47" s="2492"/>
      <c r="M47" s="2485"/>
      <c r="N47" s="2485"/>
      <c r="O47" s="2485"/>
      <c r="P47" s="3390" t="str">
        <f>A47</f>
        <v>比较价值（元/平方米）</v>
      </c>
      <c r="Q47" s="339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91" t="str">
        <f>A48</f>
        <v>估价对象XX用房的比较价值（楼面单价，元/平方米）</v>
      </c>
      <c r="Q48" s="3392"/>
      <c r="R48" s="3440" t="e">
        <f>ROUND(IF(D47="简单平均",AVERAGE(R47:W47),R47*F47+T47*H47+V47*J47),0)</f>
        <v>#DIV/0!</v>
      </c>
      <c r="S48" s="3440"/>
      <c r="T48" s="3440"/>
      <c r="U48" s="3440"/>
      <c r="V48" s="3440"/>
      <c r="W48" s="344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7" t="s">
        <v>1886</v>
      </c>
      <c r="G55" s="3352" t="s">
        <v>1887</v>
      </c>
      <c r="H55" s="3441"/>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375.87</v>
      </c>
      <c r="F56" s="833" t="e">
        <f t="shared" ref="F56:F64" si="15">ROUND(B56*E56/10000,0)</f>
        <v>#DIV/0!</v>
      </c>
      <c r="G56" s="3380"/>
      <c r="H56" s="339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375.87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52" t="s">
        <v>1770</v>
      </c>
      <c r="D4" s="3353"/>
      <c r="E4" s="3354" t="s">
        <v>1771</v>
      </c>
      <c r="F4" s="3355"/>
      <c r="G4" s="3352" t="s">
        <v>1772</v>
      </c>
      <c r="H4" s="3353"/>
      <c r="I4" s="3352" t="s">
        <v>1773</v>
      </c>
      <c r="J4" s="3353"/>
      <c r="K4" s="537" t="s">
        <v>1774</v>
      </c>
      <c r="L4" s="2484"/>
      <c r="M4" s="2485"/>
      <c r="N4" s="2485"/>
      <c r="O4" s="2485"/>
      <c r="P4" s="3356" t="s">
        <v>1775</v>
      </c>
      <c r="Q4" s="3357"/>
      <c r="R4" s="3362" t="s">
        <v>1771</v>
      </c>
      <c r="S4" s="3363"/>
      <c r="T4" s="3362" t="s">
        <v>1772</v>
      </c>
      <c r="U4" s="3363"/>
      <c r="V4" s="3376" t="s">
        <v>1773</v>
      </c>
      <c r="W4" s="3376"/>
      <c r="X4" s="1264"/>
      <c r="Y4" s="3362" t="s">
        <v>1775</v>
      </c>
      <c r="Z4" s="3363"/>
      <c r="AA4" s="3349" t="s">
        <v>1771</v>
      </c>
      <c r="AB4" s="3350" t="s">
        <v>1772</v>
      </c>
      <c r="AC4" s="3349" t="s">
        <v>1773</v>
      </c>
    </row>
    <row r="5" spans="1:29" ht="15">
      <c r="A5" s="348"/>
      <c r="B5" s="349"/>
      <c r="C5" s="3394" t="s">
        <v>1673</v>
      </c>
      <c r="D5" s="3367"/>
      <c r="E5" s="3421" t="s">
        <v>1674</v>
      </c>
      <c r="F5" s="3369"/>
      <c r="G5" s="3394" t="s">
        <v>1675</v>
      </c>
      <c r="H5" s="3367"/>
      <c r="I5" s="3394" t="s">
        <v>1676</v>
      </c>
      <c r="J5" s="3367"/>
      <c r="K5" s="537"/>
      <c r="L5" s="2484"/>
      <c r="M5" s="2485"/>
      <c r="N5" s="2485"/>
      <c r="O5" s="2485"/>
      <c r="P5" s="3358"/>
      <c r="Q5" s="3359"/>
      <c r="R5" s="3364"/>
      <c r="S5" s="3365"/>
      <c r="T5" s="3364"/>
      <c r="U5" s="3365"/>
      <c r="V5" s="3376"/>
      <c r="W5" s="3376"/>
      <c r="X5" s="1264"/>
      <c r="Y5" s="3364"/>
      <c r="Z5" s="3365"/>
      <c r="AA5" s="3350"/>
      <c r="AB5" s="3350"/>
      <c r="AC5" s="3350"/>
    </row>
    <row r="6" spans="1:29" ht="15.75" thickBot="1">
      <c r="A6" s="350"/>
      <c r="B6" s="351"/>
      <c r="C6" s="3442" t="s">
        <v>1919</v>
      </c>
      <c r="D6" s="3443"/>
      <c r="E6" s="3444" t="s">
        <v>1919</v>
      </c>
      <c r="F6" s="3445"/>
      <c r="G6" s="3442" t="s">
        <v>1919</v>
      </c>
      <c r="H6" s="3443"/>
      <c r="I6" s="3442" t="s">
        <v>1919</v>
      </c>
      <c r="J6" s="3443"/>
      <c r="K6" s="537" t="s">
        <v>1678</v>
      </c>
      <c r="L6" s="2484"/>
      <c r="M6" s="2485"/>
      <c r="N6" s="2485"/>
      <c r="O6" s="2485"/>
      <c r="P6" s="3360"/>
      <c r="Q6" s="3361"/>
      <c r="R6" s="3364"/>
      <c r="S6" s="3365"/>
      <c r="T6" s="3374"/>
      <c r="U6" s="3375"/>
      <c r="V6" s="3376"/>
      <c r="W6" s="3376"/>
      <c r="X6" s="1264"/>
      <c r="Y6" s="3374"/>
      <c r="Z6" s="3375"/>
      <c r="AA6" s="3351"/>
      <c r="AB6" s="3351"/>
      <c r="AC6" s="3351"/>
    </row>
    <row r="7" spans="1:29" s="102" customFormat="1" ht="15.75" thickBot="1">
      <c r="A7" s="352" t="s">
        <v>1679</v>
      </c>
      <c r="B7" s="353"/>
      <c r="C7" s="354">
        <f>'数据-取费表'!B2</f>
        <v>45622</v>
      </c>
      <c r="D7" s="355">
        <v>100</v>
      </c>
      <c r="E7" s="356"/>
      <c r="F7" s="357">
        <f>SUMIF(65:65,YEAR(E7)&amp;"-"&amp;INT((MONTH(E7)+2)/3),66:66)</f>
        <v>0</v>
      </c>
      <c r="G7" s="1821"/>
      <c r="H7" s="355">
        <f>SUMIF(65:65,YEAR(G7)&amp;"-"&amp;INT((MONTH(G7)+2)/3),66:66)</f>
        <v>0</v>
      </c>
      <c r="I7" s="1821"/>
      <c r="J7" s="355">
        <f>SUMIF(65:65,YEAR(I7)&amp;"-"&amp;INT((MONTH(I7)+2)/3),66:66)</f>
        <v>0</v>
      </c>
      <c r="K7" s="38"/>
      <c r="L7" s="2486"/>
      <c r="M7" s="2437"/>
      <c r="N7" s="2437"/>
      <c r="O7" s="2437"/>
      <c r="P7" s="3377" t="s">
        <v>1680</v>
      </c>
      <c r="Q7" s="3378"/>
      <c r="R7" s="664" t="s">
        <v>14</v>
      </c>
      <c r="S7" s="665">
        <f t="shared" ref="S7:S15" si="0">F7</f>
        <v>0</v>
      </c>
      <c r="T7" s="664" t="s">
        <v>14</v>
      </c>
      <c r="U7" s="665">
        <f t="shared" ref="U7:U15" si="1">H7</f>
        <v>0</v>
      </c>
      <c r="V7" s="664" t="s">
        <v>14</v>
      </c>
      <c r="W7" s="665">
        <f t="shared" ref="W7:W15" si="2">J7</f>
        <v>0</v>
      </c>
      <c r="X7" s="666"/>
      <c r="Y7" s="3377" t="s">
        <v>1680</v>
      </c>
      <c r="Z7" s="337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77" t="s">
        <v>1683</v>
      </c>
      <c r="Q8" s="3379"/>
      <c r="R8" s="664" t="s">
        <v>14</v>
      </c>
      <c r="S8" s="665">
        <f t="shared" si="0"/>
        <v>0</v>
      </c>
      <c r="T8" s="664" t="s">
        <v>14</v>
      </c>
      <c r="U8" s="665">
        <f t="shared" si="1"/>
        <v>0</v>
      </c>
      <c r="V8" s="664" t="s">
        <v>14</v>
      </c>
      <c r="W8" s="665">
        <f t="shared" si="2"/>
        <v>0</v>
      </c>
      <c r="X8" s="666"/>
      <c r="Y8" s="3377" t="s">
        <v>1683</v>
      </c>
      <c r="Z8" s="337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7"/>
      <c r="N9" s="2437"/>
      <c r="O9" s="2538"/>
      <c r="P9" s="3390"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112</v>
      </c>
      <c r="G10" s="371"/>
      <c r="H10" s="119">
        <f>ROUND(100/'数据-取费表'!G16,0)</f>
        <v>112</v>
      </c>
      <c r="I10" s="371"/>
      <c r="J10" s="119">
        <f>ROUND(100/'数据-取费表'!G16,0)</f>
        <v>112</v>
      </c>
      <c r="K10" s="592"/>
      <c r="L10" s="2487"/>
      <c r="M10" s="2488"/>
      <c r="N10" s="2488"/>
      <c r="O10" s="2539"/>
      <c r="P10" s="3390"/>
      <c r="Q10" s="530" t="str">
        <f t="shared" si="6"/>
        <v>土地使用年限（年）</v>
      </c>
      <c r="R10" s="664" t="s">
        <v>14</v>
      </c>
      <c r="S10" s="665">
        <f t="shared" si="0"/>
        <v>112</v>
      </c>
      <c r="T10" s="664" t="s">
        <v>14</v>
      </c>
      <c r="U10" s="665">
        <f t="shared" si="1"/>
        <v>112</v>
      </c>
      <c r="V10" s="664" t="s">
        <v>14</v>
      </c>
      <c r="W10" s="665">
        <f t="shared" si="2"/>
        <v>112</v>
      </c>
      <c r="X10" s="666"/>
      <c r="Y10" s="3322"/>
      <c r="Z10" s="50" t="str">
        <f t="shared" si="7"/>
        <v>土地使用年限（年）</v>
      </c>
      <c r="AA10" s="50">
        <f t="shared" si="3"/>
        <v>0.8928571428571429</v>
      </c>
      <c r="AB10" s="50">
        <f t="shared" si="4"/>
        <v>0.8928571428571429</v>
      </c>
      <c r="AC10" s="50">
        <f t="shared" si="5"/>
        <v>0.8928571428571429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90"/>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90"/>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90"/>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90"/>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3" t="s">
        <v>1691</v>
      </c>
      <c r="Q15" s="1262" t="str">
        <f t="shared" si="6"/>
        <v>产业集聚程度</v>
      </c>
      <c r="R15" s="667" t="s">
        <v>14</v>
      </c>
      <c r="S15" s="668">
        <f t="shared" si="0"/>
        <v>100</v>
      </c>
      <c r="T15" s="667" t="s">
        <v>14</v>
      </c>
      <c r="U15" s="668">
        <f t="shared" si="1"/>
        <v>100</v>
      </c>
      <c r="V15" s="667" t="s">
        <v>14</v>
      </c>
      <c r="W15" s="668">
        <f t="shared" si="2"/>
        <v>100</v>
      </c>
      <c r="X15" s="1264"/>
      <c r="Y15" s="338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84"/>
      <c r="Q16" s="1262"/>
      <c r="R16" s="667"/>
      <c r="S16" s="668"/>
      <c r="T16" s="667"/>
      <c r="U16" s="668"/>
      <c r="V16" s="667"/>
      <c r="W16" s="668"/>
      <c r="X16" s="1264"/>
      <c r="Y16" s="3384"/>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4"/>
      <c r="Q17" s="1262" t="str">
        <f>B17</f>
        <v>交通便捷度</v>
      </c>
      <c r="R17" s="667" t="s">
        <v>14</v>
      </c>
      <c r="S17" s="668">
        <f>F17</f>
        <v>100</v>
      </c>
      <c r="T17" s="667" t="s">
        <v>14</v>
      </c>
      <c r="U17" s="668">
        <f>H17</f>
        <v>100</v>
      </c>
      <c r="V17" s="667" t="s">
        <v>14</v>
      </c>
      <c r="W17" s="668">
        <f>J17</f>
        <v>100</v>
      </c>
      <c r="X17" s="1264"/>
      <c r="Y17" s="338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84"/>
      <c r="Q18" s="1262"/>
      <c r="R18" s="667"/>
      <c r="S18" s="668"/>
      <c r="T18" s="667"/>
      <c r="U18" s="668"/>
      <c r="V18" s="667"/>
      <c r="W18" s="668"/>
      <c r="X18" s="1264"/>
      <c r="Y18" s="338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4"/>
      <c r="Q19" s="1262" t="str">
        <f t="shared" ref="Q19:Q33" si="8">B19</f>
        <v>区域土地利用方向</v>
      </c>
      <c r="R19" s="667" t="s">
        <v>14</v>
      </c>
      <c r="S19" s="668">
        <f>F19</f>
        <v>100</v>
      </c>
      <c r="T19" s="667" t="s">
        <v>14</v>
      </c>
      <c r="U19" s="668">
        <f>H19</f>
        <v>100</v>
      </c>
      <c r="V19" s="667" t="s">
        <v>14</v>
      </c>
      <c r="W19" s="668">
        <f>J19</f>
        <v>100</v>
      </c>
      <c r="X19" s="1264"/>
      <c r="Y19" s="338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84"/>
      <c r="Q20" s="1262"/>
      <c r="R20" s="667"/>
      <c r="S20" s="668"/>
      <c r="T20" s="667"/>
      <c r="U20" s="668"/>
      <c r="V20" s="667"/>
      <c r="W20" s="668"/>
      <c r="X20" s="1264"/>
      <c r="Y20" s="3384"/>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4"/>
      <c r="Q21" s="1262" t="str">
        <f t="shared" si="8"/>
        <v>环境状况</v>
      </c>
      <c r="R21" s="667" t="s">
        <v>14</v>
      </c>
      <c r="S21" s="668">
        <f>F21</f>
        <v>100</v>
      </c>
      <c r="T21" s="667" t="s">
        <v>14</v>
      </c>
      <c r="U21" s="668">
        <f>H21</f>
        <v>100</v>
      </c>
      <c r="V21" s="667" t="s">
        <v>14</v>
      </c>
      <c r="W21" s="668">
        <f>J21</f>
        <v>100</v>
      </c>
      <c r="X21" s="1264"/>
      <c r="Y21" s="338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84"/>
      <c r="Q22" s="1262"/>
      <c r="R22" s="667"/>
      <c r="S22" s="668"/>
      <c r="T22" s="667"/>
      <c r="U22" s="668"/>
      <c r="V22" s="667"/>
      <c r="W22" s="668"/>
      <c r="X22" s="1264"/>
      <c r="Y22" s="3384"/>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7"/>
      <c r="N24" s="2437"/>
      <c r="O24" s="2538"/>
      <c r="P24" s="3384"/>
      <c r="Q24" s="530"/>
      <c r="R24" s="664"/>
      <c r="S24" s="665"/>
      <c r="T24" s="664"/>
      <c r="U24" s="665"/>
      <c r="V24" s="664"/>
      <c r="W24" s="665"/>
      <c r="X24" s="666"/>
      <c r="Y24" s="3384"/>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7"/>
      <c r="N26" s="2437"/>
      <c r="O26" s="2538"/>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4"/>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4"/>
      <c r="Q28" s="1262" t="str">
        <f t="shared" si="8"/>
        <v>毗邻道路的类型与等级</v>
      </c>
      <c r="R28" s="667" t="s">
        <v>14</v>
      </c>
      <c r="S28" s="668">
        <f t="shared" si="10"/>
        <v>100</v>
      </c>
      <c r="T28" s="667" t="s">
        <v>14</v>
      </c>
      <c r="U28" s="668">
        <f t="shared" si="11"/>
        <v>100</v>
      </c>
      <c r="V28" s="667" t="s">
        <v>14</v>
      </c>
      <c r="W28" s="668">
        <f t="shared" si="12"/>
        <v>100</v>
      </c>
      <c r="X28" s="1264"/>
      <c r="Y28" s="338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84"/>
      <c r="Q29" s="1262"/>
      <c r="R29" s="667"/>
      <c r="S29" s="668"/>
      <c r="T29" s="667"/>
      <c r="U29" s="668"/>
      <c r="V29" s="667"/>
      <c r="W29" s="668"/>
      <c r="X29" s="1264"/>
      <c r="Y29" s="3384"/>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4"/>
      <c r="Q30" s="1262" t="str">
        <f t="shared" si="8"/>
        <v>土地级别</v>
      </c>
      <c r="R30" s="667" t="s">
        <v>14</v>
      </c>
      <c r="S30" s="668">
        <f t="shared" si="10"/>
        <v>100</v>
      </c>
      <c r="T30" s="667" t="s">
        <v>14</v>
      </c>
      <c r="U30" s="668">
        <f t="shared" si="11"/>
        <v>100</v>
      </c>
      <c r="V30" s="667" t="s">
        <v>14</v>
      </c>
      <c r="W30" s="668">
        <f t="shared" si="12"/>
        <v>100</v>
      </c>
      <c r="X30" s="1264"/>
      <c r="Y30" s="3384"/>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4"/>
      <c r="Q31" s="1262">
        <f t="shared" si="8"/>
        <v>111</v>
      </c>
      <c r="R31" s="667" t="s">
        <v>14</v>
      </c>
      <c r="S31" s="668">
        <f t="shared" si="10"/>
        <v>100</v>
      </c>
      <c r="T31" s="667" t="s">
        <v>14</v>
      </c>
      <c r="U31" s="668">
        <f t="shared" si="11"/>
        <v>100</v>
      </c>
      <c r="V31" s="667" t="s">
        <v>14</v>
      </c>
      <c r="W31" s="668">
        <f t="shared" si="12"/>
        <v>100</v>
      </c>
      <c r="X31" s="1264"/>
      <c r="Y31" s="3384"/>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7" t="s">
        <v>1696</v>
      </c>
      <c r="Q32" s="1262">
        <f t="shared" si="8"/>
        <v>111</v>
      </c>
      <c r="R32" s="667" t="s">
        <v>14</v>
      </c>
      <c r="S32" s="668">
        <f t="shared" si="10"/>
        <v>100</v>
      </c>
      <c r="T32" s="667" t="s">
        <v>14</v>
      </c>
      <c r="U32" s="668">
        <f t="shared" si="11"/>
        <v>100</v>
      </c>
      <c r="V32" s="667" t="s">
        <v>14</v>
      </c>
      <c r="W32" s="668">
        <f t="shared" si="12"/>
        <v>100</v>
      </c>
      <c r="X32" s="1264"/>
      <c r="Y32" s="3388"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8"/>
      <c r="Q33" s="1262">
        <f t="shared" si="8"/>
        <v>111</v>
      </c>
      <c r="R33" s="669" t="s">
        <v>14</v>
      </c>
      <c r="S33" s="670">
        <f t="shared" si="10"/>
        <v>100</v>
      </c>
      <c r="T33" s="669" t="s">
        <v>14</v>
      </c>
      <c r="U33" s="670">
        <f t="shared" si="11"/>
        <v>100</v>
      </c>
      <c r="V33" s="669" t="s">
        <v>14</v>
      </c>
      <c r="W33" s="670">
        <f t="shared" si="12"/>
        <v>100</v>
      </c>
      <c r="X33" s="671"/>
      <c r="Y33" s="338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8"/>
      <c r="Q34" s="1262" t="str">
        <f>B34</f>
        <v>宗地面积</v>
      </c>
      <c r="R34" s="667" t="s">
        <v>14</v>
      </c>
      <c r="S34" s="668" t="e">
        <f t="shared" si="10"/>
        <v>#N/A</v>
      </c>
      <c r="T34" s="667" t="s">
        <v>14</v>
      </c>
      <c r="U34" s="668" t="e">
        <f t="shared" si="11"/>
        <v>#N/A</v>
      </c>
      <c r="V34" s="667" t="s">
        <v>14</v>
      </c>
      <c r="W34" s="668" t="e">
        <f t="shared" si="12"/>
        <v>#N/A</v>
      </c>
      <c r="X34" s="1264"/>
      <c r="Y34" s="338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88"/>
      <c r="Q35" s="1262" t="str">
        <f t="shared" ref="Q35:Q40" si="14">B35</f>
        <v>宗地形状</v>
      </c>
      <c r="R35" s="667" t="s">
        <v>14</v>
      </c>
      <c r="S35" s="668">
        <f t="shared" si="10"/>
        <v>100</v>
      </c>
      <c r="T35" s="667" t="s">
        <v>14</v>
      </c>
      <c r="U35" s="668">
        <f t="shared" si="11"/>
        <v>100</v>
      </c>
      <c r="V35" s="667" t="s">
        <v>14</v>
      </c>
      <c r="W35" s="668">
        <f t="shared" si="12"/>
        <v>100</v>
      </c>
      <c r="X35" s="1264"/>
      <c r="Y35" s="3388"/>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7"/>
      <c r="N36" s="2437"/>
      <c r="O36" s="2538"/>
      <c r="P36" s="3388"/>
      <c r="Q36" s="1262"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88" t="s">
        <v>1696</v>
      </c>
      <c r="Q37" s="1262" t="str">
        <f t="shared" si="14"/>
        <v>工程地质条件</v>
      </c>
      <c r="R37" s="667" t="s">
        <v>14</v>
      </c>
      <c r="S37" s="668">
        <f t="shared" si="10"/>
        <v>100</v>
      </c>
      <c r="T37" s="667" t="s">
        <v>14</v>
      </c>
      <c r="U37" s="668">
        <f t="shared" si="11"/>
        <v>100</v>
      </c>
      <c r="V37" s="667" t="s">
        <v>14</v>
      </c>
      <c r="W37" s="668">
        <f t="shared" si="12"/>
        <v>100</v>
      </c>
      <c r="X37" s="1264"/>
      <c r="Y37" s="3388"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8"/>
      <c r="Q38" s="1262">
        <f t="shared" si="14"/>
        <v>111</v>
      </c>
      <c r="R38" s="667" t="s">
        <v>14</v>
      </c>
      <c r="S38" s="668">
        <f t="shared" si="10"/>
        <v>100</v>
      </c>
      <c r="T38" s="667" t="s">
        <v>14</v>
      </c>
      <c r="U38" s="668">
        <f t="shared" si="11"/>
        <v>100</v>
      </c>
      <c r="V38" s="667" t="s">
        <v>14</v>
      </c>
      <c r="W38" s="668">
        <f t="shared" si="12"/>
        <v>100</v>
      </c>
      <c r="X38" s="1264"/>
      <c r="Y38" s="3388"/>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8"/>
      <c r="Q39" s="1262">
        <f t="shared" si="14"/>
        <v>111</v>
      </c>
      <c r="R39" s="667" t="s">
        <v>14</v>
      </c>
      <c r="S39" s="668">
        <f t="shared" si="10"/>
        <v>100</v>
      </c>
      <c r="T39" s="667" t="s">
        <v>14</v>
      </c>
      <c r="U39" s="668">
        <f t="shared" si="11"/>
        <v>100</v>
      </c>
      <c r="V39" s="667" t="s">
        <v>14</v>
      </c>
      <c r="W39" s="668">
        <f t="shared" si="12"/>
        <v>100</v>
      </c>
      <c r="X39" s="1264"/>
      <c r="Y39" s="3388"/>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8"/>
      <c r="Q40" s="1262">
        <f t="shared" si="14"/>
        <v>111</v>
      </c>
      <c r="R40" s="669" t="s">
        <v>14</v>
      </c>
      <c r="S40" s="670">
        <f t="shared" si="10"/>
        <v>100</v>
      </c>
      <c r="T40" s="669" t="s">
        <v>14</v>
      </c>
      <c r="U40" s="670">
        <f t="shared" si="11"/>
        <v>100</v>
      </c>
      <c r="V40" s="669" t="s">
        <v>14</v>
      </c>
      <c r="W40" s="670">
        <f t="shared" si="12"/>
        <v>100</v>
      </c>
      <c r="X40" s="671"/>
      <c r="Y40" s="3388"/>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2"/>
      <c r="M41" s="2485"/>
      <c r="N41" s="2485"/>
      <c r="O41" s="2485"/>
      <c r="P41" s="3390" t="str">
        <f>A41</f>
        <v>成交单价</v>
      </c>
      <c r="Q41" s="3390"/>
      <c r="R41" s="3376">
        <f>E41</f>
        <v>0</v>
      </c>
      <c r="S41" s="3376"/>
      <c r="T41" s="3376">
        <f>G41</f>
        <v>0</v>
      </c>
      <c r="U41" s="3376"/>
      <c r="V41" s="3376">
        <f>I41</f>
        <v>0</v>
      </c>
      <c r="W41" s="3376"/>
      <c r="X41" s="385"/>
      <c r="Y41" s="673"/>
      <c r="Z41" s="385"/>
      <c r="AA41" s="385"/>
      <c r="AB41" s="385"/>
      <c r="AC41" s="385"/>
    </row>
    <row r="42" spans="1:31" ht="15.75" thickBot="1">
      <c r="A42" s="423" t="s">
        <v>1793</v>
      </c>
      <c r="B42" s="603"/>
      <c r="C42" s="426" t="e">
        <f>R43</f>
        <v>#DIV/0!</v>
      </c>
      <c r="D42" s="2140" t="s">
        <v>2136</v>
      </c>
      <c r="E42" s="426" t="e">
        <f>R42</f>
        <v>#DIV/0!</v>
      </c>
      <c r="F42" s="2141"/>
      <c r="G42" s="425" t="e">
        <f>T42</f>
        <v>#DIV/0!</v>
      </c>
      <c r="H42" s="2141"/>
      <c r="I42" s="426" t="e">
        <f>V42</f>
        <v>#DIV/0!</v>
      </c>
      <c r="J42" s="2141"/>
      <c r="K42" s="2143">
        <f>F42+H42+J42</f>
        <v>0</v>
      </c>
      <c r="L42" s="2492"/>
      <c r="M42" s="2485"/>
      <c r="N42" s="2485"/>
      <c r="O42" s="2485"/>
      <c r="P42" s="3390" t="str">
        <f>A42</f>
        <v>比较价值（元/平方米）</v>
      </c>
      <c r="Q42" s="339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91" t="str">
        <f>A43</f>
        <v>估价对象XX用房的比较价值（楼面单价，元/平方米）</v>
      </c>
      <c r="Q43" s="3392"/>
      <c r="R43" s="3440" t="e">
        <f>ROUND(IF(D42="简单平均",AVERAGE(R42:W42),R42*F42+T42*H42+V42*J42),0)</f>
        <v>#DIV/0!</v>
      </c>
      <c r="S43" s="3440"/>
      <c r="T43" s="3440"/>
      <c r="U43" s="3440"/>
      <c r="V43" s="3440"/>
      <c r="W43" s="344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0" t="s">
        <v>1883</v>
      </c>
      <c r="D50" s="1831" t="s">
        <v>1884</v>
      </c>
      <c r="E50" s="606" t="s">
        <v>1885</v>
      </c>
      <c r="F50" s="607" t="s">
        <v>1886</v>
      </c>
      <c r="G50" s="3352" t="s">
        <v>1887</v>
      </c>
      <c r="H50" s="3441"/>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375.87</v>
      </c>
      <c r="F51" s="611" t="e">
        <f t="shared" ref="F51:F60" si="15">ROUND(B51*E51/10000,0)</f>
        <v>#DIV/0!</v>
      </c>
      <c r="G51" s="3380"/>
      <c r="H51" s="339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T24" sqref="T2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0" width="9" style="684"/>
    <col min="21" max="21" width="12.375" style="684" bestFit="1" customWidth="1"/>
    <col min="22"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ht="25.5">
      <c r="A2" s="930"/>
      <c r="B2" s="622" t="s">
        <v>2086</v>
      </c>
      <c r="C2" s="14" t="str">
        <f t="shared" ref="C2:L2" si="0">C3&amp;"(含)"&amp;"-"&amp;D3</f>
        <v>0(含)-350</v>
      </c>
      <c r="D2" s="623" t="str">
        <f t="shared" si="0"/>
        <v>350(含)-400</v>
      </c>
      <c r="E2" s="623" t="str">
        <f t="shared" si="0"/>
        <v>400(含)-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350</v>
      </c>
      <c r="E3" s="628">
        <v>400</v>
      </c>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6">
        <v>98</v>
      </c>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60" t="s">
        <v>3545</v>
      </c>
      <c r="C5" s="3161" t="s">
        <v>3546</v>
      </c>
      <c r="D5" s="3162" t="s">
        <v>3547</v>
      </c>
      <c r="E5" s="941"/>
      <c r="F5" s="1226"/>
      <c r="G5" s="1226"/>
      <c r="H5" s="1226"/>
      <c r="I5" s="1226"/>
      <c r="J5" s="1226"/>
      <c r="K5" s="1226"/>
      <c r="L5" s="1227"/>
      <c r="M5" s="1228"/>
      <c r="N5" s="1228"/>
      <c r="O5" s="1226"/>
      <c r="P5" s="1226"/>
      <c r="Q5" s="1226"/>
      <c r="R5" s="1226"/>
      <c r="S5" s="1229"/>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98</v>
      </c>
      <c r="E6" s="849">
        <f t="shared" ref="E6:S6" si="7">D6-$T5</f>
        <v>96</v>
      </c>
      <c r="F6" s="1230">
        <f t="shared" si="7"/>
        <v>94</v>
      </c>
      <c r="G6" s="1230">
        <f t="shared" si="7"/>
        <v>92</v>
      </c>
      <c r="H6" s="1230">
        <f t="shared" si="7"/>
        <v>90</v>
      </c>
      <c r="I6" s="1230">
        <f t="shared" si="7"/>
        <v>88</v>
      </c>
      <c r="J6" s="1230">
        <f t="shared" si="7"/>
        <v>86</v>
      </c>
      <c r="K6" s="1230">
        <f t="shared" si="7"/>
        <v>84</v>
      </c>
      <c r="L6" s="1230">
        <f t="shared" si="7"/>
        <v>82</v>
      </c>
      <c r="M6" s="1230">
        <f t="shared" si="7"/>
        <v>80</v>
      </c>
      <c r="N6" s="1230">
        <f t="shared" si="7"/>
        <v>78</v>
      </c>
      <c r="O6" s="1230">
        <f t="shared" si="7"/>
        <v>76</v>
      </c>
      <c r="P6" s="1230">
        <f t="shared" si="7"/>
        <v>74</v>
      </c>
      <c r="Q6" s="1230">
        <f t="shared" si="7"/>
        <v>72</v>
      </c>
      <c r="R6" s="1230">
        <f t="shared" si="7"/>
        <v>70</v>
      </c>
      <c r="S6" s="1230">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2087</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2088</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2092</v>
      </c>
      <c r="B17" s="1986"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2094</v>
      </c>
      <c r="E19" s="1252"/>
      <c r="F19" s="1252"/>
      <c r="G19" s="1252"/>
      <c r="H19" s="996"/>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9" t="e">
        <f ca="1">SUMIF(INDIRECT("'"&amp;H20&amp;"'"&amp;"!A:A"),"承租人权益价值",INDIRECT("'"&amp;H20&amp;"'"&amp;"!c:c"))</f>
        <v>#REF!</v>
      </c>
      <c r="G20" s="929" t="s">
        <v>2096</v>
      </c>
      <c r="H20" s="1989"/>
      <c r="I20" s="151"/>
      <c r="J20" s="151"/>
      <c r="K20" s="151"/>
      <c r="L20" s="151"/>
      <c r="M20" s="151"/>
      <c r="N20" s="151"/>
      <c r="O20" s="151"/>
      <c r="P20" s="151"/>
      <c r="Q20" s="151"/>
      <c r="R20" s="151"/>
      <c r="S20" s="121"/>
      <c r="T20" s="3163" t="s">
        <v>3548</v>
      </c>
      <c r="U20" s="684">
        <f>12984937.95+11734612.05</f>
        <v>24719550</v>
      </c>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c r="T21" s="3163" t="s">
        <v>3549</v>
      </c>
      <c r="U21" s="684">
        <v>0.95</v>
      </c>
    </row>
    <row r="22" spans="1:45">
      <c r="A22" s="308" t="s">
        <v>2098</v>
      </c>
      <c r="B22" s="21">
        <f>SUM(B24:B10000)</f>
        <v>719.43000000000006</v>
      </c>
      <c r="C22" s="3446" t="s">
        <v>27</v>
      </c>
      <c r="D22" s="3447"/>
      <c r="E22" s="3447"/>
      <c r="F22" s="3447"/>
      <c r="G22" s="3447"/>
      <c r="H22" s="3447"/>
      <c r="I22" s="3447"/>
      <c r="J22" s="3447"/>
      <c r="K22" s="3447"/>
      <c r="L22" s="3447"/>
      <c r="M22" s="3447"/>
      <c r="N22" s="3447"/>
      <c r="O22" s="3447"/>
      <c r="P22" s="3447"/>
      <c r="Q22" s="3448"/>
      <c r="R22" s="21">
        <f ca="1">ROUND(S22*10000/B22,0)</f>
        <v>103374</v>
      </c>
      <c r="S22" s="21">
        <f ca="1">SUM(S24:S10000)</f>
        <v>7437</v>
      </c>
      <c r="U22" s="684">
        <f>ROUND(U20*U21,0)</f>
        <v>23483573</v>
      </c>
    </row>
    <row r="23" spans="1:45" s="9" customFormat="1" ht="24">
      <c r="A23" s="8" t="s">
        <v>2099</v>
      </c>
      <c r="B23" s="8" t="s">
        <v>2100</v>
      </c>
      <c r="C23" s="8" t="s">
        <v>2101</v>
      </c>
      <c r="D23" s="8" t="str">
        <f>B5</f>
        <v>朝向</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f>ROUND(U22/(B24+B25),0)</f>
        <v>32642</v>
      </c>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3110</v>
      </c>
      <c r="B24" s="633">
        <f>'比较法-住宅（新）'!C33</f>
        <v>375.87</v>
      </c>
      <c r="C24" s="2568">
        <v>1</v>
      </c>
      <c r="D24" s="2569" t="s">
        <v>3536</v>
      </c>
      <c r="E24" s="2568">
        <v>1</v>
      </c>
      <c r="F24" s="2569"/>
      <c r="G24" s="2568">
        <v>1</v>
      </c>
      <c r="H24" s="2569"/>
      <c r="I24" s="2568">
        <v>1</v>
      </c>
      <c r="J24" s="2569"/>
      <c r="K24" s="2568">
        <v>1</v>
      </c>
      <c r="L24" s="2569"/>
      <c r="M24" s="2568">
        <v>1</v>
      </c>
      <c r="N24" s="2569"/>
      <c r="O24" s="2568">
        <v>1</v>
      </c>
      <c r="P24" s="2569"/>
      <c r="Q24" s="2568">
        <v>1</v>
      </c>
      <c r="R24" s="633">
        <f ca="1">结果表!G20</f>
        <v>101908</v>
      </c>
      <c r="S24" s="634">
        <f t="shared" ref="S24:S54" ca="1" si="11">ROUND(R24*B24/10000,0)</f>
        <v>3830</v>
      </c>
      <c r="T24" s="689">
        <f ca="1">R24+U23</f>
        <v>134550</v>
      </c>
      <c r="U24" s="689">
        <f ca="1">ROUND(T24*B24,0)</f>
        <v>50573309</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3111</v>
      </c>
      <c r="B25" s="52">
        <v>343.56</v>
      </c>
      <c r="C25" s="21">
        <f>IF(B25="",1,(LOOKUP(B25,$3:$3,$4:$4)-LOOKUP($B$24,$3:$3,$4:$4)+100)/100)</f>
        <v>1.01</v>
      </c>
      <c r="D25" s="635" t="s">
        <v>3495</v>
      </c>
      <c r="E25" s="21">
        <f>(SUMIF($5:$5,D25,$6:$6)-SUMIF($5:$5,$D$24,$6:$6)+100)/100</f>
        <v>1.02</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104986</v>
      </c>
      <c r="S25" s="308">
        <f t="shared" ca="1" si="11"/>
        <v>3607</v>
      </c>
      <c r="T25" s="684">
        <f ca="1">R25+U23</f>
        <v>137628</v>
      </c>
      <c r="U25" s="689">
        <f ca="1">ROUND(T25*B25,0)</f>
        <v>47283476</v>
      </c>
    </row>
    <row r="26" spans="1:45">
      <c r="A26" s="142"/>
      <c r="B26" s="52"/>
      <c r="C26" s="21">
        <f t="shared" ref="C26:C89" si="12">IF(B26="",1,(LOOKUP(B26,$3:$3,$4:$4)-LOOKUP($B$24,$3:$3,$4:$4)+100)/100)</f>
        <v>1</v>
      </c>
      <c r="D26" s="635"/>
      <c r="E26" s="21">
        <f t="shared" ref="E26:E89" si="13">(SUMIF($5:$5,D26,$6:$6)-SUMIF($5:$5,$D$24,$6:$6)+100)/100</f>
        <v>0.02</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0.02</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0.02</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0.02</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0.02</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0.02</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0.02</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0.02</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0.02</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0.02</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0.02</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0.02</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0.02</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0.02</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0.02</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0.02</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0.02</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0.02</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0.02</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0.02</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0.02</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0.02</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0.02</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0.02</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0.02</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0.02</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0.02</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0.02</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0.02</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0.02</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0.02</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0.02</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0.02</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0.02</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0.02</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0.02</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0.02</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0.02</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0.02</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0.02</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0.02</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0.02</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0.02</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0.02</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0.02</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0.02</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0.02</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0.02</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0.02</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0.02</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0.02</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0.02</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0.02</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0.02</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0.02</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0.02</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0.02</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0.02</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0.02</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0.02</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0.02</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0.02</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0.02</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0.02</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0.02</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0.02</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0.02</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0.02</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0.02</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0.02</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0.02</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0.02</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0.02</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0.02</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0.02</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0.02</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0.02</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0.02</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0.02</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0.02</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0.02</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0.02</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0.02</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0.02</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0.02</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0.02</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0.02</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0.02</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0.02</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0.02</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0.02</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0.02</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0.02</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0.02</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0.02</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0.02</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0.02</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0.02</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0.02</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0.02</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0.02</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0.02</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0.02</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0.02</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0.02</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0.02</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0.02</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0.02</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0.02</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0.02</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0.02</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0.02</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0.02</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0.02</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0.02</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0.02</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0.02</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0.02</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0.02</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0.02</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0.02</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0.02</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0.02</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0.02</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0.02</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0.02</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0.02</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0.02</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0.02</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0.02</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0.02</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0.02</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0.02</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0.02</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0.02</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0.02</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0.02</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0.02</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0.02</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0.02</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0.02</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0.02</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0.02</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0.02</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0.02</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0.02</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0.02</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0.02</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0.02</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0.02</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0.02</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0.02</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0.02</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0.02</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0.02</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0.02</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0.02</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0.02</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0.02</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0.02</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0.02</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0.02</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0.02</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0.02</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0.02</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0.02</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0.02</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0.02</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0.02</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0.02</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0.02</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0.02</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0.02</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0.02</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0.02</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0.02</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0.02</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0.02</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0.02</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0.02</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0.02</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0.02</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0.02</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0.02</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0.02</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0.02</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0.02</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0.02</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0.02</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0.02</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0.02</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0.02</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0.02</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0.02</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0.02</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0.02</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0.02</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0.02</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0.02</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0.02</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0.02</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0.02</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0.02</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0.02</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0.02</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0.02</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0.02</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0.02</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0.02</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0.02</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0.02</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0.02</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0.02</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0.02</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0.02</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0.02</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0.02</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0.02</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0.02</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0.02</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0.02</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0.02</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0.02</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0.02</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0.02</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0.02</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0.02</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0.02</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0.02</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0.02</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0.02</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0.02</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0.02</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0.02</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0.02</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0.02</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0.02</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0.02</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0.02</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0.02</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0.02</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0.02</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0.02</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0.02</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0.02</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0.02</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0.02</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0.02</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0.02</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0.02</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0.02</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0.02</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0.02</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0.02</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0.02</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0.02</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0.02</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0.02</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0.02</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0.02</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0.02</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0.02</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0.02</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0.02</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0.02</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0.02</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0.02</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0.02</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0.02</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0.02</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0.02</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0.02</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0.02</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0.02</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0.02</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0.02</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0.02</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0.02</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0.02</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0.02</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0.02</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0.02</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0.02</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0.02</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0.02</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0.02</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0.02</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0.02</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0.02</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0.02</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0.02</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0.02</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0.02</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0.02</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0.02</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0.02</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0.02</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0.02</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0.02</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0.02</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0.02</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0.02</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0.02</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0.02</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0.02</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0.02</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0.02</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0.02</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0.02</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0.02</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0.02</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0.02</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0.02</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0.02</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0.02</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0.02</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0.02</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0.02</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0.02</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0.02</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0.02</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0.02</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0.02</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0.02</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0.02</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0.02</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0.02</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0.02</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0.02</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0.02</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0.02</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0.02</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0.02</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0.02</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0.02</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0.02</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0.02</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0.02</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0.02</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0.02</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0.02</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0.02</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0.02</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0.02</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0.02</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0.02</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0.02</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0.02</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0.02</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0.02</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0.02</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0.02</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0.02</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0.02</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0.02</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0.02</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0.02</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0.02</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0.02</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0.02</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0.02</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0.02</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0.02</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0.02</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0.02</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0.02</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0.02</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0.02</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0.02</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0.02</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0.02</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0.02</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0.02</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0.02</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0.02</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0.02</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0.02</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0.02</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0.02</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0.02</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0.02</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0.02</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0.02</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0.02</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0.02</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0.02</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0.02</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0.02</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0.02</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0.02</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0.02</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0.02</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0.02</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0.02</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0.02</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0.02</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0.02</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0.02</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0.02</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0.02</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0.02</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0.02</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0.02</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0.02</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0.02</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0.02</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0.02</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0.02</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0.02</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0.02</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0.02</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0.02</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0.02</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0.02</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0.02</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0.02</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0.02</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0.02</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0.02</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0.02</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0.02</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0.02</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0.02</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0.02</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0.02</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0.02</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0.02</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0.02</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0.02</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0.02</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0.02</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0.02</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0.02</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0.02</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0.02</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0.02</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0.02</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0.02</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0.02</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0.02</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0.02</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0.02</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0.02</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0.02</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0.02</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0.02</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0.02</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0.02</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0.02</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0.02</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0.02</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0.02</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0.02</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0.02</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0.02</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0.02</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0.02</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0.02</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0.02</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0.02</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0.02</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0.02</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0.02</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0.02</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0.02</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0.02</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0.02</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0.02</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0.02</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0.02</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0.02</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0.02</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0.02</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0.02</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0.02</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0.02</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0.02</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0.02</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0.02</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0.02</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0.02</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0.02</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0.02</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0.02</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0.02</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0.02</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0.02</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0.02</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0.02</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0.02</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0.02</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0.02</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0.02</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0.02</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0.02</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0.02</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0.02</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0.02</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0.02</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5">
        <f ca="1">SUMIF(B6:B13,"&lt;&gt;#ref!",B6:B13)</f>
        <v>804</v>
      </c>
      <c r="C2" s="1983" t="s">
        <v>2074</v>
      </c>
      <c r="D2" s="1983" t="s">
        <v>2075</v>
      </c>
      <c r="E2" s="2395">
        <f ca="1">SUMIF(E6:E13,"&lt;&gt;#ref!",E6:E13)</f>
        <v>375.87</v>
      </c>
      <c r="F2" s="2542"/>
      <c r="G2" s="2542"/>
      <c r="H2" s="2542"/>
      <c r="I2" s="2542"/>
      <c r="J2" s="2542"/>
      <c r="K2" s="2542"/>
      <c r="L2" s="2542"/>
      <c r="M2" s="2542"/>
      <c r="N2" s="2542"/>
      <c r="O2" s="2542"/>
      <c r="P2" s="2542"/>
    </row>
    <row r="3" spans="1:16" ht="15.75">
      <c r="A3" s="1983" t="s">
        <v>2076</v>
      </c>
      <c r="B3" s="2385">
        <f ca="1">ROUND(B2*10000/E2,0)</f>
        <v>21390</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4"/>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804</v>
      </c>
      <c r="C6" s="1983" t="s">
        <v>2074</v>
      </c>
      <c r="D6" s="2542"/>
      <c r="E6" s="2395">
        <f ca="1">SUMIF(INDIRECT("'"&amp;A6&amp;"'"&amp;"!C:C"),"建筑面积",INDIRECT("'"&amp;A6&amp;"'"&amp;"!D:D"))</f>
        <v>375.87</v>
      </c>
      <c r="F6" s="2542"/>
      <c r="G6" s="2542"/>
      <c r="H6" s="2542"/>
      <c r="I6" s="2542"/>
      <c r="J6" s="2542"/>
      <c r="K6" s="2542"/>
      <c r="L6" s="2542"/>
      <c r="M6" s="2542"/>
      <c r="N6" s="2542"/>
      <c r="O6" s="2542"/>
      <c r="P6" s="2542"/>
    </row>
    <row r="7" spans="1:16" ht="15.75">
      <c r="A7" s="2392"/>
      <c r="B7" s="2385" t="e">
        <f ca="1">SUMIF(INDIRECT("'"&amp;A7&amp;"'"&amp;"!A:A"),"总价",INDIRECT("'"&amp;A7&amp;"'"&amp;"!B:B"))</f>
        <v>#REF!</v>
      </c>
      <c r="C7" s="1983"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3"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3"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3"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3"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3"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3"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估价结果一览表（市场价值不需“结果表-1”）</v>
      </c>
      <c r="B3" s="3170"/>
      <c r="C3" s="3170"/>
      <c r="D3" s="3170"/>
      <c r="E3" s="3170"/>
    </row>
    <row r="4" spans="1:5" ht="19.5" thickBot="1">
      <c r="A4" s="1390"/>
      <c r="B4" s="3168" t="s">
        <v>917</v>
      </c>
      <c r="C4" s="3168"/>
      <c r="D4" s="3168"/>
      <c r="E4" s="1390"/>
    </row>
    <row r="5" spans="1:5" ht="16.5" thickTop="1">
      <c r="B5" s="3166" t="s">
        <v>909</v>
      </c>
      <c r="C5" s="1391" t="s">
        <v>910</v>
      </c>
      <c r="D5" s="797" t="e">
        <f ca="1">结果表!H101</f>
        <v>#REF!</v>
      </c>
    </row>
    <row r="6" spans="1:5" ht="15.75">
      <c r="B6" s="3166"/>
      <c r="C6" s="1391" t="s">
        <v>911</v>
      </c>
      <c r="D6" s="797" t="e">
        <f ca="1">NUMBERSTRING(INT(D5*10000),2)&amp;"元整"</f>
        <v>#REF!</v>
      </c>
    </row>
    <row r="7" spans="1:5" ht="15.75">
      <c r="B7" s="3171"/>
      <c r="C7" s="1392" t="s">
        <v>912</v>
      </c>
      <c r="D7" s="798" t="e">
        <f ca="1">结果表!H102</f>
        <v>#REF!</v>
      </c>
    </row>
    <row r="8" spans="1:5" ht="15.75">
      <c r="B8" s="3172" t="str">
        <f>结果表!E103</f>
        <v>2.估价师知悉的法定优先受偿款</v>
      </c>
      <c r="C8" s="1393" t="s">
        <v>913</v>
      </c>
      <c r="D8" s="798">
        <f>结果表!H103</f>
        <v>0</v>
      </c>
    </row>
    <row r="9" spans="1:5" ht="15.75">
      <c r="B9" s="3174"/>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5" t="str">
        <f>结果表!E107</f>
        <v>3.房地产抵押价值</v>
      </c>
      <c r="C13" s="1396" t="s">
        <v>910</v>
      </c>
      <c r="D13" s="800" t="e">
        <f ca="1">结果表!H107</f>
        <v>#REF!</v>
      </c>
    </row>
    <row r="14" spans="1:5" ht="15.75">
      <c r="B14" s="3166"/>
      <c r="C14" s="1391" t="s">
        <v>911</v>
      </c>
      <c r="D14" s="797" t="e">
        <f ca="1">NUMBERSTRING(INT(D13*10000),2)&amp;"元整"</f>
        <v>#REF!</v>
      </c>
    </row>
    <row r="15" spans="1:5" ht="15">
      <c r="B15" s="3171"/>
      <c r="C15" s="1392" t="s">
        <v>921</v>
      </c>
      <c r="D15" s="806" t="e">
        <f ca="1">结果表!H108</f>
        <v>#REF!</v>
      </c>
    </row>
    <row r="16" spans="1:5" ht="15">
      <c r="B16" s="3172" t="str">
        <f>结果表!E109</f>
        <v>——</v>
      </c>
      <c r="C16" s="1396" t="s">
        <v>922</v>
      </c>
      <c r="D16" s="1397" t="str">
        <f>结果表!H109</f>
        <v>——</v>
      </c>
    </row>
    <row r="17" spans="1:5" ht="15.75">
      <c r="B17" s="3173"/>
      <c r="C17" s="1391" t="s">
        <v>923</v>
      </c>
      <c r="D17" s="797" t="e">
        <f>NUMBERSTRING(INT(D16*10000),2)&amp;"元整"</f>
        <v>#VALUE!</v>
      </c>
    </row>
    <row r="18" spans="1:5" ht="15">
      <c r="B18" s="3174"/>
      <c r="C18" s="1392" t="s">
        <v>912</v>
      </c>
      <c r="D18" s="806" t="str">
        <f>结果表!H110</f>
        <v>——</v>
      </c>
    </row>
    <row r="19" spans="1:5" ht="15.75">
      <c r="B19" s="3165" t="str">
        <f>结果表!E111</f>
        <v>——</v>
      </c>
      <c r="C19" s="1396" t="s">
        <v>910</v>
      </c>
      <c r="D19" s="798" t="str">
        <f>结果表!H111</f>
        <v>——</v>
      </c>
    </row>
    <row r="20" spans="1:5" ht="15.75">
      <c r="B20" s="3166"/>
      <c r="C20" s="1391" t="s">
        <v>923</v>
      </c>
      <c r="D20" s="797" t="e">
        <f>NUMBERSTRING(INT(D19*10000),2)&amp;"元整"</f>
        <v>#VALUE!</v>
      </c>
    </row>
    <row r="21" spans="1:5" ht="15.75" thickBot="1">
      <c r="B21" s="3167"/>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tabSelected="1" view="pageBreakPreview" topLeftCell="A13" zoomScale="80" zoomScaleNormal="80" zoomScaleSheetLayoutView="80" workbookViewId="0">
      <selection activeCell="C25" sqref="C25"/>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375.87</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804</v>
      </c>
      <c r="C2" s="1845" t="s">
        <v>1935</v>
      </c>
      <c r="D2" s="162" t="s">
        <v>1936</v>
      </c>
      <c r="E2" s="3118" t="s">
        <v>3392</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Ⅱ—18</v>
      </c>
      <c r="J2" s="1841"/>
      <c r="K2" s="1056"/>
      <c r="L2" s="1846" t="s">
        <v>1939</v>
      </c>
      <c r="M2" s="811">
        <f>SUMPRODUCT((区片价!B10:B29=I2)*(区片价!C3:G3=E2)*(区片价!C10:G29))</f>
        <v>28300</v>
      </c>
      <c r="N2" s="813">
        <f>SUMPRODUCT((因素修正幅度!B10:B29=I2)*(因素修正幅度!C3:G3=E2)*(因素修正幅度!C10:G29))</f>
        <v>6.4000000000000001E-2</v>
      </c>
      <c r="O2" s="1056"/>
      <c r="P2" s="1056"/>
      <c r="Q2" s="1056"/>
      <c r="R2" s="1128">
        <v>1</v>
      </c>
      <c r="S2" s="3061">
        <f>ROUND(SUMPRODUCT((B106:B110=R2)*(C105:N105=G2)*(C106:N110)),4)</f>
        <v>1.5206</v>
      </c>
      <c r="T2" s="3061">
        <f t="shared" ref="T2:T16" si="0">ROUND($C$5*$C$22*$C$23*$C$24*S2*$C$28,0)</f>
        <v>50558</v>
      </c>
      <c r="U2" s="1129"/>
      <c r="V2" s="3061">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21390</v>
      </c>
      <c r="C3" s="1845" t="s">
        <v>1941</v>
      </c>
      <c r="D3" s="162" t="s">
        <v>1942</v>
      </c>
      <c r="E3" s="3116" t="s">
        <v>3396</v>
      </c>
      <c r="F3" s="1847" t="s">
        <v>3397</v>
      </c>
      <c r="G3" s="708">
        <f>IF(F3="宗地容积率",'数据-汇总表'!I4,IF(F3="估价对象容积率",'数据-汇总表'!I6,'数据-汇总表'!I7))</f>
        <v>11.72</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1.2072000000000001</v>
      </c>
      <c r="T3" s="3061">
        <f t="shared" si="0"/>
        <v>40138</v>
      </c>
      <c r="U3" s="1129"/>
      <c r="V3" s="3061">
        <f t="shared" ref="V3:V16" si="1">ROUND(T3*U3/10000,0)</f>
        <v>0</v>
      </c>
      <c r="W3" s="1132"/>
      <c r="X3" s="1132"/>
      <c r="Y3" s="1132"/>
      <c r="Z3" s="1132"/>
      <c r="AA3" s="1132"/>
      <c r="AB3" s="1132"/>
      <c r="AC3" s="1133"/>
      <c r="AD3" s="1134"/>
      <c r="AE3" s="1134"/>
      <c r="AF3" s="1134"/>
      <c r="AG3" s="1134"/>
      <c r="AH3" s="1134"/>
      <c r="AI3" s="1134"/>
      <c r="AJ3" s="1135"/>
    </row>
    <row r="4" spans="1:36" ht="15.75">
      <c r="A4" s="3459"/>
      <c r="B4" s="3460"/>
      <c r="C4" s="3460"/>
      <c r="D4" s="3461"/>
      <c r="E4" s="3461"/>
      <c r="F4" s="3461"/>
      <c r="G4" s="3461"/>
      <c r="H4" s="3461"/>
      <c r="I4" s="3461"/>
      <c r="J4" s="3462"/>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1.0430999999999999</v>
      </c>
      <c r="T4" s="3061">
        <f t="shared" si="0"/>
        <v>34682</v>
      </c>
      <c r="U4" s="1129"/>
      <c r="V4" s="3061">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32687</v>
      </c>
      <c r="D5" s="1251">
        <f>ROUND(C6*C17+C20,0)</f>
        <v>28300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0.94389999999999996</v>
      </c>
      <c r="T5" s="3061">
        <f t="shared" si="0"/>
        <v>31384</v>
      </c>
      <c r="U5" s="1129"/>
      <c r="V5" s="3061">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28300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0.89959999999999996</v>
      </c>
      <c r="T6" s="3061">
        <f t="shared" si="0"/>
        <v>29911</v>
      </c>
      <c r="U6" s="1129"/>
      <c r="V6" s="3061">
        <f t="shared" si="1"/>
        <v>0</v>
      </c>
      <c r="W6" s="1132"/>
      <c r="X6" s="1132"/>
      <c r="Y6" s="1132"/>
      <c r="Z6" s="1132"/>
      <c r="AA6" s="1132"/>
      <c r="AB6" s="1132"/>
      <c r="AC6" s="1854"/>
      <c r="AD6" s="1855"/>
      <c r="AE6" s="1855"/>
      <c r="AF6" s="1855"/>
      <c r="AG6" s="1855"/>
      <c r="AH6" s="1855"/>
      <c r="AI6" s="1855"/>
      <c r="AJ6" s="1856"/>
    </row>
    <row r="7" spans="1:36" ht="24.75" thickBot="1">
      <c r="A7" s="3010" t="s">
        <v>3234</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f t="shared" si="0"/>
        <v>0</v>
      </c>
      <c r="U7" s="1129"/>
      <c r="V7" s="3061">
        <f t="shared" si="1"/>
        <v>0</v>
      </c>
      <c r="W7" s="1266" t="s">
        <v>1955</v>
      </c>
      <c r="X7" s="1130" t="str">
        <f>G2</f>
        <v>二级</v>
      </c>
      <c r="Y7" s="1130" t="s">
        <v>1956</v>
      </c>
      <c r="Z7" s="1131">
        <f>G3</f>
        <v>11.72</v>
      </c>
      <c r="AA7" s="1132"/>
      <c r="AB7" s="1132"/>
      <c r="AC7" s="1133"/>
      <c r="AD7" s="1134"/>
      <c r="AE7" s="1134"/>
      <c r="AF7" s="1134"/>
      <c r="AG7" s="1134"/>
      <c r="AH7" s="1134"/>
      <c r="AI7" s="1134"/>
      <c r="AJ7" s="1135"/>
    </row>
    <row r="8" spans="1:36" ht="25.5">
      <c r="A8" s="3007"/>
      <c r="B8" s="162" t="s">
        <v>1957</v>
      </c>
      <c r="C8" s="1869" t="s">
        <v>3477</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f t="shared" si="0"/>
        <v>0</v>
      </c>
      <c r="U8" s="1129"/>
      <c r="V8" s="3061">
        <f t="shared" si="1"/>
        <v>0</v>
      </c>
      <c r="W8" s="3456" t="s">
        <v>1960</v>
      </c>
      <c r="X8" s="345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f t="shared" si="0"/>
        <v>0</v>
      </c>
      <c r="U9" s="1129"/>
      <c r="V9" s="3061">
        <f t="shared" si="1"/>
        <v>0</v>
      </c>
      <c r="W9" s="3458"/>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f t="shared" si="0"/>
        <v>0</v>
      </c>
      <c r="U10" s="1129"/>
      <c r="V10" s="3061">
        <f t="shared" si="1"/>
        <v>0</v>
      </c>
      <c r="W10" s="345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5" thickBot="1">
      <c r="A12" s="3010" t="s">
        <v>3235</v>
      </c>
      <c r="B12" s="3011" t="s">
        <v>3236</v>
      </c>
      <c r="C12" s="3012">
        <v>1</v>
      </c>
      <c r="D12" s="3013" t="s">
        <v>3237</v>
      </c>
      <c r="E12" s="3014" t="s">
        <v>3238</v>
      </c>
      <c r="F12" s="3015"/>
      <c r="G12" s="3016"/>
      <c r="H12" s="3016"/>
      <c r="I12" s="3016"/>
      <c r="J12" s="301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15.75" thickBot="1">
      <c r="A13" s="3010" t="s">
        <v>3239</v>
      </c>
      <c r="B13" s="1877" t="s">
        <v>1982</v>
      </c>
      <c r="C13" s="711">
        <f>ROUND(C16*D16*E16*F16*G16*H16*I16*J16,4)</f>
        <v>1.155</v>
      </c>
      <c r="D13" s="1878" t="s">
        <v>1983</v>
      </c>
      <c r="E13" s="1879"/>
      <c r="F13" s="1879"/>
      <c r="G13" s="1880"/>
      <c r="H13" s="1880"/>
      <c r="I13" s="1880"/>
      <c r="J13" s="1881"/>
      <c r="K13" s="1056"/>
      <c r="L13" s="3"/>
      <c r="M13" s="4"/>
      <c r="N13" s="3008"/>
      <c r="O13" s="1056"/>
      <c r="P13" s="1056"/>
      <c r="Q13" s="1056"/>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3240</v>
      </c>
      <c r="G14" s="3018" t="s">
        <v>3240</v>
      </c>
      <c r="H14" s="3018" t="s">
        <v>3240</v>
      </c>
      <c r="I14" s="3018" t="s">
        <v>3240</v>
      </c>
      <c r="J14" s="3018" t="s">
        <v>3240</v>
      </c>
      <c r="K14" s="1056"/>
      <c r="L14" s="1056"/>
      <c r="M14" s="1056"/>
      <c r="N14" s="1056"/>
      <c r="O14" s="1056"/>
      <c r="P14" s="1056"/>
      <c r="Q14" s="1056"/>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t="s">
        <v>3478</v>
      </c>
      <c r="E15" s="1887" t="s">
        <v>3552</v>
      </c>
      <c r="F15" s="1469" t="s">
        <v>3241</v>
      </c>
      <c r="G15" s="1927"/>
      <c r="H15" s="3019"/>
      <c r="I15" s="3020"/>
      <c r="J15" s="3021"/>
      <c r="K15" s="1056"/>
      <c r="L15" s="1056"/>
      <c r="M15" s="1056"/>
      <c r="N15" s="1056"/>
      <c r="O15" s="1056"/>
      <c r="P15" s="1056"/>
      <c r="Q15" s="1056"/>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v>1</v>
      </c>
      <c r="D16" s="3022">
        <v>1.1000000000000001</v>
      </c>
      <c r="E16" s="3022">
        <v>1.05</v>
      </c>
      <c r="F16" s="3022">
        <v>1</v>
      </c>
      <c r="G16" s="3022">
        <v>1</v>
      </c>
      <c r="H16" s="3022">
        <v>1</v>
      </c>
      <c r="I16" s="3022">
        <v>1</v>
      </c>
      <c r="J16" s="3023">
        <v>1</v>
      </c>
      <c r="K16" s="1056"/>
      <c r="L16" s="1843"/>
      <c r="M16" s="1843"/>
      <c r="N16" s="1843"/>
      <c r="O16" s="1843"/>
      <c r="P16" s="1843"/>
      <c r="Q16" s="1056"/>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6"/>
      <c r="B18" s="2307"/>
      <c r="C18" s="3032"/>
      <c r="D18" s="3027" t="s">
        <v>3245</v>
      </c>
      <c r="E18" s="2354"/>
      <c r="F18" s="3028" t="s">
        <v>3248</v>
      </c>
      <c r="G18" s="3032">
        <f>ROUND(1-(1/(POWER(1+G24,E18))),4)</f>
        <v>0</v>
      </c>
      <c r="H18" s="3028" t="s">
        <v>3250</v>
      </c>
      <c r="I18" s="3032">
        <f>ROUND(1-(1/(POWER(1+G24,J24))),4)</f>
        <v>0.96709999999999996</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7" customFormat="1" ht="15" thickBot="1">
      <c r="A19" s="3038"/>
      <c r="B19" s="3039"/>
      <c r="C19" s="3040"/>
      <c r="D19" s="3040" t="s">
        <v>3246</v>
      </c>
      <c r="E19" s="3041"/>
      <c r="F19" s="3042" t="s">
        <v>3249</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8"/>
    </row>
    <row r="20" spans="1:37" s="1857" customFormat="1" ht="14.25">
      <c r="A20" s="3463" t="s">
        <v>3251</v>
      </c>
      <c r="B20" s="159" t="s">
        <v>1994</v>
      </c>
      <c r="C20" s="3029">
        <f>ROUND(IF(F21="与级别开发程度一致",0,(G21-E21)/C21),0)</f>
        <v>0</v>
      </c>
      <c r="D20" s="3044" t="s">
        <v>1998</v>
      </c>
      <c r="E20" s="3045"/>
      <c r="F20" s="3469" t="s">
        <v>1995</v>
      </c>
      <c r="G20" s="3470"/>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7" customFormat="1" ht="26.25" thickBot="1">
      <c r="A21" s="3464"/>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375</v>
      </c>
      <c r="F21" s="1993" t="s">
        <v>3479</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7" customFormat="1" ht="15.7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1895" t="s">
        <v>2002</v>
      </c>
      <c r="E23" s="717">
        <v>44197</v>
      </c>
      <c r="F23" s="1895" t="s">
        <v>2003</v>
      </c>
      <c r="G23" s="718">
        <f>'数据-取费表'!B2</f>
        <v>45622</v>
      </c>
      <c r="H23" s="3046" t="s">
        <v>3253</v>
      </c>
      <c r="I23" s="3047" t="str">
        <f>IF(H23="季度增幅（自定义）",SUMIF(N25:N28,E2,O25:O28),"")</f>
        <v/>
      </c>
      <c r="J23" s="3139" t="s">
        <v>3252</v>
      </c>
      <c r="K23" s="1061"/>
      <c r="L23" s="1896" t="s">
        <v>2004</v>
      </c>
      <c r="M23" s="1240">
        <f>ROUND(SUMIF(地价!B2:G2,E2,地价!B16:G16),0)</f>
        <v>687</v>
      </c>
      <c r="N23" s="1897"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0.92179999999999995</v>
      </c>
      <c r="D24" s="1901" t="s">
        <v>2007</v>
      </c>
      <c r="E24" s="1247">
        <f>存贷款利率!E27/100</f>
        <v>4.3499999999999997E-2</v>
      </c>
      <c r="F24" s="1901" t="s">
        <v>1999</v>
      </c>
      <c r="G24" s="724">
        <f>SUMIF(M30:Q30,E2,M33:Q33)</f>
        <v>0.05</v>
      </c>
      <c r="H24" s="1901" t="s">
        <v>2008</v>
      </c>
      <c r="I24" s="725">
        <f>SUMIF('数据-取费表'!C6:C15,E2,'数据-取费表'!F6:F15)/COUNTIF('数据-取费表'!C6:C15,E2)</f>
        <v>45.53</v>
      </c>
      <c r="J24" s="726">
        <f>IF(E2="住宅",70,IF(E2="商业",40,50))</f>
        <v>70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6" t="s">
        <v>366</v>
      </c>
      <c r="B25" s="1907" t="s">
        <v>3332</v>
      </c>
      <c r="C25" s="3503">
        <f>ROUND(0.7836-0.012*11.72,4)</f>
        <v>0.64300000000000002</v>
      </c>
      <c r="D25" s="1908"/>
      <c r="E25" s="1908"/>
      <c r="F25" s="1908"/>
      <c r="G25" s="1908"/>
      <c r="H25" s="1908"/>
      <c r="I25" s="1908"/>
      <c r="J25" s="1909"/>
      <c r="K25" s="1061"/>
      <c r="L25" s="2550"/>
      <c r="M25" s="2550"/>
      <c r="N25" s="1910"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3254</v>
      </c>
      <c r="D26" s="1262" t="str">
        <f>IF(E26=G26,F26,IF(G3&lt;10,ROUND(F26+(H26-F26)*(G3-E26)/(G26-E26),4),"——"))</f>
        <v>——</v>
      </c>
      <c r="E26" s="708">
        <f>ROUNDDOWN(G3,1)</f>
        <v>11.7</v>
      </c>
      <c r="F26" s="126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08">
        <f>ROUNDUP(G3,1)</f>
        <v>11.799999999999999</v>
      </c>
      <c r="H26" s="126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11" t="s">
        <v>3255</v>
      </c>
      <c r="J26" s="374">
        <f>IF(G3&gt;=10,D115,"——")</f>
        <v>0</v>
      </c>
      <c r="K26" s="1061"/>
      <c r="L26" s="2550"/>
      <c r="M26" s="2550"/>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1.0339</v>
      </c>
      <c r="D28" s="1893"/>
      <c r="E28" s="1918"/>
      <c r="F28" s="1918"/>
      <c r="G28" s="1918"/>
      <c r="H28" s="1918"/>
      <c r="I28" s="1918"/>
      <c r="J28" s="1919"/>
      <c r="K28" s="1061"/>
      <c r="L28" s="2550"/>
      <c r="M28" s="2550"/>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804</v>
      </c>
      <c r="D30" s="1924"/>
      <c r="E30" s="1841"/>
      <c r="F30" s="1925"/>
      <c r="G30" s="1841"/>
      <c r="H30" s="1841"/>
      <c r="I30" s="1841"/>
      <c r="J30" s="1926"/>
      <c r="K30" s="1056"/>
      <c r="L30" s="3053" t="s">
        <v>1936</v>
      </c>
      <c r="M30" s="3054" t="s">
        <v>1990</v>
      </c>
      <c r="N30" s="3054" t="s">
        <v>1991</v>
      </c>
      <c r="O30" s="3054" t="s">
        <v>1992</v>
      </c>
      <c r="P30" s="3054" t="s">
        <v>1993</v>
      </c>
      <c r="Q30" s="3057" t="s">
        <v>3259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21379</v>
      </c>
      <c r="D33" s="1939">
        <f>'数据-汇总表'!F19</f>
        <v>375.87</v>
      </c>
      <c r="E33" s="727">
        <f>ROUND(C33*D33/10000,0)</f>
        <v>804</v>
      </c>
      <c r="F33" s="3048" t="s">
        <v>3257</v>
      </c>
      <c r="G33" s="1940"/>
      <c r="H33" s="1940"/>
      <c r="I33" s="1940"/>
      <c r="J33" s="1941"/>
      <c r="K33" s="1056"/>
      <c r="L33" s="3051" t="s">
        <v>3260</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5345</v>
      </c>
      <c r="D34" s="1944"/>
      <c r="E34" s="727">
        <f>ROUND(IF(B25="楼层修正",SUM(V2:V16)*M40,C34*D34/10000),0)</f>
        <v>0</v>
      </c>
      <c r="F34" s="1945" t="s">
        <v>2032</v>
      </c>
      <c r="G34" s="1946"/>
      <c r="H34" s="1946"/>
      <c r="I34" s="1946"/>
      <c r="J34" s="1947"/>
      <c r="K34" s="1056"/>
      <c r="L34" s="3051" t="s">
        <v>3261</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3258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3262</v>
      </c>
      <c r="L36" s="3140">
        <f ca="1">'数据-取费表'!B40</f>
        <v>4.7500000000000001E-2</v>
      </c>
      <c r="M36" s="2363">
        <f ca="1">ROUND($L$36*(1+M31),3)</f>
        <v>5.8999999999999997E-2</v>
      </c>
      <c r="N36" s="2363">
        <f ca="1">ROUND($L$36*(1+N31),3)</f>
        <v>5.7000000000000002E-2</v>
      </c>
      <c r="O36" s="2363">
        <f ca="1">ROUND($L$36*(1+O31),3)</f>
        <v>5.5E-2</v>
      </c>
      <c r="P36" s="2363">
        <f ca="1">ROUND($L$36*(1+P31),3)</f>
        <v>5.1999999999999998E-2</v>
      </c>
      <c r="Q36" s="2363">
        <f ca="1">ROUND($L$36*(1+Q31),3)</f>
        <v>5.5E-2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67"/>
      <c r="B37" s="1954" t="s">
        <v>2036</v>
      </c>
      <c r="C37" s="167">
        <f>ROUND(D5*C22*C23*C24*C28*F37,0)</f>
        <v>20151</v>
      </c>
      <c r="D37" s="1939"/>
      <c r="E37" s="163">
        <f>ROUND(C37*D37/10000,0)</f>
        <v>0</v>
      </c>
      <c r="F37" s="163">
        <f>SUMIF(修正!A57:A68,G2,修正!B57:B68)</f>
        <v>0.7</v>
      </c>
      <c r="G37" s="163">
        <f>ROUND(IF(E2="工业",C37*$M$42,C37*$M$41),0)</f>
        <v>5038</v>
      </c>
      <c r="H37" s="163">
        <f>D37</f>
        <v>0</v>
      </c>
      <c r="I37" s="163">
        <f>ROUND(G37*H37/10000,0)</f>
        <v>0</v>
      </c>
      <c r="J37" s="2752"/>
      <c r="K37" s="3059" t="s">
        <v>3263</v>
      </c>
      <c r="L37" s="1963">
        <f ca="1">L36+K38</f>
        <v>5.2499999999999998E-2</v>
      </c>
      <c r="M37" s="2363">
        <f ca="1">ROUND($L$37*(1+M31),3)</f>
        <v>6.6000000000000003E-2</v>
      </c>
      <c r="N37" s="2363">
        <f t="shared" ref="N37:Q37" ca="1" si="3">ROUND($L$37*(1+N31),3)</f>
        <v>6.3E-2</v>
      </c>
      <c r="O37" s="2363">
        <f t="shared" ca="1" si="3"/>
        <v>0.06</v>
      </c>
      <c r="P37" s="2363">
        <f t="shared" ca="1" si="3"/>
        <v>5.8000000000000003E-2</v>
      </c>
      <c r="Q37" s="2363">
        <f t="shared" ca="1" si="3"/>
        <v>0.06</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68"/>
      <c r="B38" s="1883" t="s">
        <v>2037</v>
      </c>
      <c r="C38" s="167">
        <f>ROUND(D5*C22*C23*C24*C28*F38,0)</f>
        <v>11515</v>
      </c>
      <c r="D38" s="1939"/>
      <c r="E38" s="163">
        <f t="shared" ref="E38:E42" si="4">ROUND(C38*D38/10000,0)</f>
        <v>0</v>
      </c>
      <c r="F38" s="163">
        <f>SUMIF(修正!A57:A68,G2,修正!C57:C68)</f>
        <v>0.4</v>
      </c>
      <c r="G38" s="163">
        <f>ROUND(IF(E2="工业",C38*$M$42,C38*$M$41),0)</f>
        <v>2879</v>
      </c>
      <c r="H38" s="163">
        <f t="shared" ref="H38:H42" si="5">D38</f>
        <v>0</v>
      </c>
      <c r="I38" s="163">
        <f t="shared" ref="I38:I42" si="6">ROUND(G38*H38/10000,0)</f>
        <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68"/>
      <c r="B39" s="1883" t="s">
        <v>3256</v>
      </c>
      <c r="C39" s="167">
        <f>ROUND(D5*C22*C23*C24*C28*F39,0)</f>
        <v>8636</v>
      </c>
      <c r="D39" s="1939"/>
      <c r="E39" s="163">
        <f t="shared" si="4"/>
        <v>0</v>
      </c>
      <c r="F39" s="163">
        <f>SUMIF(修正!A57:A68,G2,修正!D57:D68)</f>
        <v>0.3</v>
      </c>
      <c r="G39" s="163">
        <f>ROUND(IF(E2="工业",C39*$M$42,C39*$M$41),0)</f>
        <v>2159</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8636</v>
      </c>
      <c r="D40" s="1939"/>
      <c r="E40" s="163">
        <f t="shared" si="4"/>
        <v>0</v>
      </c>
      <c r="F40" s="167">
        <f>SUMIF(修正!A57:A68,G2,修正!E57:E68)</f>
        <v>0.3</v>
      </c>
      <c r="G40" s="163">
        <f>ROUND(IF(E2="工业",C40*$M$42,C40*$M$41),0)</f>
        <v>2159</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0.3</v>
      </c>
      <c r="G41" s="163">
        <f>ROUND(IF(E2="工业",C41*$M$42,C41*$M$41),0)</f>
        <v>0</v>
      </c>
      <c r="H41" s="163">
        <f t="shared" si="5"/>
        <v>0</v>
      </c>
      <c r="I41" s="163">
        <f t="shared" si="6"/>
        <v>0</v>
      </c>
      <c r="J41" s="939"/>
      <c r="L41" s="3060" t="s">
        <v>3264</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0.2</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2120</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89.25" hidden="1">
      <c r="A51" s="1969" t="s">
        <v>2053</v>
      </c>
      <c r="B51" s="1261" t="str">
        <f>估价对象房地状况!C18</f>
        <v>估价对象周边有24路、117路、123路、132路、135路、413路、515路等多条公交线路，地铁2号线及13号线换乘站（东直门站），东直门长途汽车站等，综合评价交通便捷度较好</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8" t="s">
        <v>3266</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1" t="str">
        <f>估价对象房地状况!C24</f>
        <v>城市次干道——胡家园路</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39" t="str">
        <f>估价对象房地状况!C21</f>
        <v>估价对象所在区域公共配套设施齐备情况</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5" t="s">
        <v>2060</v>
      </c>
      <c r="B57" s="1261" t="str">
        <f>估价对象房地状况!C22</f>
        <v>七通</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hidden="1" thickBot="1">
      <c r="A58" s="1976" t="s">
        <v>2061</v>
      </c>
      <c r="B58" s="1977" t="str">
        <f>估价对象房地状况!C20</f>
        <v>区域自然环境：亮马河、东城区亮马河公园；人文环境：工人体育场、东直门外清真寺；综合评价环境状况较好</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89.25" hidden="1">
      <c r="A62" s="1969" t="s">
        <v>2053</v>
      </c>
      <c r="B62" s="1261" t="str">
        <f>估价对象房地状况!C18</f>
        <v>估价对象周边有24路、117路、123路、132路、135路、413路、515路等多条公交线路，地铁2号线及13号线换乘站（东直门站），东直门长途汽车站等，综合评价交通便捷度较好</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8" t="s">
        <v>3266</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1" t="str">
        <f>估价对象房地状况!C24</f>
        <v>城市次干道——胡家园路</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39" t="str">
        <f>估价对象房地状况!C21</f>
        <v>估价对象所在区域公共配套设施齐备情况</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69" t="s">
        <v>2060</v>
      </c>
      <c r="B68" s="1239" t="str">
        <f>估价对象房地状况!C22</f>
        <v>七通</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hidden="1" thickBot="1">
      <c r="A69" s="1976" t="s">
        <v>2061</v>
      </c>
      <c r="B69" s="1978" t="str">
        <f>估价对象房地状况!C20</f>
        <v>区域自然环境：亮马河、东城区亮马河公园；人文环境：工人体育场、东直门外清真寺；综合评价环境状况较好</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1.0339</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估价对象周边有梵悦108、使馆壹号院、海晟名苑、万国城MOMA等住宅小区，综合评价居住社区成熟度较好</v>
      </c>
      <c r="C72" s="1886" t="s">
        <v>3483</v>
      </c>
      <c r="D72" s="1002">
        <f t="shared" ref="D72:D80" si="17">SUMIF($J$71:$N$71,C72,J72:N72)</f>
        <v>6.4000000000000003E-3</v>
      </c>
      <c r="E72" s="702">
        <f>ROUND(SUM(D72:D80),4)</f>
        <v>3.39E-2</v>
      </c>
      <c r="F72" s="1674">
        <f>IF(E2="住宅",SUMIF(L1:L12,G2,N1:N12),"——")</f>
        <v>6.4000000000000001E-2</v>
      </c>
      <c r="G72" s="1000">
        <v>6.4000000000000003E-3</v>
      </c>
      <c r="H72" s="1003">
        <f t="shared" ref="H72:H80" si="18">IFERROR(ROUNDDOWN($F$72*I72/2,4),"——")</f>
        <v>6.4000000000000003E-3</v>
      </c>
      <c r="I72" s="3066">
        <v>0.2</v>
      </c>
      <c r="J72" s="1001">
        <f t="shared" ref="J72:J80" si="19">K72+$G72</f>
        <v>1.2800000000000001E-2</v>
      </c>
      <c r="K72" s="1001">
        <f t="shared" ref="K72:K80" si="20">$L72+$G72</f>
        <v>6.4000000000000003E-3</v>
      </c>
      <c r="L72" s="1001">
        <v>0</v>
      </c>
      <c r="M72" s="1001">
        <f t="shared" ref="M72:N80" si="21">L72-$G72</f>
        <v>-6.4000000000000003E-3</v>
      </c>
      <c r="N72" s="1001">
        <f t="shared" si="21"/>
        <v>-1.2800000000000001E-2</v>
      </c>
      <c r="AA72" s="1057"/>
      <c r="AB72" s="1057"/>
      <c r="AC72" s="1057"/>
      <c r="AD72" s="1057"/>
      <c r="AE72" s="1057"/>
      <c r="AF72" s="1057"/>
      <c r="AG72" s="1057"/>
      <c r="AH72" s="1057"/>
      <c r="AI72" s="1057"/>
      <c r="AJ72" s="1057"/>
      <c r="AK72" s="1057"/>
    </row>
    <row r="73" spans="1:37" s="1056" customFormat="1" ht="89.25">
      <c r="A73" s="1969" t="s">
        <v>2053</v>
      </c>
      <c r="B73" s="1261" t="str">
        <f>估价对象房地状况!C18</f>
        <v>估价对象周边有24路、117路、123路、132路、135路、413路、515路等多条公交线路，地铁2号线及13号线换乘站（东直门站），东直门长途汽车站等，综合评价交通便捷度较好</v>
      </c>
      <c r="C73" s="1886" t="s">
        <v>3483</v>
      </c>
      <c r="D73" s="1002">
        <f t="shared" si="17"/>
        <v>8.3000000000000001E-3</v>
      </c>
      <c r="E73" s="705"/>
      <c r="F73" s="1674"/>
      <c r="G73" s="1000">
        <v>8.3000000000000001E-3</v>
      </c>
      <c r="H73" s="1003">
        <f t="shared" si="18"/>
        <v>8.3000000000000001E-3</v>
      </c>
      <c r="I73" s="3066">
        <v>0.26</v>
      </c>
      <c r="J73" s="1001">
        <f t="shared" si="19"/>
        <v>1.66E-2</v>
      </c>
      <c r="K73" s="1001">
        <f t="shared" si="20"/>
        <v>8.3000000000000001E-3</v>
      </c>
      <c r="L73" s="1001">
        <v>0</v>
      </c>
      <c r="M73" s="1001">
        <f t="shared" si="21"/>
        <v>-8.3000000000000001E-3</v>
      </c>
      <c r="N73" s="1001">
        <f t="shared" si="21"/>
        <v>-1.66E-2</v>
      </c>
      <c r="AA73" s="1057"/>
      <c r="AB73" s="1057"/>
      <c r="AC73" s="1057"/>
      <c r="AD73" s="1057"/>
      <c r="AE73" s="1057"/>
      <c r="AF73" s="1057"/>
      <c r="AG73" s="1057"/>
      <c r="AH73" s="1057"/>
      <c r="AI73" s="1057"/>
      <c r="AJ73" s="1057"/>
      <c r="AK73" s="1057"/>
    </row>
    <row r="74" spans="1:37" s="1843" customFormat="1" ht="36">
      <c r="A74" s="3068" t="s">
        <v>3266</v>
      </c>
      <c r="B74" s="1261">
        <f>估价对象房地状况!C19</f>
        <v>0</v>
      </c>
      <c r="C74" s="1886" t="s">
        <v>3483</v>
      </c>
      <c r="D74" s="1002">
        <f t="shared" si="17"/>
        <v>3.2000000000000002E-3</v>
      </c>
      <c r="E74" s="705"/>
      <c r="F74" s="1674"/>
      <c r="G74" s="1000">
        <v>3.2000000000000002E-3</v>
      </c>
      <c r="H74" s="1003">
        <f t="shared" si="18"/>
        <v>3.2000000000000002E-3</v>
      </c>
      <c r="I74" s="3066">
        <v>0.1</v>
      </c>
      <c r="J74" s="1001">
        <f t="shared" si="19"/>
        <v>6.4000000000000003E-3</v>
      </c>
      <c r="K74" s="1001">
        <f t="shared" si="20"/>
        <v>3.2000000000000002E-3</v>
      </c>
      <c r="L74" s="1001">
        <v>0</v>
      </c>
      <c r="M74" s="1001">
        <f t="shared" si="21"/>
        <v>-3.2000000000000002E-3</v>
      </c>
      <c r="N74" s="1001">
        <f t="shared" si="21"/>
        <v>-6.4000000000000003E-3</v>
      </c>
      <c r="O74" s="1056"/>
      <c r="P74" s="1056"/>
      <c r="Q74" s="1056"/>
      <c r="AA74" s="1979"/>
      <c r="AB74" s="1057"/>
      <c r="AC74" s="1057"/>
      <c r="AD74" s="1057"/>
      <c r="AE74" s="1057"/>
      <c r="AF74" s="1057"/>
      <c r="AG74" s="1057"/>
      <c r="AH74" s="1979"/>
      <c r="AI74" s="1979"/>
      <c r="AJ74" s="1979"/>
      <c r="AK74" s="1979"/>
    </row>
    <row r="75" spans="1:37" ht="14.25">
      <c r="A75" s="1969" t="s">
        <v>2067</v>
      </c>
      <c r="B75" s="1261" t="str">
        <f>估价对象房地状况!C24</f>
        <v>城市次干道——胡家园路</v>
      </c>
      <c r="C75" s="1886" t="s">
        <v>3484</v>
      </c>
      <c r="D75" s="1002">
        <f t="shared" si="17"/>
        <v>0</v>
      </c>
      <c r="E75" s="705"/>
      <c r="F75" s="1674"/>
      <c r="G75" s="1000">
        <v>1.6000000000000001E-3</v>
      </c>
      <c r="H75" s="1003">
        <f t="shared" si="18"/>
        <v>1.6000000000000001E-3</v>
      </c>
      <c r="I75" s="3066">
        <v>0.05</v>
      </c>
      <c r="J75" s="1001">
        <f t="shared" si="19"/>
        <v>3.2000000000000002E-3</v>
      </c>
      <c r="K75" s="1001">
        <f t="shared" si="20"/>
        <v>1.6000000000000001E-3</v>
      </c>
      <c r="L75" s="1001">
        <v>0</v>
      </c>
      <c r="M75" s="1001">
        <f t="shared" si="21"/>
        <v>-1.6000000000000001E-3</v>
      </c>
      <c r="N75" s="1001">
        <f t="shared" si="21"/>
        <v>-3.2000000000000002E-3</v>
      </c>
      <c r="O75" s="1056"/>
      <c r="P75" s="1056"/>
      <c r="Q75" s="1843"/>
      <c r="Z75" s="1844"/>
      <c r="AA75" s="1894"/>
      <c r="AG75" s="1058"/>
      <c r="AK75" s="1894"/>
    </row>
    <row r="76" spans="1:37" ht="25.5">
      <c r="A76" s="1969" t="s">
        <v>2059</v>
      </c>
      <c r="B76" s="1239" t="str">
        <f>估价对象房地状况!C21</f>
        <v>估价对象所在区域公共配套设施齐备情况</v>
      </c>
      <c r="C76" s="1886" t="s">
        <v>3482</v>
      </c>
      <c r="D76" s="1002">
        <f t="shared" si="17"/>
        <v>5.0000000000000001E-3</v>
      </c>
      <c r="E76" s="705"/>
      <c r="F76" s="1674"/>
      <c r="G76" s="1000">
        <v>2.5000000000000001E-3</v>
      </c>
      <c r="H76" s="1003">
        <f t="shared" si="18"/>
        <v>2.5000000000000001E-3</v>
      </c>
      <c r="I76" s="3066">
        <v>0.08</v>
      </c>
      <c r="J76" s="1001">
        <f t="shared" si="19"/>
        <v>5.0000000000000001E-3</v>
      </c>
      <c r="K76" s="1001">
        <f t="shared" si="20"/>
        <v>2.5000000000000001E-3</v>
      </c>
      <c r="L76" s="1001">
        <v>0</v>
      </c>
      <c r="M76" s="1001">
        <f t="shared" si="21"/>
        <v>-2.5000000000000001E-3</v>
      </c>
      <c r="N76" s="1001">
        <f t="shared" si="21"/>
        <v>-5.0000000000000001E-3</v>
      </c>
      <c r="O76" s="1056"/>
      <c r="P76" s="1056"/>
      <c r="Z76" s="1844"/>
      <c r="AA76" s="1894"/>
      <c r="AG76" s="1058"/>
      <c r="AK76" s="1894"/>
    </row>
    <row r="77" spans="1:37" ht="24">
      <c r="A77" s="1969" t="s">
        <v>2060</v>
      </c>
      <c r="B77" s="1239" t="str">
        <f>估价对象房地状况!C22</f>
        <v>七通</v>
      </c>
      <c r="C77" s="1886" t="s">
        <v>3482</v>
      </c>
      <c r="D77" s="1002">
        <f t="shared" si="17"/>
        <v>5.5999999999999999E-3</v>
      </c>
      <c r="E77" s="705"/>
      <c r="F77" s="1674"/>
      <c r="G77" s="1000">
        <v>2.8E-3</v>
      </c>
      <c r="H77" s="1003">
        <f t="shared" si="18"/>
        <v>2.8E-3</v>
      </c>
      <c r="I77" s="3066">
        <v>0.09</v>
      </c>
      <c r="J77" s="1001">
        <f t="shared" si="19"/>
        <v>5.5999999999999999E-3</v>
      </c>
      <c r="K77" s="1001">
        <f t="shared" si="20"/>
        <v>2.8E-3</v>
      </c>
      <c r="L77" s="1001">
        <v>0</v>
      </c>
      <c r="M77" s="1001">
        <f t="shared" si="21"/>
        <v>-2.8E-3</v>
      </c>
      <c r="N77" s="1001">
        <f t="shared" si="21"/>
        <v>-5.5999999999999999E-3</v>
      </c>
      <c r="O77" s="1056"/>
      <c r="P77" s="1056"/>
      <c r="Z77" s="1844"/>
      <c r="AA77" s="1894"/>
      <c r="AG77" s="1058"/>
      <c r="AK77" s="1894"/>
    </row>
    <row r="78" spans="1:37" ht="24">
      <c r="A78" s="1969" t="s">
        <v>2057</v>
      </c>
      <c r="B78" s="1974" t="s">
        <v>2058</v>
      </c>
      <c r="C78" s="1886" t="s">
        <v>3484</v>
      </c>
      <c r="D78" s="1002">
        <f t="shared" si="17"/>
        <v>0</v>
      </c>
      <c r="E78" s="705"/>
      <c r="F78" s="1674"/>
      <c r="G78" s="1000">
        <v>1.6000000000000001E-3</v>
      </c>
      <c r="H78" s="1003">
        <f t="shared" si="18"/>
        <v>1.6000000000000001E-3</v>
      </c>
      <c r="I78" s="3066">
        <v>0.05</v>
      </c>
      <c r="J78" s="1001">
        <f t="shared" si="19"/>
        <v>3.2000000000000002E-3</v>
      </c>
      <c r="K78" s="1001">
        <f t="shared" si="20"/>
        <v>1.6000000000000001E-3</v>
      </c>
      <c r="L78" s="1001">
        <v>0</v>
      </c>
      <c r="M78" s="1001">
        <f t="shared" si="21"/>
        <v>-1.6000000000000001E-3</v>
      </c>
      <c r="N78" s="1001">
        <f t="shared" si="21"/>
        <v>-3.2000000000000002E-3</v>
      </c>
      <c r="O78" s="1843"/>
      <c r="P78" s="1843"/>
      <c r="Z78" s="1844"/>
      <c r="AA78" s="1894"/>
      <c r="AG78" s="1058"/>
      <c r="AK78" s="1894"/>
    </row>
    <row r="79" spans="1:37" ht="51">
      <c r="A79" s="1969" t="s">
        <v>2061</v>
      </c>
      <c r="B79" s="1972" t="str">
        <f>估价对象房地状况!C20</f>
        <v>区域自然环境：亮马河、东城区亮马河公园；人文环境：工人体育场、东直门外清真寺；综合评价环境状况较好</v>
      </c>
      <c r="C79" s="1886" t="s">
        <v>3483</v>
      </c>
      <c r="D79" s="1002">
        <f t="shared" si="17"/>
        <v>3.8E-3</v>
      </c>
      <c r="E79" s="705"/>
      <c r="F79" s="1674"/>
      <c r="G79" s="1000">
        <v>3.8E-3</v>
      </c>
      <c r="H79" s="1003">
        <f t="shared" si="18"/>
        <v>3.8E-3</v>
      </c>
      <c r="I79" s="3066">
        <v>0.12</v>
      </c>
      <c r="J79" s="1001">
        <f t="shared" si="19"/>
        <v>7.6E-3</v>
      </c>
      <c r="K79" s="1001">
        <f t="shared" si="20"/>
        <v>3.8E-3</v>
      </c>
      <c r="L79" s="1001">
        <v>0</v>
      </c>
      <c r="M79" s="1001">
        <f t="shared" si="21"/>
        <v>-3.8E-3</v>
      </c>
      <c r="N79" s="1001">
        <f t="shared" si="21"/>
        <v>-7.6E-3</v>
      </c>
      <c r="Z79" s="1844"/>
      <c r="AA79" s="1894"/>
      <c r="AG79" s="1058"/>
      <c r="AK79" s="1894"/>
    </row>
    <row r="80" spans="1:37" ht="24.75" thickBot="1">
      <c r="A80" s="1976" t="s">
        <v>2068</v>
      </c>
      <c r="B80" s="1980"/>
      <c r="C80" s="1886" t="s">
        <v>3483</v>
      </c>
      <c r="D80" s="1002">
        <f t="shared" si="17"/>
        <v>1.6000000000000001E-3</v>
      </c>
      <c r="E80" s="706"/>
      <c r="F80" s="1674"/>
      <c r="G80" s="1000">
        <v>1.6000000000000001E-3</v>
      </c>
      <c r="H80" s="1003">
        <f t="shared" si="18"/>
        <v>1.6000000000000001E-3</v>
      </c>
      <c r="I80" s="3067">
        <v>0.05</v>
      </c>
      <c r="J80" s="1001">
        <f t="shared" si="19"/>
        <v>3.2000000000000002E-3</v>
      </c>
      <c r="K80" s="1001">
        <f t="shared" si="20"/>
        <v>1.6000000000000001E-3</v>
      </c>
      <c r="L80" s="1001">
        <v>0</v>
      </c>
      <c r="M80" s="1001">
        <f t="shared" si="21"/>
        <v>-1.6000000000000001E-3</v>
      </c>
      <c r="N80" s="1001">
        <f t="shared" si="21"/>
        <v>-3.2000000000000002E-3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36">
      <c r="A85" s="3068" t="s">
        <v>3267</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2609</v>
      </c>
      <c r="B91" s="3077">
        <f>1+E93</f>
        <v>1</v>
      </c>
      <c r="C91" s="3070"/>
      <c r="D91" s="3071"/>
      <c r="E91" s="1674"/>
      <c r="F91" s="1674"/>
      <c r="G91" s="3072"/>
      <c r="H91" s="3073"/>
      <c r="I91" s="3074"/>
      <c r="J91" s="3075"/>
      <c r="K91" s="3075"/>
      <c r="L91" s="3075"/>
      <c r="M91" s="3075"/>
      <c r="N91" s="3075"/>
    </row>
    <row r="92" spans="1:37" ht="24.75">
      <c r="A92" s="3078" t="s">
        <v>3268</v>
      </c>
      <c r="B92" s="2307"/>
      <c r="C92" s="2307" t="s">
        <v>3277</v>
      </c>
      <c r="D92" s="2307" t="s">
        <v>3278</v>
      </c>
      <c r="E92" s="3050" t="s">
        <v>3279</v>
      </c>
      <c r="F92" s="3080" t="s">
        <v>3280</v>
      </c>
      <c r="G92" s="2307" t="s">
        <v>3281</v>
      </c>
      <c r="H92" s="3087" t="s">
        <v>3284</v>
      </c>
      <c r="I92" s="2307" t="s">
        <v>3285</v>
      </c>
      <c r="J92" s="2149" t="s">
        <v>3286</v>
      </c>
      <c r="K92" s="2149" t="s">
        <v>3287</v>
      </c>
      <c r="L92" s="2149" t="s">
        <v>3288</v>
      </c>
      <c r="M92" s="2149" t="s">
        <v>3289</v>
      </c>
      <c r="N92" s="2149" t="s">
        <v>3290</v>
      </c>
    </row>
    <row r="93" spans="1:37" ht="24">
      <c r="A93" s="3068" t="s">
        <v>3269</v>
      </c>
      <c r="B93" s="1220"/>
      <c r="C93" s="1886"/>
      <c r="D93" s="2307">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89.25">
      <c r="A94" s="3078" t="s">
        <v>3270</v>
      </c>
      <c r="B94" s="3069" t="str">
        <f>估价对象房地状况!C18</f>
        <v>估价对象周边有24路、117路、123路、132路、135路、413路、515路等多条公交线路，地铁2号线及13号线换乘站（东直门站），东直门长途汽车站等，综合评价交通便捷度较好</v>
      </c>
      <c r="C94" s="1886"/>
      <c r="D94" s="2307">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3266</v>
      </c>
      <c r="B95" s="3069">
        <f>估价对象房地状况!C19</f>
        <v>0</v>
      </c>
      <c r="C95" s="1886"/>
      <c r="D95" s="2307">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3271</v>
      </c>
      <c r="B96" s="3084" t="s">
        <v>3282</v>
      </c>
      <c r="C96" s="1886"/>
      <c r="D96" s="2307">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3272</v>
      </c>
      <c r="B97" s="3069" t="str">
        <f>估价对象房地状况!C24</f>
        <v>城市次干道——胡家园路</v>
      </c>
      <c r="C97" s="1886"/>
      <c r="D97" s="2307">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3273</v>
      </c>
      <c r="B98" s="3085" t="s">
        <v>3283</v>
      </c>
      <c r="C98" s="1886"/>
      <c r="D98" s="2307">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5.5">
      <c r="A99" s="3078" t="s">
        <v>3274</v>
      </c>
      <c r="B99" s="3069" t="str">
        <f>估价对象房地状况!C21</f>
        <v>估价对象所在区域公共配套设施齐备情况</v>
      </c>
      <c r="C99" s="1886"/>
      <c r="D99" s="2307">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4">
      <c r="A100" s="3078" t="s">
        <v>3275</v>
      </c>
      <c r="B100" s="3069" t="str">
        <f>估价对象房地状况!C22</f>
        <v>七通</v>
      </c>
      <c r="C100" s="1886"/>
      <c r="D100" s="2307">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51.75" thickBot="1">
      <c r="A101" s="3079" t="s">
        <v>3276</v>
      </c>
      <c r="B101" s="3086" t="str">
        <f>估价对象房地状况!C20</f>
        <v>区域自然环境：亮马河、东城区亮马河公园；人文环境：工人体育场、东直门外清真寺；综合评价环境状况较好</v>
      </c>
      <c r="C101" s="1886"/>
      <c r="D101" s="2307">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65" t="s">
        <v>3291</v>
      </c>
      <c r="B103" s="3465"/>
      <c r="C103" s="3465"/>
      <c r="D103" s="3465"/>
      <c r="E103" s="3465"/>
      <c r="F103" s="3465"/>
      <c r="G103" s="3465"/>
      <c r="H103" s="3465"/>
      <c r="I103" s="3465"/>
      <c r="J103" s="3465"/>
      <c r="K103" s="1666"/>
      <c r="L103" s="1666"/>
      <c r="M103" s="1666"/>
      <c r="N103" s="1666"/>
    </row>
    <row r="104" spans="1:14">
      <c r="A104" s="3466" t="s">
        <v>3292</v>
      </c>
      <c r="B104" s="3466" t="s">
        <v>3293</v>
      </c>
      <c r="C104" s="3088" t="s">
        <v>3294</v>
      </c>
      <c r="D104" s="3089"/>
      <c r="E104" s="3089"/>
      <c r="F104" s="3089"/>
      <c r="G104" s="3089"/>
      <c r="H104" s="3089"/>
      <c r="I104" s="3089"/>
      <c r="J104" s="3090"/>
      <c r="K104" s="3091"/>
      <c r="L104" s="3091"/>
      <c r="M104" s="3091"/>
      <c r="N104" s="3091"/>
    </row>
    <row r="105" spans="1:14">
      <c r="A105" s="3466"/>
      <c r="B105" s="3466"/>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452"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3"/>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5" t="s">
        <v>3308</v>
      </c>
      <c r="B113" s="3455"/>
      <c r="C113" s="3455"/>
      <c r="D113" s="3455"/>
      <c r="E113" s="3455"/>
      <c r="F113" s="3455"/>
      <c r="G113" s="3455"/>
      <c r="H113" s="3455"/>
      <c r="I113" s="3455"/>
      <c r="J113" s="3455"/>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3309</v>
      </c>
      <c r="B116" s="3112">
        <f>G3</f>
        <v>11.72</v>
      </c>
      <c r="C116" s="3097" t="s">
        <v>3310</v>
      </c>
      <c r="D116" s="3098">
        <f>SUMPRODUCT((A118:A122=F116)*(B117:M117=H116)*B118:M122)</f>
        <v>0.81</v>
      </c>
      <c r="E116" s="162" t="s">
        <v>3311</v>
      </c>
      <c r="F116" s="3099" t="str">
        <f>E2</f>
        <v>住宅</v>
      </c>
      <c r="G116" s="162" t="s">
        <v>3312</v>
      </c>
      <c r="H116" s="3099" t="str">
        <f>G2</f>
        <v>二级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0.8679</v>
      </c>
      <c r="C118" s="3087">
        <f>B118</f>
        <v>0.8679</v>
      </c>
      <c r="D118" s="3087">
        <f>ROUND(0.949-0.014*B116,4)</f>
        <v>0.78490000000000004</v>
      </c>
      <c r="E118" s="3087">
        <f>D118</f>
        <v>0.78490000000000004</v>
      </c>
      <c r="F118" s="3087">
        <f>E118</f>
        <v>0.78490000000000004</v>
      </c>
      <c r="G118" s="3087">
        <f>F118</f>
        <v>0.78490000000000004</v>
      </c>
      <c r="H118" s="3087">
        <f>G118</f>
        <v>0.78490000000000004</v>
      </c>
      <c r="I118" s="3087">
        <f>ROUND(0.8486-0.018*B116,4)</f>
        <v>0.63759999999999994</v>
      </c>
      <c r="J118" s="3087">
        <f t="shared" ref="J118:M122" si="35">I118</f>
        <v>0.63759999999999994</v>
      </c>
      <c r="K118" s="3087">
        <f t="shared" si="35"/>
        <v>0.63759999999999994</v>
      </c>
      <c r="L118" s="3087">
        <f t="shared" si="35"/>
        <v>0.63759999999999994</v>
      </c>
      <c r="M118" s="3107">
        <f t="shared" si="35"/>
        <v>0.63759999999999994</v>
      </c>
      <c r="N118" s="3095"/>
    </row>
    <row r="119" spans="1:14">
      <c r="A119" s="3055" t="s">
        <v>3326</v>
      </c>
      <c r="B119" s="3087">
        <f>ROUND(0.993-0.0112*B116,4)</f>
        <v>0.86170000000000002</v>
      </c>
      <c r="C119" s="3087">
        <f>B119</f>
        <v>0.86170000000000002</v>
      </c>
      <c r="D119" s="3087">
        <f>ROUND(0.9415-0.0142*B116,4)</f>
        <v>0.77510000000000001</v>
      </c>
      <c r="E119" s="3087">
        <f t="shared" ref="E119:H120" si="36">D119</f>
        <v>0.77510000000000001</v>
      </c>
      <c r="F119" s="3087">
        <f t="shared" si="36"/>
        <v>0.77510000000000001</v>
      </c>
      <c r="G119" s="3087">
        <f t="shared" si="36"/>
        <v>0.77510000000000001</v>
      </c>
      <c r="H119" s="3087">
        <f t="shared" si="36"/>
        <v>0.77510000000000001</v>
      </c>
      <c r="I119" s="3087">
        <f>ROUND(0.838-0.0182*B116,4)</f>
        <v>0.62470000000000003</v>
      </c>
      <c r="J119" s="3087">
        <f t="shared" si="35"/>
        <v>0.62470000000000003</v>
      </c>
      <c r="K119" s="3087">
        <f t="shared" si="35"/>
        <v>0.62470000000000003</v>
      </c>
      <c r="L119" s="3087">
        <f t="shared" si="35"/>
        <v>0.62470000000000003</v>
      </c>
      <c r="M119" s="3107">
        <f t="shared" si="35"/>
        <v>0.62470000000000003</v>
      </c>
      <c r="N119" s="3095"/>
    </row>
    <row r="120" spans="1:14">
      <c r="A120" s="3055" t="s">
        <v>3327</v>
      </c>
      <c r="B120" s="3087">
        <f>ROUND(0.9448-0.0115*B116,4)</f>
        <v>0.81</v>
      </c>
      <c r="C120" s="3087">
        <f>B120</f>
        <v>0.81</v>
      </c>
      <c r="D120" s="3087">
        <f>ROUND(0.937-0.0145*B116,4)</f>
        <v>0.7671</v>
      </c>
      <c r="E120" s="3087">
        <f t="shared" si="36"/>
        <v>0.7671</v>
      </c>
      <c r="F120" s="3087">
        <f t="shared" si="36"/>
        <v>0.7671</v>
      </c>
      <c r="G120" s="3087">
        <f t="shared" si="36"/>
        <v>0.7671</v>
      </c>
      <c r="H120" s="3087">
        <f t="shared" si="36"/>
        <v>0.7671</v>
      </c>
      <c r="I120" s="3087">
        <f>ROUND(0.7965-0.0185*B116,4)</f>
        <v>0.57969999999999999</v>
      </c>
      <c r="J120" s="3087">
        <f t="shared" si="35"/>
        <v>0.57969999999999999</v>
      </c>
      <c r="K120" s="3087">
        <f t="shared" si="35"/>
        <v>0.57969999999999999</v>
      </c>
      <c r="L120" s="3087">
        <f t="shared" si="35"/>
        <v>0.57969999999999999</v>
      </c>
      <c r="M120" s="3107">
        <f t="shared" si="35"/>
        <v>0.57969999999999999</v>
      </c>
      <c r="N120" s="3095"/>
    </row>
    <row r="121" spans="1:14" ht="13.5" thickBot="1">
      <c r="A121" s="3108" t="s">
        <v>3328</v>
      </c>
      <c r="B121" s="3109">
        <f>ROUND(0.7836-0.012*B116,4)</f>
        <v>0.64300000000000002</v>
      </c>
      <c r="C121" s="3109">
        <f>B121</f>
        <v>0.64300000000000002</v>
      </c>
      <c r="D121" s="3109">
        <f>ROUND(0.753-0.015*B116,4)</f>
        <v>0.57720000000000005</v>
      </c>
      <c r="E121" s="3109">
        <f>D121</f>
        <v>0.57720000000000005</v>
      </c>
      <c r="F121" s="3109">
        <f>E121</f>
        <v>0.57720000000000005</v>
      </c>
      <c r="G121" s="3109">
        <f>ROUND(0.6612-0.018*B116,4)</f>
        <v>0.45019999999999999</v>
      </c>
      <c r="H121" s="3109">
        <f>G121</f>
        <v>0.45019999999999999</v>
      </c>
      <c r="I121" s="3109">
        <f>ROUND(0.5905-0.019*B116,4)</f>
        <v>0.36780000000000002</v>
      </c>
      <c r="J121" s="3109">
        <f t="shared" si="35"/>
        <v>0.36780000000000002</v>
      </c>
      <c r="K121" s="3109">
        <f t="shared" si="35"/>
        <v>0.36780000000000002</v>
      </c>
      <c r="L121" s="3109">
        <f t="shared" si="35"/>
        <v>0.36780000000000002</v>
      </c>
      <c r="M121" s="3110">
        <f t="shared" si="35"/>
        <v>0.36780000000000002</v>
      </c>
      <c r="N121" s="3095"/>
    </row>
    <row r="122" spans="1:14">
      <c r="A122" s="3111" t="s">
        <v>2609</v>
      </c>
      <c r="B122" s="3087">
        <f>ROUND(0.9404-0.0106*B116,4)</f>
        <v>0.81620000000000004</v>
      </c>
      <c r="C122" s="3087">
        <f>B122</f>
        <v>0.81620000000000004</v>
      </c>
      <c r="D122" s="3087">
        <f>ROUND(0.8955-0.0135*B116,4)</f>
        <v>0.73729999999999996</v>
      </c>
      <c r="E122" s="3087">
        <f t="shared" ref="E122:H122" si="37">D122</f>
        <v>0.73729999999999996</v>
      </c>
      <c r="F122" s="3087">
        <f t="shared" si="37"/>
        <v>0.73729999999999996</v>
      </c>
      <c r="G122" s="3087">
        <f t="shared" si="37"/>
        <v>0.73729999999999996</v>
      </c>
      <c r="H122" s="3087">
        <f t="shared" si="37"/>
        <v>0.73729999999999996</v>
      </c>
      <c r="I122" s="3087">
        <f>ROUND(0.7632-0.0166*B116,4)</f>
        <v>0.56859999999999999</v>
      </c>
      <c r="J122" s="3087">
        <f t="shared" si="35"/>
        <v>0.56859999999999999</v>
      </c>
      <c r="K122" s="3087">
        <f t="shared" si="35"/>
        <v>0.56859999999999999</v>
      </c>
      <c r="L122" s="3087">
        <f t="shared" si="35"/>
        <v>0.56859999999999999</v>
      </c>
      <c r="M122" s="3107">
        <f t="shared" si="35"/>
        <v>0.56859999999999999</v>
      </c>
      <c r="N122" s="30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478" t="s">
        <v>2604</v>
      </c>
      <c r="B20" s="3471" t="s">
        <v>2625</v>
      </c>
      <c r="C20" s="2840" t="s">
        <v>2436</v>
      </c>
      <c r="D20" s="2841"/>
      <c r="E20" s="2842">
        <v>1</v>
      </c>
      <c r="F20" s="2843" t="s">
        <v>2437</v>
      </c>
      <c r="G20" s="2843"/>
    </row>
    <row r="21" spans="1:13" ht="19.5" customHeight="1">
      <c r="A21" s="3479"/>
      <c r="B21" s="3472"/>
      <c r="C21" s="2844" t="s">
        <v>2438</v>
      </c>
      <c r="D21" s="2845"/>
      <c r="E21" s="2846">
        <v>1</v>
      </c>
      <c r="F21" s="2843" t="s">
        <v>2439</v>
      </c>
      <c r="G21" s="2843"/>
    </row>
    <row r="22" spans="1:13" ht="19.5" customHeight="1">
      <c r="A22" s="3479"/>
      <c r="B22" s="3472"/>
      <c r="C22" s="2844" t="s">
        <v>2440</v>
      </c>
      <c r="D22" s="2845"/>
      <c r="E22" s="2846">
        <v>0.9</v>
      </c>
      <c r="F22" s="2843" t="s">
        <v>2441</v>
      </c>
      <c r="G22" s="2843"/>
    </row>
    <row r="23" spans="1:13" ht="19.5" customHeight="1">
      <c r="A23" s="3479"/>
      <c r="B23" s="3472"/>
      <c r="C23" s="2844" t="s">
        <v>2442</v>
      </c>
      <c r="D23" s="2845"/>
      <c r="E23" s="2846">
        <v>0.9</v>
      </c>
      <c r="F23" s="2843" t="s">
        <v>2443</v>
      </c>
      <c r="G23" s="2843"/>
    </row>
    <row r="24" spans="1:13" ht="19.5" customHeight="1">
      <c r="A24" s="3479"/>
      <c r="B24" s="3472"/>
      <c r="C24" s="2844" t="s">
        <v>2444</v>
      </c>
      <c r="D24" s="2845"/>
      <c r="E24" s="2846">
        <v>0.8</v>
      </c>
      <c r="F24" s="2843" t="s">
        <v>2445</v>
      </c>
      <c r="G24" s="2843"/>
    </row>
    <row r="25" spans="1:13" ht="19.5" customHeight="1" thickBot="1">
      <c r="A25" s="3480"/>
      <c r="B25" s="3473"/>
      <c r="C25" s="2847" t="s">
        <v>2446</v>
      </c>
      <c r="D25" s="2848"/>
      <c r="E25" s="2849">
        <v>0.8</v>
      </c>
      <c r="F25" s="2843" t="s">
        <v>2447</v>
      </c>
      <c r="G25" s="2843"/>
    </row>
    <row r="26" spans="1:13" ht="19.5" customHeight="1" thickBot="1">
      <c r="A26" s="2850" t="s">
        <v>2626</v>
      </c>
      <c r="B26" s="2851" t="s">
        <v>2625</v>
      </c>
      <c r="C26" s="2852" t="s">
        <v>2627</v>
      </c>
      <c r="D26" s="2853"/>
      <c r="E26" s="2854">
        <v>1</v>
      </c>
      <c r="F26" s="2843" t="s">
        <v>2448</v>
      </c>
      <c r="G26" s="2843"/>
    </row>
    <row r="27" spans="1:13" ht="19.5" customHeight="1">
      <c r="A27" s="3474" t="s">
        <v>2628</v>
      </c>
      <c r="B27" s="3471" t="s">
        <v>2609</v>
      </c>
      <c r="C27" s="2840" t="s">
        <v>2449</v>
      </c>
      <c r="D27" s="2841"/>
      <c r="E27" s="2842">
        <v>1</v>
      </c>
      <c r="F27" s="2843" t="s">
        <v>2450</v>
      </c>
      <c r="G27" s="2843"/>
    </row>
    <row r="28" spans="1:13" ht="19.5" customHeight="1">
      <c r="A28" s="3475"/>
      <c r="B28" s="3472"/>
      <c r="C28" s="2844" t="s">
        <v>2451</v>
      </c>
      <c r="D28" s="2845"/>
      <c r="E28" s="2846">
        <v>1</v>
      </c>
      <c r="F28" s="2843" t="s">
        <v>2452</v>
      </c>
      <c r="G28" s="2843"/>
    </row>
    <row r="29" spans="1:13" ht="19.5" customHeight="1">
      <c r="A29" s="3475"/>
      <c r="B29" s="3472"/>
      <c r="C29" s="2844" t="s">
        <v>2453</v>
      </c>
      <c r="D29" s="2845"/>
      <c r="E29" s="2846">
        <v>0.8</v>
      </c>
      <c r="F29" s="2843" t="s">
        <v>2454</v>
      </c>
      <c r="G29" s="2843"/>
    </row>
    <row r="30" spans="1:13" ht="19.5" customHeight="1">
      <c r="A30" s="3475"/>
      <c r="B30" s="3472"/>
      <c r="C30" s="2844" t="s">
        <v>2455</v>
      </c>
      <c r="D30" s="2845"/>
      <c r="E30" s="2846">
        <v>0.8</v>
      </c>
      <c r="F30" s="2843" t="s">
        <v>2456</v>
      </c>
      <c r="G30" s="2843"/>
    </row>
    <row r="31" spans="1:13" ht="19.5" customHeight="1">
      <c r="A31" s="3475"/>
      <c r="B31" s="3472"/>
      <c r="C31" s="2844" t="s">
        <v>2457</v>
      </c>
      <c r="D31" s="2845"/>
      <c r="E31" s="2846">
        <v>0.8</v>
      </c>
      <c r="F31" s="2843" t="s">
        <v>2458</v>
      </c>
      <c r="G31" s="2843"/>
    </row>
    <row r="32" spans="1:13" ht="19.5" customHeight="1">
      <c r="A32" s="3475"/>
      <c r="B32" s="3472"/>
      <c r="C32" s="2844" t="s">
        <v>2459</v>
      </c>
      <c r="D32" s="2845"/>
      <c r="E32" s="2846">
        <v>0.7</v>
      </c>
      <c r="F32" s="2843" t="s">
        <v>2460</v>
      </c>
      <c r="G32" s="2843"/>
    </row>
    <row r="33" spans="1:7" ht="19.5" customHeight="1">
      <c r="A33" s="3475"/>
      <c r="B33" s="3472"/>
      <c r="C33" s="2844" t="s">
        <v>2461</v>
      </c>
      <c r="D33" s="2845"/>
      <c r="E33" s="2846">
        <v>0.8</v>
      </c>
      <c r="F33" s="2843" t="s">
        <v>2462</v>
      </c>
      <c r="G33" s="2843"/>
    </row>
    <row r="34" spans="1:7" ht="19.5" customHeight="1">
      <c r="A34" s="3475"/>
      <c r="B34" s="3472"/>
      <c r="C34" s="2844" t="s">
        <v>2463</v>
      </c>
      <c r="D34" s="2845"/>
      <c r="E34" s="2846">
        <v>0.6</v>
      </c>
      <c r="F34" s="2843" t="s">
        <v>2464</v>
      </c>
      <c r="G34" s="2843"/>
    </row>
    <row r="35" spans="1:7" ht="19.5" customHeight="1">
      <c r="A35" s="3475"/>
      <c r="B35" s="3472"/>
      <c r="C35" s="2844" t="s">
        <v>2465</v>
      </c>
      <c r="D35" s="2845"/>
      <c r="E35" s="2846">
        <v>0.2</v>
      </c>
      <c r="F35" s="2843" t="s">
        <v>2466</v>
      </c>
      <c r="G35" s="2843"/>
    </row>
    <row r="36" spans="1:7" ht="19.5" customHeight="1">
      <c r="A36" s="3475"/>
      <c r="B36" s="3472"/>
      <c r="C36" s="2844" t="s">
        <v>2467</v>
      </c>
      <c r="D36" s="2845"/>
      <c r="E36" s="2846">
        <v>0.2</v>
      </c>
      <c r="F36" s="2843" t="s">
        <v>2468</v>
      </c>
      <c r="G36" s="2843"/>
    </row>
    <row r="37" spans="1:7" ht="19.5" customHeight="1">
      <c r="A37" s="3475"/>
      <c r="B37" s="3477" t="s">
        <v>2629</v>
      </c>
      <c r="C37" s="2844" t="s">
        <v>2469</v>
      </c>
      <c r="D37" s="2845"/>
      <c r="E37" s="2846">
        <v>0.6</v>
      </c>
      <c r="F37" s="2843" t="s">
        <v>2470</v>
      </c>
      <c r="G37" s="2843"/>
    </row>
    <row r="38" spans="1:7" ht="19.5" customHeight="1">
      <c r="A38" s="3475"/>
      <c r="B38" s="3472"/>
      <c r="C38" s="2844" t="s">
        <v>2471</v>
      </c>
      <c r="D38" s="2845"/>
      <c r="E38" s="2846">
        <v>0.6</v>
      </c>
      <c r="F38" s="2843" t="s">
        <v>2472</v>
      </c>
      <c r="G38" s="2843"/>
    </row>
    <row r="39" spans="1:7" ht="19.5" customHeight="1" thickBot="1">
      <c r="A39" s="3476"/>
      <c r="B39" s="3473"/>
      <c r="C39" s="2847" t="s">
        <v>2473</v>
      </c>
      <c r="D39" s="2848"/>
      <c r="E39" s="2849">
        <v>0.6</v>
      </c>
      <c r="F39" s="2843" t="s">
        <v>2474</v>
      </c>
      <c r="G39" s="2843"/>
    </row>
    <row r="40" spans="1:7" ht="19.5" customHeight="1" thickBot="1">
      <c r="A40" s="2850" t="s">
        <v>2606</v>
      </c>
      <c r="B40" s="2851" t="s">
        <v>2606</v>
      </c>
      <c r="C40" s="2852" t="s">
        <v>2630</v>
      </c>
      <c r="D40" s="2853"/>
      <c r="E40" s="2854">
        <v>1</v>
      </c>
      <c r="F40" s="2843" t="s">
        <v>2475</v>
      </c>
      <c r="G40" s="2843"/>
    </row>
    <row r="41" spans="1:7" ht="19.5" customHeight="1">
      <c r="A41" s="3478" t="s">
        <v>2607</v>
      </c>
      <c r="B41" s="3471" t="s">
        <v>2631</v>
      </c>
      <c r="C41" s="2840" t="s">
        <v>2476</v>
      </c>
      <c r="D41" s="2841"/>
      <c r="E41" s="2842">
        <v>1</v>
      </c>
      <c r="F41" s="2843" t="s">
        <v>2477</v>
      </c>
      <c r="G41" s="2843"/>
    </row>
    <row r="42" spans="1:7" ht="19.5" customHeight="1">
      <c r="A42" s="3479"/>
      <c r="B42" s="3472"/>
      <c r="C42" s="2844" t="s">
        <v>2478</v>
      </c>
      <c r="D42" s="2845"/>
      <c r="E42" s="2846">
        <v>1</v>
      </c>
      <c r="F42" s="2843" t="s">
        <v>2479</v>
      </c>
      <c r="G42" s="2843"/>
    </row>
    <row r="43" spans="1:7" ht="19.5" customHeight="1">
      <c r="A43" s="3479"/>
      <c r="B43" s="3481"/>
      <c r="C43" s="2844" t="s">
        <v>2480</v>
      </c>
      <c r="D43" s="2845"/>
      <c r="E43" s="2846">
        <v>1.5</v>
      </c>
      <c r="F43" s="2843" t="s">
        <v>2481</v>
      </c>
      <c r="G43" s="2843"/>
    </row>
    <row r="44" spans="1:7" ht="19.5" customHeight="1">
      <c r="A44" s="3479"/>
      <c r="B44" s="2855" t="s">
        <v>2632</v>
      </c>
      <c r="C44" s="2844" t="s">
        <v>2633</v>
      </c>
      <c r="D44" s="2845"/>
      <c r="E44" s="2846">
        <v>2</v>
      </c>
      <c r="F44" s="2843" t="s">
        <v>2482</v>
      </c>
      <c r="G44" s="2843"/>
    </row>
    <row r="45" spans="1:7" ht="19.5" customHeight="1">
      <c r="A45" s="3479"/>
      <c r="B45" s="3477" t="s">
        <v>2634</v>
      </c>
      <c r="C45" s="2844" t="s">
        <v>2483</v>
      </c>
      <c r="D45" s="2845"/>
      <c r="E45" s="2846">
        <v>1</v>
      </c>
      <c r="F45" s="2843" t="s">
        <v>2484</v>
      </c>
      <c r="G45" s="2843"/>
    </row>
    <row r="46" spans="1:7" ht="19.5" customHeight="1">
      <c r="A46" s="3479"/>
      <c r="B46" s="3472"/>
      <c r="C46" s="2844" t="s">
        <v>2485</v>
      </c>
      <c r="D46" s="2845"/>
      <c r="E46" s="2846">
        <v>1</v>
      </c>
      <c r="F46" s="2843" t="s">
        <v>2486</v>
      </c>
      <c r="G46" s="2843"/>
    </row>
    <row r="47" spans="1:7" ht="19.5" customHeight="1">
      <c r="A47" s="3479"/>
      <c r="B47" s="3472"/>
      <c r="C47" s="2844" t="s">
        <v>2487</v>
      </c>
      <c r="D47" s="2845"/>
      <c r="E47" s="2846">
        <v>1</v>
      </c>
      <c r="F47" s="2843" t="s">
        <v>2488</v>
      </c>
      <c r="G47" s="2843"/>
    </row>
    <row r="48" spans="1:7" ht="19.5" customHeight="1">
      <c r="A48" s="3479"/>
      <c r="B48" s="3472"/>
      <c r="C48" s="2844" t="s">
        <v>2489</v>
      </c>
      <c r="D48" s="2845"/>
      <c r="E48" s="2846">
        <v>1</v>
      </c>
      <c r="F48" s="2843" t="s">
        <v>2490</v>
      </c>
      <c r="G48" s="2843"/>
    </row>
    <row r="49" spans="1:7" ht="19.5" customHeight="1">
      <c r="A49" s="3479"/>
      <c r="B49" s="3472"/>
      <c r="C49" s="2844" t="s">
        <v>2491</v>
      </c>
      <c r="D49" s="2845"/>
      <c r="E49" s="2846">
        <v>1</v>
      </c>
      <c r="F49" s="2843" t="s">
        <v>2492</v>
      </c>
      <c r="G49" s="2843"/>
    </row>
    <row r="50" spans="1:7" ht="19.5" customHeight="1">
      <c r="A50" s="3479"/>
      <c r="B50" s="3472"/>
      <c r="C50" s="2844" t="s">
        <v>2493</v>
      </c>
      <c r="D50" s="2845"/>
      <c r="E50" s="2846">
        <v>1</v>
      </c>
      <c r="F50" s="2843" t="s">
        <v>2494</v>
      </c>
      <c r="G50" s="2843"/>
    </row>
    <row r="51" spans="1:7" ht="19.5" customHeight="1" thickBot="1">
      <c r="A51" s="3480"/>
      <c r="B51" s="3473"/>
      <c r="C51" s="2847" t="s">
        <v>2495</v>
      </c>
      <c r="D51" s="2848"/>
      <c r="E51" s="2849">
        <v>1</v>
      </c>
      <c r="F51" s="2843" t="s">
        <v>2496</v>
      </c>
      <c r="G51" s="2843"/>
    </row>
    <row r="52" spans="1:7" ht="19.5" customHeight="1">
      <c r="A52" s="2856"/>
      <c r="B52" s="2856"/>
      <c r="C52" s="2856"/>
      <c r="D52" s="2856"/>
      <c r="E52" s="2856"/>
      <c r="F52" s="2856"/>
      <c r="G52" s="2856"/>
    </row>
    <row r="54" spans="1:7" ht="19.5" customHeight="1">
      <c r="A54" s="2857"/>
      <c r="B54" s="2829" t="s">
        <v>2635</v>
      </c>
      <c r="C54" s="2829" t="s">
        <v>2635</v>
      </c>
      <c r="D54" s="2829" t="s">
        <v>2635</v>
      </c>
      <c r="E54" s="2832" t="s">
        <v>2635</v>
      </c>
      <c r="F54" s="2832" t="s">
        <v>2636</v>
      </c>
      <c r="G54" s="2832" t="s">
        <v>2637</v>
      </c>
    </row>
    <row r="55" spans="1:7" ht="19.5" customHeight="1">
      <c r="A55" s="2858"/>
      <c r="B55" s="2832" t="s">
        <v>2604</v>
      </c>
      <c r="C55" s="2832" t="s">
        <v>2604</v>
      </c>
      <c r="D55" s="2832" t="s">
        <v>2604</v>
      </c>
      <c r="E55" s="2829" t="s">
        <v>2605</v>
      </c>
      <c r="F55" s="2829" t="s">
        <v>2607</v>
      </c>
      <c r="G55" s="2829" t="s">
        <v>2638</v>
      </c>
    </row>
    <row r="56" spans="1:7" ht="19.5" customHeight="1">
      <c r="A56" s="2859"/>
      <c r="B56" s="2829">
        <v>1</v>
      </c>
      <c r="C56" s="2829">
        <v>2</v>
      </c>
      <c r="D56" s="2829">
        <v>3</v>
      </c>
      <c r="E56" s="2860" t="s">
        <v>2639</v>
      </c>
      <c r="F56" s="2860" t="s">
        <v>2639</v>
      </c>
      <c r="G56" s="2860" t="s">
        <v>2639</v>
      </c>
    </row>
    <row r="57" spans="1:7" ht="19.5" customHeight="1">
      <c r="A57" s="2861" t="s">
        <v>2592</v>
      </c>
      <c r="B57" s="2829">
        <v>0.7</v>
      </c>
      <c r="C57" s="2829">
        <v>0.4</v>
      </c>
      <c r="D57" s="2829">
        <v>0.3</v>
      </c>
      <c r="E57" s="2860">
        <v>0.3</v>
      </c>
      <c r="F57" s="2829">
        <v>0.3</v>
      </c>
      <c r="G57" s="2829">
        <v>0.2</v>
      </c>
    </row>
    <row r="58" spans="1:7" ht="19.5" customHeight="1">
      <c r="A58" s="2861" t="s">
        <v>2593</v>
      </c>
      <c r="B58" s="2829">
        <v>0.7</v>
      </c>
      <c r="C58" s="2829">
        <v>0.4</v>
      </c>
      <c r="D58" s="2829">
        <v>0.3</v>
      </c>
      <c r="E58" s="2829">
        <v>0.3</v>
      </c>
      <c r="F58" s="2829">
        <v>0.3</v>
      </c>
      <c r="G58" s="2829">
        <v>0.2</v>
      </c>
    </row>
    <row r="59" spans="1:7" ht="19.5" customHeight="1">
      <c r="A59" s="2861" t="s">
        <v>2594</v>
      </c>
      <c r="B59" s="2829">
        <v>0.6</v>
      </c>
      <c r="C59" s="2829">
        <v>0.3</v>
      </c>
      <c r="D59" s="2829">
        <v>0.25</v>
      </c>
      <c r="E59" s="2829">
        <v>0.25</v>
      </c>
      <c r="F59" s="2829">
        <v>0.25</v>
      </c>
      <c r="G59" s="2829">
        <v>0.15</v>
      </c>
    </row>
    <row r="60" spans="1:7" ht="19.5" customHeight="1">
      <c r="A60" s="2861" t="s">
        <v>2595</v>
      </c>
      <c r="B60" s="2829">
        <v>0.6</v>
      </c>
      <c r="C60" s="2829">
        <v>0.3</v>
      </c>
      <c r="D60" s="2829">
        <v>0.25</v>
      </c>
      <c r="E60" s="2829">
        <v>0.25</v>
      </c>
      <c r="F60" s="2829">
        <v>0.25</v>
      </c>
      <c r="G60" s="2829">
        <v>0.15</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0.5</v>
      </c>
      <c r="C64" s="2829">
        <v>0.2</v>
      </c>
      <c r="D64" s="2829">
        <v>0.2</v>
      </c>
      <c r="E64" s="2829">
        <v>0.2</v>
      </c>
      <c r="F64" s="2829">
        <v>0.2</v>
      </c>
      <c r="G64" s="2829">
        <v>0.1</v>
      </c>
    </row>
    <row r="65" spans="1:7" ht="19.5" customHeight="1">
      <c r="A65" s="2861" t="s">
        <v>2600</v>
      </c>
      <c r="B65" s="2829">
        <v>0.5</v>
      </c>
      <c r="C65" s="2829">
        <v>0.2</v>
      </c>
      <c r="D65" s="2829">
        <v>0.2</v>
      </c>
      <c r="E65" s="2829">
        <v>0.2</v>
      </c>
      <c r="F65" s="2829">
        <v>0.2</v>
      </c>
      <c r="G65" s="2829">
        <v>0.1</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70" spans="1:7" ht="19.5" customHeight="1">
      <c r="A70" s="2843"/>
      <c r="B70" s="2862"/>
      <c r="C70" s="2862"/>
      <c r="D70" s="2862" t="s">
        <v>2640</v>
      </c>
      <c r="E70" s="2862"/>
      <c r="F70" s="2862"/>
    </row>
    <row r="71" spans="1:7" ht="19.5" customHeight="1">
      <c r="A71" s="2855" t="s">
        <v>2641</v>
      </c>
      <c r="B71" s="2855" t="s">
        <v>2642</v>
      </c>
      <c r="C71" s="2855" t="s">
        <v>2643</v>
      </c>
      <c r="D71" s="2855" t="s">
        <v>2644</v>
      </c>
      <c r="E71" s="2855" t="s">
        <v>2645</v>
      </c>
      <c r="F71" s="2855" t="s">
        <v>2646</v>
      </c>
    </row>
    <row r="72" spans="1:7" ht="13.5">
      <c r="A72" s="2855"/>
      <c r="B72" s="2855"/>
      <c r="C72" s="2855" t="s">
        <v>2647</v>
      </c>
      <c r="D72" s="2855"/>
      <c r="E72" s="2855" t="s">
        <v>2618</v>
      </c>
      <c r="F72" s="2855" t="s">
        <v>2618</v>
      </c>
    </row>
    <row r="73" spans="1:7" ht="13.5">
      <c r="A73" s="2855">
        <v>1</v>
      </c>
      <c r="B73" s="3477" t="s">
        <v>2648</v>
      </c>
      <c r="C73" s="2829" t="s">
        <v>2649</v>
      </c>
      <c r="D73" s="2829" t="s">
        <v>2650</v>
      </c>
      <c r="E73" s="2855">
        <v>0.2</v>
      </c>
      <c r="F73" s="2855">
        <v>25</v>
      </c>
    </row>
    <row r="74" spans="1:7" ht="24">
      <c r="A74" s="2855">
        <v>2</v>
      </c>
      <c r="B74" s="3472"/>
      <c r="C74" s="2829" t="s">
        <v>2651</v>
      </c>
      <c r="D74" s="2829" t="s">
        <v>2652</v>
      </c>
      <c r="E74" s="2855">
        <v>0.2</v>
      </c>
      <c r="F74" s="2855">
        <v>25</v>
      </c>
    </row>
    <row r="75" spans="1:7" ht="24">
      <c r="A75" s="2855">
        <v>3</v>
      </c>
      <c r="B75" s="3472"/>
      <c r="C75" s="2829" t="s">
        <v>2653</v>
      </c>
      <c r="D75" s="2829" t="s">
        <v>2654</v>
      </c>
      <c r="E75" s="2855">
        <v>0.2</v>
      </c>
      <c r="F75" s="2855">
        <v>25</v>
      </c>
    </row>
    <row r="76" spans="1:7" ht="13.5">
      <c r="A76" s="2855">
        <v>4</v>
      </c>
      <c r="B76" s="3472"/>
      <c r="C76" s="2829" t="s">
        <v>2655</v>
      </c>
      <c r="D76" s="2829" t="s">
        <v>2656</v>
      </c>
      <c r="E76" s="2855">
        <v>0.15</v>
      </c>
      <c r="F76" s="2855">
        <v>20</v>
      </c>
    </row>
    <row r="77" spans="1:7" ht="24">
      <c r="A77" s="2855">
        <v>5</v>
      </c>
      <c r="B77" s="3472"/>
      <c r="C77" s="2829" t="s">
        <v>2657</v>
      </c>
      <c r="D77" s="2829" t="s">
        <v>2658</v>
      </c>
      <c r="E77" s="2855">
        <v>0.15</v>
      </c>
      <c r="F77" s="2855">
        <v>20</v>
      </c>
    </row>
    <row r="78" spans="1:7" ht="24">
      <c r="A78" s="2855">
        <v>6</v>
      </c>
      <c r="B78" s="3472"/>
      <c r="C78" s="2829" t="s">
        <v>2659</v>
      </c>
      <c r="D78" s="2829" t="s">
        <v>2660</v>
      </c>
      <c r="E78" s="2855">
        <v>0.15</v>
      </c>
      <c r="F78" s="2855">
        <v>20</v>
      </c>
    </row>
    <row r="79" spans="1:7" ht="24">
      <c r="A79" s="2855">
        <v>7</v>
      </c>
      <c r="B79" s="3472"/>
      <c r="C79" s="2829" t="s">
        <v>2661</v>
      </c>
      <c r="D79" s="2829" t="s">
        <v>2662</v>
      </c>
      <c r="E79" s="2855">
        <v>0.15</v>
      </c>
      <c r="F79" s="2855">
        <v>20</v>
      </c>
    </row>
    <row r="80" spans="1:7" ht="24">
      <c r="A80" s="2855">
        <v>8</v>
      </c>
      <c r="B80" s="3472"/>
      <c r="C80" s="2829" t="s">
        <v>2663</v>
      </c>
      <c r="D80" s="2829" t="s">
        <v>2664</v>
      </c>
      <c r="E80" s="2855">
        <v>0.1</v>
      </c>
      <c r="F80" s="2855">
        <v>15</v>
      </c>
    </row>
    <row r="81" spans="1:6" ht="24">
      <c r="A81" s="2855">
        <v>9</v>
      </c>
      <c r="B81" s="3472"/>
      <c r="C81" s="2829" t="s">
        <v>2665</v>
      </c>
      <c r="D81" s="2829" t="s">
        <v>2666</v>
      </c>
      <c r="E81" s="2855">
        <v>0.1</v>
      </c>
      <c r="F81" s="2855">
        <v>15</v>
      </c>
    </row>
    <row r="82" spans="1:6" ht="24">
      <c r="A82" s="2855">
        <v>10</v>
      </c>
      <c r="B82" s="3472"/>
      <c r="C82" s="2829" t="s">
        <v>2667</v>
      </c>
      <c r="D82" s="2829" t="s">
        <v>2668</v>
      </c>
      <c r="E82" s="2855">
        <v>0.1</v>
      </c>
      <c r="F82" s="2855">
        <v>15</v>
      </c>
    </row>
    <row r="83" spans="1:6" ht="24">
      <c r="A83" s="2855">
        <v>11</v>
      </c>
      <c r="B83" s="3472"/>
      <c r="C83" s="2829" t="s">
        <v>2669</v>
      </c>
      <c r="D83" s="2829" t="s">
        <v>2670</v>
      </c>
      <c r="E83" s="2855">
        <v>0.1</v>
      </c>
      <c r="F83" s="2855">
        <v>15</v>
      </c>
    </row>
    <row r="84" spans="1:6" ht="24">
      <c r="A84" s="2855">
        <v>12</v>
      </c>
      <c r="B84" s="3472"/>
      <c r="C84" s="2829" t="s">
        <v>2671</v>
      </c>
      <c r="D84" s="2829" t="s">
        <v>2672</v>
      </c>
      <c r="E84" s="2855">
        <v>0.1</v>
      </c>
      <c r="F84" s="2855">
        <v>15</v>
      </c>
    </row>
    <row r="85" spans="1:6" ht="13.5">
      <c r="A85" s="2855">
        <v>13</v>
      </c>
      <c r="B85" s="3472"/>
      <c r="C85" s="2829" t="s">
        <v>2673</v>
      </c>
      <c r="D85" s="2829" t="s">
        <v>2674</v>
      </c>
      <c r="E85" s="2855">
        <v>0.1</v>
      </c>
      <c r="F85" s="2855">
        <v>15</v>
      </c>
    </row>
    <row r="86" spans="1:6" ht="13.5">
      <c r="A86" s="2855">
        <v>14</v>
      </c>
      <c r="B86" s="3472"/>
      <c r="C86" s="2829" t="s">
        <v>2675</v>
      </c>
      <c r="D86" s="2829" t="s">
        <v>2676</v>
      </c>
      <c r="E86" s="2855">
        <v>0.1</v>
      </c>
      <c r="F86" s="2855">
        <v>15</v>
      </c>
    </row>
    <row r="87" spans="1:6" ht="13.5">
      <c r="A87" s="2855">
        <v>15</v>
      </c>
      <c r="B87" s="3472"/>
      <c r="C87" s="2829" t="s">
        <v>2677</v>
      </c>
      <c r="D87" s="2829" t="s">
        <v>2678</v>
      </c>
      <c r="E87" s="2855">
        <v>0.1</v>
      </c>
      <c r="F87" s="2855">
        <v>15</v>
      </c>
    </row>
    <row r="88" spans="1:6" ht="24">
      <c r="A88" s="2855">
        <v>16</v>
      </c>
      <c r="B88" s="3472"/>
      <c r="C88" s="2829" t="s">
        <v>2679</v>
      </c>
      <c r="D88" s="2829" t="s">
        <v>2680</v>
      </c>
      <c r="E88" s="2855">
        <v>0.1</v>
      </c>
      <c r="F88" s="2855">
        <v>15</v>
      </c>
    </row>
    <row r="89" spans="1:6" ht="24">
      <c r="A89" s="2855">
        <v>17</v>
      </c>
      <c r="B89" s="3481"/>
      <c r="C89" s="2829" t="s">
        <v>2681</v>
      </c>
      <c r="D89" s="2829" t="s">
        <v>2682</v>
      </c>
      <c r="E89" s="2855">
        <v>0.1</v>
      </c>
      <c r="F89" s="2855">
        <v>15</v>
      </c>
    </row>
    <row r="90" spans="1:6" ht="13.5">
      <c r="A90" s="2855">
        <v>18</v>
      </c>
      <c r="B90" s="3477" t="s">
        <v>2683</v>
      </c>
      <c r="C90" s="2829" t="s">
        <v>2684</v>
      </c>
      <c r="D90" s="2829" t="s">
        <v>2685</v>
      </c>
      <c r="E90" s="2855">
        <v>0.2</v>
      </c>
      <c r="F90" s="2855">
        <v>25</v>
      </c>
    </row>
    <row r="91" spans="1:6" ht="24">
      <c r="A91" s="2855">
        <v>19</v>
      </c>
      <c r="B91" s="3472"/>
      <c r="C91" s="2829" t="s">
        <v>2686</v>
      </c>
      <c r="D91" s="2829" t="s">
        <v>2687</v>
      </c>
      <c r="E91" s="2855">
        <v>0.2</v>
      </c>
      <c r="F91" s="2855">
        <v>25</v>
      </c>
    </row>
    <row r="92" spans="1:6" ht="13.5">
      <c r="A92" s="2855">
        <v>20</v>
      </c>
      <c r="B92" s="3472"/>
      <c r="C92" s="2829" t="s">
        <v>2688</v>
      </c>
      <c r="D92" s="2829" t="s">
        <v>2689</v>
      </c>
      <c r="E92" s="2855">
        <v>0.15</v>
      </c>
      <c r="F92" s="2855">
        <v>20</v>
      </c>
    </row>
    <row r="93" spans="1:6" ht="13.5">
      <c r="A93" s="2855">
        <v>21</v>
      </c>
      <c r="B93" s="3472"/>
      <c r="C93" s="2829" t="s">
        <v>2690</v>
      </c>
      <c r="D93" s="2829" t="s">
        <v>2691</v>
      </c>
      <c r="E93" s="2855">
        <v>0.15</v>
      </c>
      <c r="F93" s="2855">
        <v>20</v>
      </c>
    </row>
    <row r="94" spans="1:6" ht="13.5">
      <c r="A94" s="2855">
        <v>22</v>
      </c>
      <c r="B94" s="3472"/>
      <c r="C94" s="2829" t="s">
        <v>2692</v>
      </c>
      <c r="D94" s="2829" t="s">
        <v>2693</v>
      </c>
      <c r="E94" s="2855">
        <v>0.15</v>
      </c>
      <c r="F94" s="2855">
        <v>20</v>
      </c>
    </row>
    <row r="95" spans="1:6" ht="36">
      <c r="A95" s="2855">
        <v>23</v>
      </c>
      <c r="B95" s="3472"/>
      <c r="C95" s="2829" t="s">
        <v>2694</v>
      </c>
      <c r="D95" s="2829" t="s">
        <v>2695</v>
      </c>
      <c r="E95" s="2855">
        <v>0.15</v>
      </c>
      <c r="F95" s="2855">
        <v>20</v>
      </c>
    </row>
    <row r="96" spans="1:6" ht="13.5">
      <c r="A96" s="2855">
        <v>24</v>
      </c>
      <c r="B96" s="3472"/>
      <c r="C96" s="2829" t="s">
        <v>2696</v>
      </c>
      <c r="D96" s="2829" t="s">
        <v>2697</v>
      </c>
      <c r="E96" s="2855">
        <v>0.1</v>
      </c>
      <c r="F96" s="2855">
        <v>15</v>
      </c>
    </row>
    <row r="97" spans="1:6" ht="13.5">
      <c r="A97" s="2855">
        <v>25</v>
      </c>
      <c r="B97" s="3472"/>
      <c r="C97" s="2829" t="s">
        <v>2698</v>
      </c>
      <c r="D97" s="2829" t="s">
        <v>2699</v>
      </c>
      <c r="E97" s="2855">
        <v>0.1</v>
      </c>
      <c r="F97" s="2855">
        <v>15</v>
      </c>
    </row>
    <row r="98" spans="1:6" ht="24">
      <c r="A98" s="2855">
        <v>26</v>
      </c>
      <c r="B98" s="3472"/>
      <c r="C98" s="2829" t="s">
        <v>2700</v>
      </c>
      <c r="D98" s="2829" t="s">
        <v>2701</v>
      </c>
      <c r="E98" s="2855">
        <v>0.1</v>
      </c>
      <c r="F98" s="2855">
        <v>15</v>
      </c>
    </row>
    <row r="99" spans="1:6" ht="24">
      <c r="A99" s="2855">
        <v>27</v>
      </c>
      <c r="B99" s="3472"/>
      <c r="C99" s="2829" t="s">
        <v>2702</v>
      </c>
      <c r="D99" s="2829" t="s">
        <v>2703</v>
      </c>
      <c r="E99" s="2855">
        <v>0.1</v>
      </c>
      <c r="F99" s="2855">
        <v>15</v>
      </c>
    </row>
    <row r="100" spans="1:6" ht="13.5">
      <c r="A100" s="2855">
        <v>28</v>
      </c>
      <c r="B100" s="3472"/>
      <c r="C100" s="2829" t="s">
        <v>2704</v>
      </c>
      <c r="D100" s="2829" t="s">
        <v>2705</v>
      </c>
      <c r="E100" s="2855">
        <v>0.1</v>
      </c>
      <c r="F100" s="2855">
        <v>15</v>
      </c>
    </row>
    <row r="101" spans="1:6" ht="13.5">
      <c r="A101" s="2855">
        <v>29</v>
      </c>
      <c r="B101" s="3472"/>
      <c r="C101" s="2829" t="s">
        <v>2706</v>
      </c>
      <c r="D101" s="2829" t="s">
        <v>2707</v>
      </c>
      <c r="E101" s="2855">
        <v>0.1</v>
      </c>
      <c r="F101" s="2855">
        <v>15</v>
      </c>
    </row>
    <row r="102" spans="1:6" ht="13.5">
      <c r="A102" s="2855">
        <v>30</v>
      </c>
      <c r="B102" s="3472"/>
      <c r="C102" s="2829" t="s">
        <v>2708</v>
      </c>
      <c r="D102" s="2829" t="s">
        <v>2709</v>
      </c>
      <c r="E102" s="2855">
        <v>0.1</v>
      </c>
      <c r="F102" s="2855">
        <v>15</v>
      </c>
    </row>
    <row r="103" spans="1:6" ht="24">
      <c r="A103" s="2855">
        <v>31</v>
      </c>
      <c r="B103" s="3472"/>
      <c r="C103" s="2829" t="s">
        <v>2710</v>
      </c>
      <c r="D103" s="2829" t="s">
        <v>2711</v>
      </c>
      <c r="E103" s="2855">
        <v>0.1</v>
      </c>
      <c r="F103" s="2855">
        <v>15</v>
      </c>
    </row>
    <row r="104" spans="1:6" ht="24">
      <c r="A104" s="2855">
        <v>32</v>
      </c>
      <c r="B104" s="3472"/>
      <c r="C104" s="2829" t="s">
        <v>2712</v>
      </c>
      <c r="D104" s="2829" t="s">
        <v>2713</v>
      </c>
      <c r="E104" s="2855">
        <v>0.1</v>
      </c>
      <c r="F104" s="2855">
        <v>15</v>
      </c>
    </row>
    <row r="105" spans="1:6" ht="24">
      <c r="A105" s="2855">
        <v>33</v>
      </c>
      <c r="B105" s="3472"/>
      <c r="C105" s="2829" t="s">
        <v>2714</v>
      </c>
      <c r="D105" s="2829" t="s">
        <v>2715</v>
      </c>
      <c r="E105" s="2855">
        <v>0.1</v>
      </c>
      <c r="F105" s="2855">
        <v>15</v>
      </c>
    </row>
    <row r="106" spans="1:6" ht="24">
      <c r="A106" s="2855">
        <v>34</v>
      </c>
      <c r="B106" s="3481"/>
      <c r="C106" s="2829" t="s">
        <v>2716</v>
      </c>
      <c r="D106" s="2829" t="s">
        <v>2717</v>
      </c>
      <c r="E106" s="2855">
        <v>0.1</v>
      </c>
      <c r="F106" s="2855">
        <v>15</v>
      </c>
    </row>
    <row r="107" spans="1:6" ht="24">
      <c r="A107" s="2855">
        <v>35</v>
      </c>
      <c r="B107" s="3477" t="s">
        <v>2718</v>
      </c>
      <c r="C107" s="2855" t="s">
        <v>2719</v>
      </c>
      <c r="D107" s="2829" t="s">
        <v>2720</v>
      </c>
      <c r="E107" s="2855">
        <v>0.15</v>
      </c>
      <c r="F107" s="2855">
        <v>20</v>
      </c>
    </row>
    <row r="108" spans="1:6" ht="13.5">
      <c r="A108" s="2855">
        <v>36</v>
      </c>
      <c r="B108" s="3472"/>
      <c r="C108" s="2855" t="s">
        <v>2721</v>
      </c>
      <c r="D108" s="2829" t="s">
        <v>2722</v>
      </c>
      <c r="E108" s="2855">
        <v>0.15</v>
      </c>
      <c r="F108" s="2855">
        <v>20</v>
      </c>
    </row>
    <row r="109" spans="1:6" ht="13.5">
      <c r="A109" s="2855">
        <v>37</v>
      </c>
      <c r="B109" s="3472"/>
      <c r="C109" s="2855" t="s">
        <v>2723</v>
      </c>
      <c r="D109" s="2829" t="s">
        <v>2724</v>
      </c>
      <c r="E109" s="2855">
        <v>0.15</v>
      </c>
      <c r="F109" s="2855">
        <v>20</v>
      </c>
    </row>
    <row r="110" spans="1:6" ht="13.5">
      <c r="A110" s="2855">
        <v>38</v>
      </c>
      <c r="B110" s="3472"/>
      <c r="C110" s="2855" t="s">
        <v>2725</v>
      </c>
      <c r="D110" s="2829" t="s">
        <v>2726</v>
      </c>
      <c r="E110" s="2855">
        <v>0.1</v>
      </c>
      <c r="F110" s="2855">
        <v>15</v>
      </c>
    </row>
    <row r="111" spans="1:6" ht="24">
      <c r="A111" s="2855">
        <v>39</v>
      </c>
      <c r="B111" s="3472"/>
      <c r="C111" s="2855" t="s">
        <v>2727</v>
      </c>
      <c r="D111" s="2829" t="s">
        <v>2728</v>
      </c>
      <c r="E111" s="2855">
        <v>0.1</v>
      </c>
      <c r="F111" s="2855">
        <v>15</v>
      </c>
    </row>
    <row r="112" spans="1:6" ht="24">
      <c r="A112" s="2855">
        <v>40</v>
      </c>
      <c r="B112" s="3481"/>
      <c r="C112" s="2855" t="s">
        <v>2729</v>
      </c>
      <c r="D112" s="2829" t="s">
        <v>2730</v>
      </c>
      <c r="E112" s="2855">
        <v>0.1</v>
      </c>
      <c r="F112" s="2855">
        <v>15</v>
      </c>
    </row>
    <row r="113" spans="1:6" ht="13.5">
      <c r="A113" s="2855">
        <v>41</v>
      </c>
      <c r="B113" s="3482" t="s">
        <v>2731</v>
      </c>
      <c r="C113" s="2855" t="s">
        <v>2732</v>
      </c>
      <c r="D113" s="2829" t="s">
        <v>2733</v>
      </c>
      <c r="E113" s="2855">
        <v>0.1</v>
      </c>
      <c r="F113" s="2855">
        <v>15</v>
      </c>
    </row>
    <row r="114" spans="1:6" ht="13.5">
      <c r="A114" s="2855">
        <v>42</v>
      </c>
      <c r="B114" s="3482"/>
      <c r="C114" s="2855" t="s">
        <v>2734</v>
      </c>
      <c r="D114" s="2829" t="s">
        <v>2735</v>
      </c>
      <c r="E114" s="2855">
        <v>0.1</v>
      </c>
      <c r="F114" s="2855">
        <v>15</v>
      </c>
    </row>
    <row r="115" spans="1:6" ht="24">
      <c r="A115" s="2855">
        <v>43</v>
      </c>
      <c r="B115" s="3482"/>
      <c r="C115" s="2855" t="s">
        <v>2736</v>
      </c>
      <c r="D115" s="2829" t="s">
        <v>2737</v>
      </c>
      <c r="E115" s="2855">
        <v>0.1</v>
      </c>
      <c r="F115" s="2855">
        <v>15</v>
      </c>
    </row>
    <row r="116" spans="1:6" ht="13.5">
      <c r="A116" s="2855">
        <v>44</v>
      </c>
      <c r="B116" s="3477" t="s">
        <v>2738</v>
      </c>
      <c r="C116" s="2855" t="s">
        <v>2739</v>
      </c>
      <c r="D116" s="2829" t="s">
        <v>2740</v>
      </c>
      <c r="E116" s="2855">
        <v>0.1</v>
      </c>
      <c r="F116" s="2855">
        <v>15</v>
      </c>
    </row>
    <row r="117" spans="1:6" ht="24">
      <c r="A117" s="2855">
        <v>45</v>
      </c>
      <c r="B117" s="3481"/>
      <c r="C117" s="2829" t="s">
        <v>2741</v>
      </c>
      <c r="D117" s="2829" t="s">
        <v>2742</v>
      </c>
      <c r="E117" s="2855">
        <v>0.1</v>
      </c>
      <c r="F117" s="2855">
        <v>15</v>
      </c>
    </row>
    <row r="118" spans="1:6" ht="24">
      <c r="A118" s="2855">
        <v>46</v>
      </c>
      <c r="B118" s="3477" t="s">
        <v>2743</v>
      </c>
      <c r="C118" s="2855" t="s">
        <v>2744</v>
      </c>
      <c r="D118" s="2829" t="s">
        <v>2745</v>
      </c>
      <c r="E118" s="2855">
        <v>0.1</v>
      </c>
      <c r="F118" s="2855">
        <v>15</v>
      </c>
    </row>
    <row r="119" spans="1:6" ht="24">
      <c r="A119" s="2855">
        <v>47</v>
      </c>
      <c r="B119" s="3481"/>
      <c r="C119" s="2855" t="s">
        <v>2746</v>
      </c>
      <c r="D119" s="2829" t="s">
        <v>2747</v>
      </c>
      <c r="E119" s="2855">
        <v>0.1</v>
      </c>
      <c r="F119" s="2855">
        <v>15</v>
      </c>
    </row>
    <row r="120" spans="1:6" ht="13.5">
      <c r="A120" s="2855">
        <v>48</v>
      </c>
      <c r="B120" s="3477" t="s">
        <v>2748</v>
      </c>
      <c r="C120" s="2855" t="s">
        <v>2749</v>
      </c>
      <c r="D120" s="2829" t="s">
        <v>2750</v>
      </c>
      <c r="E120" s="2855">
        <v>0.1</v>
      </c>
      <c r="F120" s="2855">
        <v>15</v>
      </c>
    </row>
    <row r="121" spans="1:6" ht="13.5">
      <c r="A121" s="2855">
        <v>49</v>
      </c>
      <c r="B121" s="3481"/>
      <c r="C121" s="2855" t="s">
        <v>2751</v>
      </c>
      <c r="D121" s="2829" t="s">
        <v>2752</v>
      </c>
      <c r="E121" s="2855">
        <v>0.1</v>
      </c>
      <c r="F121" s="2855">
        <v>15</v>
      </c>
    </row>
    <row r="122" spans="1:6" ht="24">
      <c r="A122" s="2855">
        <v>50</v>
      </c>
      <c r="B122" s="3482" t="s">
        <v>2753</v>
      </c>
      <c r="C122" s="2855" t="s">
        <v>2754</v>
      </c>
      <c r="D122" s="2829" t="s">
        <v>2755</v>
      </c>
      <c r="E122" s="2855">
        <v>0.1</v>
      </c>
      <c r="F122" s="2855">
        <v>15</v>
      </c>
    </row>
    <row r="123" spans="1:6" ht="24">
      <c r="A123" s="2855">
        <v>51</v>
      </c>
      <c r="B123" s="3482"/>
      <c r="C123" s="2855" t="s">
        <v>2756</v>
      </c>
      <c r="D123" s="2829" t="s">
        <v>2757</v>
      </c>
      <c r="E123" s="2855">
        <v>0.1</v>
      </c>
      <c r="F123" s="2855">
        <v>15</v>
      </c>
    </row>
    <row r="124" spans="1:6" ht="24">
      <c r="A124" s="2855">
        <v>52</v>
      </c>
      <c r="B124" s="3482" t="s">
        <v>2758</v>
      </c>
      <c r="C124" s="2855" t="s">
        <v>2759</v>
      </c>
      <c r="D124" s="2829" t="s">
        <v>2760</v>
      </c>
      <c r="E124" s="2855">
        <v>0.1</v>
      </c>
      <c r="F124" s="2855">
        <v>15</v>
      </c>
    </row>
    <row r="125" spans="1:6" ht="24">
      <c r="A125" s="2855">
        <v>53</v>
      </c>
      <c r="B125" s="3482"/>
      <c r="C125" s="2855" t="s">
        <v>2761</v>
      </c>
      <c r="D125" s="2829" t="s">
        <v>2762</v>
      </c>
      <c r="E125" s="2855">
        <v>0.1</v>
      </c>
      <c r="F125" s="2855">
        <v>15</v>
      </c>
    </row>
    <row r="126" spans="1:6" ht="13.5">
      <c r="A126" s="2855">
        <v>54</v>
      </c>
      <c r="B126" s="2855" t="s">
        <v>2763</v>
      </c>
      <c r="C126" s="2855" t="s">
        <v>2764</v>
      </c>
      <c r="D126" s="2829" t="s">
        <v>2765</v>
      </c>
      <c r="E126" s="2855">
        <v>0.1</v>
      </c>
      <c r="F126" s="2855">
        <v>15</v>
      </c>
    </row>
    <row r="127" spans="1:6" ht="13.5">
      <c r="A127" s="2855">
        <v>55</v>
      </c>
      <c r="B127" s="3482" t="s">
        <v>2766</v>
      </c>
      <c r="C127" s="2855" t="s">
        <v>2767</v>
      </c>
      <c r="D127" s="2829" t="s">
        <v>2768</v>
      </c>
      <c r="E127" s="2855">
        <v>0.1</v>
      </c>
      <c r="F127" s="2855">
        <v>15</v>
      </c>
    </row>
    <row r="128" spans="1:6" ht="13.5">
      <c r="A128" s="2855">
        <v>56</v>
      </c>
      <c r="B128" s="3482"/>
      <c r="C128" s="2855" t="s">
        <v>2769</v>
      </c>
      <c r="D128" s="2829" t="s">
        <v>2770</v>
      </c>
      <c r="E128" s="2855">
        <v>0.1</v>
      </c>
      <c r="F128" s="2855">
        <v>15</v>
      </c>
    </row>
    <row r="129" spans="1:6" ht="24">
      <c r="A129" s="2855">
        <v>57</v>
      </c>
      <c r="B129" s="3482"/>
      <c r="C129" s="2855" t="s">
        <v>2771</v>
      </c>
      <c r="D129" s="2829" t="s">
        <v>2772</v>
      </c>
      <c r="E129" s="2855">
        <v>0.1</v>
      </c>
      <c r="F129" s="2855">
        <v>15</v>
      </c>
    </row>
    <row r="130" spans="1:6" ht="24">
      <c r="A130" s="2855">
        <v>58</v>
      </c>
      <c r="B130" s="3482" t="s">
        <v>2773</v>
      </c>
      <c r="C130" s="2855" t="s">
        <v>2774</v>
      </c>
      <c r="D130" s="2829" t="s">
        <v>2775</v>
      </c>
      <c r="E130" s="2855">
        <v>0.1</v>
      </c>
      <c r="F130" s="2855">
        <v>15</v>
      </c>
    </row>
    <row r="131" spans="1:6" ht="13.5">
      <c r="A131" s="2855">
        <v>59</v>
      </c>
      <c r="B131" s="3482"/>
      <c r="C131" s="2855" t="s">
        <v>2776</v>
      </c>
      <c r="D131" s="2829" t="s">
        <v>2777</v>
      </c>
      <c r="E131" s="2855">
        <v>0.1</v>
      </c>
      <c r="F131" s="2855">
        <v>15</v>
      </c>
    </row>
    <row r="132" spans="1:6" ht="13.5">
      <c r="A132" s="2855">
        <v>60</v>
      </c>
      <c r="B132" s="3477" t="s">
        <v>2778</v>
      </c>
      <c r="C132" s="2855" t="s">
        <v>2779</v>
      </c>
      <c r="D132" s="2829" t="s">
        <v>2780</v>
      </c>
      <c r="E132" s="2855">
        <v>0.1</v>
      </c>
      <c r="F132" s="2855">
        <v>15</v>
      </c>
    </row>
    <row r="133" spans="1:6" ht="13.5">
      <c r="A133" s="2855">
        <v>61</v>
      </c>
      <c r="B133" s="3481"/>
      <c r="C133" s="2855" t="s">
        <v>2781</v>
      </c>
      <c r="D133" s="2829" t="s">
        <v>2782</v>
      </c>
      <c r="E133" s="2855">
        <v>0.1</v>
      </c>
      <c r="F133" s="2855">
        <v>15</v>
      </c>
    </row>
    <row r="134" spans="1:6" ht="24">
      <c r="A134" s="2855">
        <v>62</v>
      </c>
      <c r="B134" s="2855" t="s">
        <v>2783</v>
      </c>
      <c r="C134" s="2855" t="s">
        <v>2784</v>
      </c>
      <c r="D134" s="2829" t="s">
        <v>2785</v>
      </c>
      <c r="E134" s="2855">
        <v>0.1</v>
      </c>
      <c r="F134" s="2855">
        <v>15</v>
      </c>
    </row>
    <row r="135" spans="1:6" ht="13.5">
      <c r="A135" s="2855">
        <v>63</v>
      </c>
      <c r="B135" s="3482" t="s">
        <v>2786</v>
      </c>
      <c r="C135" s="2855" t="s">
        <v>2787</v>
      </c>
      <c r="D135" s="2829" t="s">
        <v>2788</v>
      </c>
      <c r="E135" s="2855">
        <v>0.1</v>
      </c>
      <c r="F135" s="2855">
        <v>15</v>
      </c>
    </row>
    <row r="136" spans="1:6" ht="13.5">
      <c r="A136" s="2855">
        <v>64</v>
      </c>
      <c r="B136" s="3482"/>
      <c r="C136" s="2855" t="s">
        <v>2789</v>
      </c>
      <c r="D136" s="2829" t="s">
        <v>2790</v>
      </c>
      <c r="E136" s="2855">
        <v>0.1</v>
      </c>
      <c r="F136" s="2855">
        <v>15</v>
      </c>
    </row>
    <row r="137" spans="1:6" ht="13.5">
      <c r="A137" s="2855">
        <v>65</v>
      </c>
      <c r="B137" s="2855" t="s">
        <v>2791</v>
      </c>
      <c r="C137" s="2855" t="s">
        <v>2792</v>
      </c>
      <c r="D137" s="2829" t="s">
        <v>2793</v>
      </c>
      <c r="E137" s="2855">
        <v>0.1</v>
      </c>
      <c r="F137" s="2855">
        <v>15</v>
      </c>
    </row>
    <row r="138" spans="1:6" ht="13.5">
      <c r="A138" s="2855"/>
      <c r="B138" s="2855"/>
      <c r="C138" s="2855"/>
      <c r="D138" s="2855"/>
      <c r="E138" s="2855" t="s">
        <v>2794</v>
      </c>
      <c r="F138" s="2855"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2795</v>
      </c>
      <c r="B1" s="2863"/>
      <c r="C1" s="2863"/>
      <c r="D1" s="2863"/>
      <c r="E1" s="2863"/>
      <c r="F1" s="2863"/>
      <c r="G1" s="2863"/>
      <c r="H1" s="2863"/>
      <c r="I1" s="2863"/>
      <c r="J1" s="2863"/>
      <c r="K1" s="2863"/>
      <c r="L1" s="2863"/>
      <c r="M1" s="2863"/>
      <c r="N1" s="707"/>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0</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0</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32692</v>
      </c>
      <c r="C2" s="2" t="s">
        <v>106</v>
      </c>
      <c r="D2" s="191"/>
      <c r="E2" s="191"/>
      <c r="F2" s="191"/>
      <c r="G2" s="191"/>
    </row>
    <row r="3" spans="1:7" s="192" customFormat="1" ht="18" customHeight="1" thickBot="1">
      <c r="A3" s="195" t="s">
        <v>58</v>
      </c>
      <c r="B3" s="196">
        <f ca="1">ROUND(B2*10000/'数据-汇总表'!E3,0)</f>
        <v>869769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375.87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v>
      </c>
      <c r="D19" s="204">
        <f>'数据-汇总表'!E3</f>
        <v>375.87</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2034</v>
      </c>
      <c r="D22" s="227">
        <f ca="1">C26</f>
        <v>1.4E-3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29</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5309</v>
      </c>
      <c r="D27" s="227">
        <f>C29</f>
        <v>7.4999999999999997E-3</v>
      </c>
      <c r="E27" s="228" t="s">
        <v>99</v>
      </c>
      <c r="F27" s="238">
        <f>'数据-取费表'!Q16</f>
        <v>0.25</v>
      </c>
      <c r="G27" s="239" t="s">
        <v>431</v>
      </c>
    </row>
    <row r="28" spans="1:7" s="206" customFormat="1" ht="13.5" customHeight="1">
      <c r="A28" s="734" t="s">
        <v>349</v>
      </c>
      <c r="B28" s="240" t="s">
        <v>424</v>
      </c>
      <c r="C28" s="241">
        <f>ROUND((C5+C19+C20)*F27*'数据-取费表'!B21/'数据-取费表'!B20,0)</f>
        <v>5309</v>
      </c>
      <c r="D28" s="227"/>
      <c r="E28" s="228"/>
      <c r="F28" s="238"/>
      <c r="G28" s="239"/>
    </row>
    <row r="29" spans="1:7" s="206" customFormat="1" ht="13.5" customHeight="1">
      <c r="A29" s="734" t="s">
        <v>347</v>
      </c>
      <c r="B29" s="240" t="s">
        <v>425</v>
      </c>
      <c r="C29" s="230">
        <f>ROUND(C21*F27*'数据-取费表'!B21/'数据-取费表'!B20,4)</f>
        <v>7.4999999999999997E-3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31484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933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752</v>
      </c>
      <c r="D34" s="209"/>
      <c r="E34" s="212"/>
      <c r="F34" s="249">
        <f>IF('数据-取费表'!B24=0,1,'数据-取费表'!N16)</f>
        <v>1</v>
      </c>
      <c r="G34" s="211" t="s">
        <v>89</v>
      </c>
    </row>
    <row r="35" spans="1:7" ht="13.5" customHeight="1">
      <c r="A35" s="734" t="s">
        <v>351</v>
      </c>
      <c r="B35" s="207" t="s">
        <v>33</v>
      </c>
      <c r="C35" s="212">
        <f>ROUND(C34*F35,0)</f>
        <v>75</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75</v>
      </c>
      <c r="D36" s="212"/>
      <c r="E36" s="212"/>
      <c r="F36" s="251">
        <f>'数据-取费表'!B34</f>
        <v>0.1</v>
      </c>
      <c r="G36" s="252" t="s">
        <v>35</v>
      </c>
    </row>
    <row r="37" spans="1:7" s="250" customFormat="1" ht="13.5" customHeight="1">
      <c r="A37" s="734" t="s">
        <v>353</v>
      </c>
      <c r="B37" s="207" t="s">
        <v>91</v>
      </c>
      <c r="C37" s="241">
        <f>ROUND(E37*D37*F34/10000,0)</f>
        <v>8</v>
      </c>
      <c r="D37" s="209">
        <f>'数据-汇总表'!E3</f>
        <v>375.87</v>
      </c>
      <c r="E37" s="241">
        <f>'数据-取费表'!B35</f>
        <v>200</v>
      </c>
      <c r="F37" s="251"/>
      <c r="G37" s="253" t="s">
        <v>92</v>
      </c>
    </row>
    <row r="38" spans="1:7" ht="13.5" customHeight="1">
      <c r="A38" s="734" t="s">
        <v>354</v>
      </c>
      <c r="B38" s="207" t="s">
        <v>36</v>
      </c>
      <c r="C38" s="212">
        <f>ROUND(C34*F38,0)</f>
        <v>23</v>
      </c>
      <c r="D38" s="212"/>
      <c r="E38" s="212"/>
      <c r="F38" s="251">
        <f>'数据-取费表'!B36</f>
        <v>0.03</v>
      </c>
      <c r="G38" s="211" t="s">
        <v>90</v>
      </c>
    </row>
    <row r="39" spans="1:7" s="206" customFormat="1" ht="13.5" customHeight="1">
      <c r="A39" s="731" t="s">
        <v>338</v>
      </c>
      <c r="B39" s="202" t="s">
        <v>77</v>
      </c>
      <c r="C39" s="224">
        <f>ROUND(C33*F20,0)</f>
        <v>28</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45</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44</v>
      </c>
      <c r="D42" s="230"/>
      <c r="E42" s="230"/>
      <c r="F42" s="231"/>
      <c r="G42" s="3346" t="s">
        <v>94</v>
      </c>
    </row>
    <row r="43" spans="1:7" ht="13.5" customHeight="1">
      <c r="A43" s="734" t="s">
        <v>347</v>
      </c>
      <c r="B43" s="207" t="s">
        <v>426</v>
      </c>
      <c r="C43" s="230">
        <f ca="1">ROUND(IF('数据-取费表'!B22&lt;=1,C39*F22*'数据-取费表'!B21/2,C39*(POWER((1+F22),'数据-取费表'!B21/2)-1)),0)</f>
        <v>1</v>
      </c>
      <c r="D43" s="230"/>
      <c r="E43" s="230"/>
      <c r="F43" s="231"/>
      <c r="G43" s="3347"/>
    </row>
    <row r="44" spans="1:7" ht="13.5" customHeight="1">
      <c r="A44" s="734" t="s">
        <v>348</v>
      </c>
      <c r="B44" s="207" t="s">
        <v>428</v>
      </c>
      <c r="C44" s="230">
        <f ca="1">ROUND(IF('数据-取费表'!B22&lt;=1,C40*F22*'数据-取费表'!B21/2,C40*(POWER((1+F22),'数据-取费表'!B21/2)-1)),4)</f>
        <v>1.4E-3</v>
      </c>
      <c r="D44" s="230"/>
      <c r="E44" s="230"/>
      <c r="F44" s="231"/>
      <c r="G44" s="3348"/>
    </row>
    <row r="45" spans="1:7" s="206" customFormat="1" ht="13.5" customHeight="1">
      <c r="A45" s="731" t="s">
        <v>341</v>
      </c>
      <c r="B45" s="236" t="s">
        <v>85</v>
      </c>
      <c r="C45" s="237">
        <f>C46</f>
        <v>240</v>
      </c>
      <c r="D45" s="227">
        <f>C47</f>
        <v>7.4999999999999997E-3</v>
      </c>
      <c r="E45" s="228" t="s">
        <v>102</v>
      </c>
      <c r="F45" s="238"/>
      <c r="G45" s="239" t="s">
        <v>434</v>
      </c>
    </row>
    <row r="46" spans="1:7" s="206" customFormat="1" ht="13.5" customHeight="1">
      <c r="A46" s="734" t="s">
        <v>349</v>
      </c>
      <c r="B46" s="240" t="s">
        <v>427</v>
      </c>
      <c r="C46" s="241">
        <f>ROUND((C33+C39)*F27,0)</f>
        <v>240</v>
      </c>
      <c r="D46" s="255"/>
      <c r="E46" s="228"/>
      <c r="F46" s="238"/>
      <c r="G46" s="239"/>
    </row>
    <row r="47" spans="1:7" s="206" customFormat="1" ht="13.5" customHeight="1">
      <c r="A47" s="734" t="s">
        <v>347</v>
      </c>
      <c r="B47" s="240" t="s">
        <v>429</v>
      </c>
      <c r="C47" s="230">
        <f>ROUND(C40*F27,4)</f>
        <v>7.4999999999999997E-3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1373</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1208</v>
      </c>
      <c r="D51" s="224"/>
      <c r="E51" s="224"/>
      <c r="F51" s="256"/>
      <c r="G51" s="226" t="s">
        <v>37</v>
      </c>
    </row>
    <row r="52" spans="1:7" s="200" customFormat="1" ht="16.5" thickBot="1">
      <c r="A52" s="257" t="s">
        <v>38</v>
      </c>
      <c r="B52" s="258"/>
      <c r="C52" s="259">
        <f ca="1">C31+C51</f>
        <v>32692</v>
      </c>
      <c r="D52" s="258"/>
      <c r="E52" s="258"/>
      <c r="F52" s="258"/>
      <c r="G52" s="260"/>
    </row>
    <row r="55" spans="1:7" ht="15">
      <c r="B55" s="262" t="s">
        <v>39</v>
      </c>
      <c r="C55" s="263"/>
    </row>
    <row r="56" spans="1:7">
      <c r="B56" s="265" t="s">
        <v>40</v>
      </c>
      <c r="C56" s="266">
        <f ca="1">ROUND(C51/C52,3)</f>
        <v>3.6999999999999998E-2</v>
      </c>
    </row>
    <row r="57" spans="1:7">
      <c r="B57" s="265" t="s">
        <v>41</v>
      </c>
      <c r="C57" s="267">
        <f ca="1">1-C56</f>
        <v>0.96299999999999997</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85" t="s">
        <v>2836</v>
      </c>
      <c r="B1" s="3485"/>
      <c r="C1" s="3485"/>
      <c r="D1" s="3485"/>
      <c r="E1" s="3485"/>
      <c r="F1" s="3485"/>
      <c r="G1" s="3486"/>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2"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483"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2" thickBot="1">
      <c r="A4" s="3484"/>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2"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2"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2"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2"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87" t="s">
        <v>3178</v>
      </c>
      <c r="B1" s="3487"/>
    </row>
    <row r="2" spans="1:7" ht="14.25" thickBot="1">
      <c r="A2" s="2966"/>
      <c r="B2" s="2966"/>
    </row>
    <row r="3" spans="1:7" ht="14.25" thickBot="1">
      <c r="A3" s="2966"/>
      <c r="B3" s="2966"/>
      <c r="C3" s="2967" t="s">
        <v>2808</v>
      </c>
      <c r="D3" s="2967" t="s">
        <v>2864</v>
      </c>
      <c r="E3" s="2967" t="s">
        <v>2810</v>
      </c>
      <c r="F3" s="2967" t="s">
        <v>2865</v>
      </c>
      <c r="G3" s="2967" t="s">
        <v>2628</v>
      </c>
    </row>
    <row r="4" spans="1:7" ht="14.2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4.2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4.2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4.2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4.2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4.2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4.2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4.2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4.2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4.2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4.2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1"/>
  </cols>
  <sheetData>
    <row r="1" spans="1:6">
      <c r="A1" s="3488" t="s">
        <v>3229</v>
      </c>
      <c r="B1" s="3488"/>
      <c r="C1" s="3488"/>
      <c r="D1" s="3488"/>
      <c r="E1" s="3488"/>
      <c r="F1" s="3489"/>
    </row>
    <row r="2" spans="1:6">
      <c r="A2" s="3000" t="s">
        <v>3230</v>
      </c>
    </row>
    <row r="3" spans="1:6">
      <c r="A3" s="3000" t="s">
        <v>3231</v>
      </c>
      <c r="F3" s="3001" t="s">
        <v>3232</v>
      </c>
    </row>
    <row r="4" spans="1:6">
      <c r="A4" s="3002" t="s">
        <v>672</v>
      </c>
      <c r="B4" s="3002" t="s">
        <v>673</v>
      </c>
      <c r="C4" s="3002" t="s">
        <v>21</v>
      </c>
      <c r="D4" s="3002" t="s">
        <v>674</v>
      </c>
      <c r="E4" s="3002" t="s">
        <v>3</v>
      </c>
      <c r="F4" s="3002" t="s">
        <v>3233</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G8" sqref="G8:G9"/>
    </sheetView>
  </sheetViews>
  <sheetFormatPr defaultRowHeight="13.5"/>
  <cols>
    <col min="1" max="1" width="13.875" customWidth="1"/>
    <col min="11" max="17" width="0" hidden="1" customWidth="1"/>
    <col min="25" max="30" width="0" hidden="1" customWidth="1"/>
  </cols>
  <sheetData>
    <row r="1" spans="1:30">
      <c r="A1" s="2935">
        <f>基准地价修正!G23</f>
        <v>45622</v>
      </c>
      <c r="B1" s="2927" t="s">
        <v>3379</v>
      </c>
      <c r="C1" s="2928"/>
      <c r="D1" s="2928"/>
      <c r="E1" s="2928"/>
      <c r="F1" s="2928"/>
      <c r="G1" s="2928"/>
      <c r="H1" s="2928"/>
      <c r="I1" s="2928"/>
      <c r="J1" s="2894"/>
      <c r="K1" s="2928" t="s">
        <v>454</v>
      </c>
      <c r="L1" s="2928"/>
      <c r="M1" s="2928"/>
      <c r="N1" s="2928"/>
      <c r="O1" s="2928"/>
      <c r="P1" s="2928"/>
      <c r="Q1" s="2894"/>
      <c r="R1" s="3490" t="s">
        <v>456</v>
      </c>
      <c r="S1" s="3491"/>
      <c r="T1" s="3491"/>
      <c r="U1" s="3491"/>
      <c r="V1" s="3491"/>
      <c r="W1" s="3491"/>
      <c r="X1" s="2894"/>
      <c r="Y1" s="3490" t="s">
        <v>457</v>
      </c>
      <c r="Z1" s="3491"/>
      <c r="AA1" s="3491"/>
      <c r="AB1" s="3491"/>
      <c r="AC1" s="3491"/>
      <c r="AD1" s="3491"/>
    </row>
    <row r="2" spans="1:30" s="2009" customFormat="1" ht="14.25" thickBot="1">
      <c r="B2" s="2879"/>
      <c r="C2" s="2880"/>
      <c r="D2" s="2010" t="s">
        <v>2807</v>
      </c>
      <c r="E2" s="2011" t="s">
        <v>2808</v>
      </c>
      <c r="F2" s="2011" t="s">
        <v>2809</v>
      </c>
      <c r="G2" s="2011" t="s">
        <v>2810</v>
      </c>
      <c r="H2" s="2011" t="s">
        <v>2811</v>
      </c>
      <c r="I2" s="2011" t="s">
        <v>2628</v>
      </c>
      <c r="J2" s="2881"/>
      <c r="K2" s="2010" t="s">
        <v>2807</v>
      </c>
      <c r="L2" s="2011" t="s">
        <v>2808</v>
      </c>
      <c r="M2" s="2011" t="s">
        <v>2809</v>
      </c>
      <c r="N2" s="2011" t="s">
        <v>2810</v>
      </c>
      <c r="O2" s="2011" t="s">
        <v>2812</v>
      </c>
      <c r="P2" s="2011" t="s">
        <v>2628</v>
      </c>
      <c r="Q2" s="2881"/>
      <c r="R2" s="2010" t="s">
        <v>2807</v>
      </c>
      <c r="S2" s="2011" t="s">
        <v>2808</v>
      </c>
      <c r="T2" s="2011" t="s">
        <v>2809</v>
      </c>
      <c r="U2" s="2011" t="s">
        <v>2813</v>
      </c>
      <c r="V2" s="2011" t="s">
        <v>2814</v>
      </c>
      <c r="W2" s="2011" t="s">
        <v>2628</v>
      </c>
      <c r="X2" s="2881"/>
      <c r="Y2" s="2010" t="s">
        <v>2807</v>
      </c>
      <c r="Z2" s="2011" t="s">
        <v>2808</v>
      </c>
      <c r="AA2" s="2011" t="s">
        <v>2809</v>
      </c>
      <c r="AB2" s="2011" t="s">
        <v>2815</v>
      </c>
      <c r="AC2" s="2011" t="s">
        <v>2814</v>
      </c>
      <c r="AD2" s="2011" t="s">
        <v>2628</v>
      </c>
    </row>
    <row r="3" spans="1:30" s="2884" customFormat="1" ht="12.75">
      <c r="A3" s="2882" t="s">
        <v>2816</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3375</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2.75">
      <c r="A6" s="2905" t="s">
        <v>3384</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2.75">
      <c r="A7" s="2039" t="s">
        <v>3383</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3" t="s">
        <v>3376</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3" t="s">
        <v>3372</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2.75">
      <c r="A10" s="2903" t="s">
        <v>3368</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2.75">
      <c r="A11" s="2903" t="s">
        <v>3367</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2.75">
      <c r="A12" s="2903" t="s">
        <v>3365</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2.75">
      <c r="A13" s="2903" t="s">
        <v>3364</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2.75">
      <c r="A14" s="2903" t="s">
        <v>3363</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3" t="s">
        <v>3361</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3" t="s">
        <v>3352</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3" t="s">
        <v>2817</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3" t="s">
        <v>2818</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3" t="s">
        <v>2819</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3" t="s">
        <v>2820</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thickBot="1">
      <c r="A21" s="2916" t="s">
        <v>2821</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3382</v>
      </c>
    </row>
    <row r="24" spans="1:30">
      <c r="I24" s="1404" t="s">
        <v>2822</v>
      </c>
    </row>
    <row r="26" spans="1:30" s="2008" customFormat="1" ht="12.75">
      <c r="B26" s="2927" t="s">
        <v>3380</v>
      </c>
      <c r="C26" s="2928"/>
      <c r="D26" s="2928"/>
      <c r="E26" s="2928"/>
      <c r="F26" s="2928"/>
      <c r="G26" s="2928"/>
      <c r="H26" s="2928"/>
      <c r="I26" s="2928"/>
      <c r="J26" s="2894"/>
      <c r="K26" s="2928" t="s">
        <v>2823</v>
      </c>
      <c r="L26" s="2928"/>
      <c r="M26" s="2928"/>
      <c r="N26" s="2928"/>
      <c r="O26" s="2928"/>
      <c r="P26" s="2928"/>
      <c r="Q26" s="2894"/>
      <c r="R26" s="3490" t="s">
        <v>2824</v>
      </c>
      <c r="S26" s="3491"/>
      <c r="T26" s="3491"/>
      <c r="U26" s="3491"/>
      <c r="V26" s="3491"/>
      <c r="W26" s="3491"/>
      <c r="X26" s="2894"/>
      <c r="Y26" s="3490" t="s">
        <v>2825</v>
      </c>
      <c r="Z26" s="3491"/>
      <c r="AA26" s="3491"/>
      <c r="AB26" s="3491"/>
      <c r="AC26" s="3491"/>
      <c r="AD26" s="3491"/>
    </row>
    <row r="27" spans="1:30" s="2009" customFormat="1" ht="14.25" thickBot="1">
      <c r="B27" s="2879"/>
      <c r="C27" s="2880"/>
      <c r="D27" s="2010" t="s">
        <v>2826</v>
      </c>
      <c r="E27" s="2011" t="s">
        <v>2827</v>
      </c>
      <c r="F27" s="2011" t="s">
        <v>2828</v>
      </c>
      <c r="G27" s="2011" t="s">
        <v>2829</v>
      </c>
      <c r="H27" s="2011"/>
      <c r="I27" s="2011" t="s">
        <v>2830</v>
      </c>
      <c r="J27" s="2881"/>
      <c r="K27" s="2010" t="s">
        <v>2826</v>
      </c>
      <c r="L27" s="2011" t="s">
        <v>2827</v>
      </c>
      <c r="M27" s="2011" t="s">
        <v>2828</v>
      </c>
      <c r="N27" s="2011" t="s">
        <v>2829</v>
      </c>
      <c r="O27" s="2011"/>
      <c r="P27" s="2011" t="s">
        <v>2830</v>
      </c>
      <c r="Q27" s="2881"/>
      <c r="R27" s="2010" t="s">
        <v>2826</v>
      </c>
      <c r="S27" s="2011" t="s">
        <v>2827</v>
      </c>
      <c r="T27" s="2011" t="s">
        <v>2828</v>
      </c>
      <c r="U27" s="2011" t="s">
        <v>2829</v>
      </c>
      <c r="V27" s="2011"/>
      <c r="W27" s="2011" t="s">
        <v>2830</v>
      </c>
      <c r="X27" s="2881"/>
      <c r="Y27" s="2010" t="s">
        <v>2826</v>
      </c>
      <c r="Z27" s="2011" t="s">
        <v>2827</v>
      </c>
      <c r="AA27" s="2011" t="s">
        <v>2828</v>
      </c>
      <c r="AB27" s="2011" t="s">
        <v>2829</v>
      </c>
      <c r="AC27" s="2011"/>
      <c r="AD27" s="2011" t="s">
        <v>2830</v>
      </c>
    </row>
    <row r="28" spans="1:30" s="2884" customFormat="1" ht="12.75">
      <c r="A28" s="2882" t="s">
        <v>2831</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2.75">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2.75">
      <c r="A30" s="2039" t="s">
        <v>3375</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2.75">
      <c r="A31" s="2905" t="s">
        <v>3377</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2.75">
      <c r="A32" s="2039" t="s">
        <v>3370</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2.75">
      <c r="A33" s="2903" t="s">
        <v>3378</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2.75">
      <c r="A34" s="2903" t="s">
        <v>3371</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2.75">
      <c r="A35" s="2903" t="s">
        <v>3369</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2.75">
      <c r="A36" s="2903" t="s">
        <v>3367</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2.75">
      <c r="A37" s="2903" t="s">
        <v>3366</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2.75">
      <c r="A38" s="2903" t="s">
        <v>3364</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2.75">
      <c r="A39" s="2903" t="s">
        <v>3363</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2.75">
      <c r="A40" s="2903" t="s">
        <v>3362</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2.75">
      <c r="A41" s="2903" t="s">
        <v>3352</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2.75">
      <c r="A42" s="2903" t="s">
        <v>2832</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2.75">
      <c r="A43" s="2903" t="s">
        <v>2833</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2.75">
      <c r="A44" s="2903" t="s">
        <v>2834</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2.75">
      <c r="A45" s="2903" t="s">
        <v>2835</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thickBot="1">
      <c r="A46" s="2916" t="s">
        <v>2821</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49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45622</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2307</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5" t="str">
        <f>IF(项目基本情况!B9="房地产市场价值","估价结果一览表","结果表-2")</f>
        <v>估价结果一览表</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房地产市场价值</v>
      </c>
      <c r="I2" s="3176"/>
    </row>
    <row r="3" spans="1:9" ht="15">
      <c r="A3" s="3177"/>
      <c r="B3" s="3177"/>
      <c r="C3" s="3177"/>
      <c r="D3" s="801" t="s">
        <v>925</v>
      </c>
      <c r="E3" s="801" t="s">
        <v>931</v>
      </c>
      <c r="F3" s="801" t="s">
        <v>925</v>
      </c>
      <c r="G3" s="801" t="s">
        <v>926</v>
      </c>
      <c r="H3" s="801" t="s">
        <v>925</v>
      </c>
      <c r="I3" s="801" t="s">
        <v>926</v>
      </c>
    </row>
    <row r="4" spans="1:9" ht="15">
      <c r="A4" s="1402" t="str">
        <f>项目基本情况!S2</f>
        <v>北京市房地产</v>
      </c>
      <c r="B4" s="801">
        <f>项目基本情况!C17</f>
        <v>375.87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7" t="s">
        <v>927</v>
      </c>
      <c r="B5" s="3177"/>
      <c r="C5" s="3177"/>
      <c r="D5" s="3177" t="e">
        <f ca="1">结果表!D119</f>
        <v>#REF!</v>
      </c>
      <c r="E5" s="3177"/>
      <c r="F5" s="3177" t="e">
        <f ca="1">结果表!F119</f>
        <v>#REF!</v>
      </c>
      <c r="G5" s="3177"/>
      <c r="H5" s="3177" t="e">
        <f ca="1">结果表!H119</f>
        <v>#REF!</v>
      </c>
      <c r="I5" s="3177"/>
    </row>
    <row r="6" spans="1:9" ht="15.75">
      <c r="A6" s="3178" t="str">
        <f>结果表!A120</f>
        <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75">
      <c r="A8" s="3178" t="str">
        <f>结果表!A122</f>
        <v/>
      </c>
      <c r="B8" s="3178"/>
      <c r="C8" s="3178"/>
      <c r="D8" s="3178" t="e">
        <f ca="1">结果表!D122</f>
        <v>#REF!</v>
      </c>
      <c r="E8" s="3178"/>
      <c r="F8" s="3178"/>
      <c r="G8" s="3178"/>
      <c r="H8" s="3178"/>
      <c r="I8" s="3178"/>
    </row>
    <row r="9" spans="1:9" ht="15">
      <c r="A9" s="3177" t="s">
        <v>927</v>
      </c>
      <c r="B9" s="3177"/>
      <c r="C9" s="3177"/>
      <c r="D9" s="3177" t="e">
        <f ca="1">结果表!D123</f>
        <v>#REF!</v>
      </c>
      <c r="E9" s="3177"/>
      <c r="F9" s="3177"/>
      <c r="G9" s="3177"/>
      <c r="H9" s="3177"/>
      <c r="I9" s="3177"/>
    </row>
    <row r="10" spans="1:9" ht="15.75">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75">
      <c r="A12" s="3178" t="str">
        <f>结果表!A126</f>
        <v/>
      </c>
      <c r="B12" s="3178"/>
      <c r="C12" s="3178"/>
      <c r="D12" s="3178" t="str">
        <f>结果表!D126</f>
        <v>——</v>
      </c>
      <c r="E12" s="3178"/>
      <c r="F12" s="3178"/>
      <c r="G12" s="3178"/>
      <c r="H12" s="3178"/>
      <c r="I12" s="3178"/>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U3"/>
  <sheetViews>
    <sheetView workbookViewId="0">
      <selection activeCell="C3" sqref="C3"/>
    </sheetView>
  </sheetViews>
  <sheetFormatPr defaultColWidth="8.875" defaultRowHeight="14.25"/>
  <cols>
    <col min="1" max="54" width="22.25" style="3143" customWidth="1"/>
    <col min="55" max="16384" width="8.875" style="3143"/>
  </cols>
  <sheetData>
    <row r="1" spans="1:21">
      <c r="A1" s="3502" t="s">
        <v>3489</v>
      </c>
      <c r="B1" s="3501">
        <v>45566.333831018521</v>
      </c>
      <c r="C1" s="3502"/>
      <c r="D1" s="3501">
        <v>45536.333831018521</v>
      </c>
      <c r="E1" s="3502"/>
      <c r="F1" s="3501">
        <v>45505.333831018521</v>
      </c>
      <c r="G1" s="3502"/>
      <c r="H1" s="3501">
        <v>45474.333831018521</v>
      </c>
      <c r="I1" s="3502"/>
      <c r="J1" s="3501">
        <v>45444.333831018521</v>
      </c>
      <c r="K1" s="3502"/>
      <c r="L1" s="3501">
        <v>45413.333831018521</v>
      </c>
      <c r="M1" s="3502"/>
      <c r="N1" s="3501">
        <v>45383.333831018521</v>
      </c>
      <c r="O1" s="3502"/>
      <c r="P1" s="3501">
        <v>45352.333831018521</v>
      </c>
      <c r="Q1" s="3502"/>
      <c r="R1" s="3501">
        <v>45323.333831018521</v>
      </c>
      <c r="S1" s="3502"/>
      <c r="T1" s="3501">
        <v>45292.333831018521</v>
      </c>
      <c r="U1" s="3502"/>
    </row>
    <row r="2" spans="1:21">
      <c r="A2" s="3502"/>
      <c r="B2" s="3143" t="s">
        <v>3490</v>
      </c>
      <c r="C2" s="3143" t="s">
        <v>3491</v>
      </c>
      <c r="D2" s="3143" t="s">
        <v>3490</v>
      </c>
      <c r="E2" s="3143" t="s">
        <v>3491</v>
      </c>
      <c r="F2" s="3143" t="s">
        <v>3490</v>
      </c>
      <c r="G2" s="3143" t="s">
        <v>3491</v>
      </c>
      <c r="H2" s="3143" t="s">
        <v>3490</v>
      </c>
      <c r="I2" s="3143" t="s">
        <v>3491</v>
      </c>
      <c r="J2" s="3143" t="s">
        <v>3490</v>
      </c>
      <c r="K2" s="3143" t="s">
        <v>3491</v>
      </c>
      <c r="L2" s="3143" t="s">
        <v>3490</v>
      </c>
      <c r="M2" s="3143" t="s">
        <v>3491</v>
      </c>
      <c r="N2" s="3143" t="s">
        <v>3490</v>
      </c>
      <c r="O2" s="3143" t="s">
        <v>3491</v>
      </c>
      <c r="P2" s="3143" t="s">
        <v>3490</v>
      </c>
      <c r="Q2" s="3143" t="s">
        <v>3491</v>
      </c>
      <c r="R2" s="3143" t="s">
        <v>3490</v>
      </c>
      <c r="S2" s="3143" t="s">
        <v>3491</v>
      </c>
      <c r="T2" s="3143" t="s">
        <v>3490</v>
      </c>
      <c r="U2" s="3143" t="s">
        <v>3491</v>
      </c>
    </row>
    <row r="3" spans="1:21">
      <c r="A3" s="3143" t="s">
        <v>3474</v>
      </c>
      <c r="B3" s="3143">
        <v>268.49</v>
      </c>
      <c r="C3" s="3143">
        <v>127676</v>
      </c>
      <c r="D3" s="3143">
        <v>269.99</v>
      </c>
      <c r="E3" s="3143">
        <v>130257</v>
      </c>
      <c r="F3" s="3143">
        <v>268.35000000000002</v>
      </c>
      <c r="G3" s="3143">
        <v>130770</v>
      </c>
      <c r="H3" s="3143">
        <v>271.02999999999997</v>
      </c>
      <c r="I3" s="3143">
        <v>130724</v>
      </c>
      <c r="J3" s="3143">
        <v>265.51</v>
      </c>
      <c r="K3" s="3143">
        <v>136732</v>
      </c>
      <c r="L3" s="3143">
        <v>259.45</v>
      </c>
      <c r="M3" s="3143">
        <v>137086</v>
      </c>
      <c r="N3" s="3143">
        <v>257.37</v>
      </c>
      <c r="O3" s="3143">
        <v>139609</v>
      </c>
      <c r="P3" s="3143">
        <v>254.47</v>
      </c>
      <c r="Q3" s="3143">
        <v>140161</v>
      </c>
      <c r="R3" s="3143">
        <v>253.33</v>
      </c>
      <c r="S3" s="3143">
        <v>139869</v>
      </c>
      <c r="T3" s="3143">
        <v>250.28</v>
      </c>
      <c r="U3" s="3143">
        <v>139452</v>
      </c>
    </row>
  </sheetData>
  <mergeCells count="11">
    <mergeCell ref="J1:K1"/>
    <mergeCell ref="A1:A2"/>
    <mergeCell ref="B1:C1"/>
    <mergeCell ref="D1:E1"/>
    <mergeCell ref="F1:G1"/>
    <mergeCell ref="H1:I1"/>
    <mergeCell ref="L1:M1"/>
    <mergeCell ref="N1:O1"/>
    <mergeCell ref="P1:Q1"/>
    <mergeCell ref="R1:S1"/>
    <mergeCell ref="T1:U1"/>
  </mergeCells>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5" t="s">
        <v>939</v>
      </c>
      <c r="B6" s="3185"/>
      <c r="C6" s="3185"/>
      <c r="D6" s="318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6"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8"/>
      <c r="C12" s="3188"/>
      <c r="D12" s="3188"/>
    </row>
    <row r="13" spans="1:4" ht="30" customHeight="1">
      <c r="A13" s="3187" t="str">
        <f>IF(项目基本情况!B8="抵押","3.抵押双方在办理抵押登记手续时，应使用本公司出具的正式《房地产评估报告》，特提醒报告使用者注意。","——")</f>
        <v>——</v>
      </c>
      <c r="B13" s="3188"/>
      <c r="C13" s="3188"/>
      <c r="D13" s="3188"/>
    </row>
    <row r="14" spans="1:4" ht="15.75" customHeight="1">
      <c r="A14" s="3187" t="str">
        <f>IF(项目基本情况!B8="抵押","4.本次评估估价师所知悉的法定优先受偿款情况说明如下：","——")</f>
        <v>——</v>
      </c>
      <c r="B14" s="3188"/>
      <c r="C14" s="3188"/>
      <c r="D14" s="3188"/>
    </row>
    <row r="15" spans="1:4" ht="42" customHeight="1">
      <c r="A15" s="3187" t="str">
        <f>IF(项目基本情况!B8="抵押","（1）"&amp;CONCATENATE(项目基本情况!L20,项目基本情况!L21,项目基本情况!L22),"——")</f>
        <v>——</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C35" sqref="C35"/>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8" t="s">
        <v>956</v>
      </c>
      <c r="B15" s="3193" t="s">
        <v>109</v>
      </c>
      <c r="C15" s="3194"/>
    </row>
    <row r="16" spans="1:7" ht="13.5">
      <c r="A16" s="3199"/>
      <c r="B16" s="3193" t="s">
        <v>42</v>
      </c>
      <c r="C16" s="3194"/>
    </row>
    <row r="17" spans="1:3" ht="13.5">
      <c r="A17" s="3199"/>
      <c r="B17" s="3196" t="s">
        <v>957</v>
      </c>
      <c r="C17" s="1428" t="s">
        <v>956</v>
      </c>
    </row>
    <row r="18" spans="1:3" ht="13.5">
      <c r="A18" s="3199"/>
      <c r="B18" s="3196"/>
      <c r="C18" s="1428" t="s">
        <v>958</v>
      </c>
    </row>
    <row r="19" spans="1:3" ht="13.5">
      <c r="A19" s="3199"/>
      <c r="B19" s="3196"/>
      <c r="C19" s="1428" t="s">
        <v>959</v>
      </c>
    </row>
    <row r="20" spans="1:3" ht="13.5">
      <c r="A20" s="3200"/>
      <c r="B20" s="3195" t="s">
        <v>960</v>
      </c>
      <c r="C20" s="3194"/>
    </row>
    <row r="21" spans="1:3" ht="13.5">
      <c r="A21" s="1429" t="s">
        <v>961</v>
      </c>
      <c r="B21" s="1430"/>
      <c r="C21" s="1431"/>
    </row>
    <row r="22" spans="1:3" ht="13.5">
      <c r="A22" s="3197" t="s">
        <v>962</v>
      </c>
      <c r="B22" s="3195" t="s">
        <v>963</v>
      </c>
      <c r="C22" s="3194"/>
    </row>
    <row r="23" spans="1:3" ht="13.5">
      <c r="A23" s="3197"/>
      <c r="B23" s="3195" t="s">
        <v>964</v>
      </c>
      <c r="C23" s="3194"/>
    </row>
    <row r="24" spans="1:3" ht="13.5">
      <c r="A24" s="3197"/>
      <c r="B24" s="3195" t="s">
        <v>965</v>
      </c>
      <c r="C24" s="3194"/>
    </row>
    <row r="25" spans="1:3" ht="13.5">
      <c r="A25" s="3197"/>
      <c r="B25" s="3196" t="s">
        <v>966</v>
      </c>
      <c r="C25" s="1428" t="s">
        <v>967</v>
      </c>
    </row>
    <row r="26" spans="1:3" ht="13.5">
      <c r="A26" s="3197"/>
      <c r="B26" s="3196"/>
      <c r="C26" s="1428" t="s">
        <v>968</v>
      </c>
    </row>
    <row r="27" spans="1:3" ht="13.5">
      <c r="A27" s="3197"/>
      <c r="B27" s="3196"/>
      <c r="C27" s="1428" t="s">
        <v>969</v>
      </c>
    </row>
    <row r="28" spans="1:3" ht="13.5">
      <c r="A28" s="3197"/>
      <c r="B28" s="3196"/>
      <c r="C28" s="1428" t="s">
        <v>970</v>
      </c>
    </row>
    <row r="29" spans="1:3" ht="13.5">
      <c r="A29" s="3197"/>
      <c r="B29" s="3196"/>
      <c r="C29" s="1428" t="s">
        <v>971</v>
      </c>
    </row>
    <row r="30" spans="1:3" ht="13.5">
      <c r="A30" s="3197"/>
      <c r="B30" s="3196"/>
      <c r="C30" s="1428" t="s">
        <v>972</v>
      </c>
    </row>
    <row r="31" spans="1:3" ht="13.5">
      <c r="A31" s="3197"/>
      <c r="B31" s="3196"/>
      <c r="C31" s="1428" t="s">
        <v>973</v>
      </c>
    </row>
    <row r="32" spans="1:3" ht="13.5">
      <c r="A32" s="3197"/>
      <c r="B32" s="3196"/>
      <c r="C32" s="1428" t="s">
        <v>974</v>
      </c>
    </row>
    <row r="33" spans="1:3" ht="13.5">
      <c r="A33" s="3197"/>
      <c r="B33" s="319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45646</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1" t="s">
        <v>2158</v>
      </c>
      <c r="B17" s="3201"/>
      <c r="C17" s="3201"/>
      <c r="D17" s="3201"/>
      <c r="E17" s="3201"/>
      <c r="F17" s="3201"/>
      <c r="G17" s="3201"/>
      <c r="H17" s="3201"/>
    </row>
    <row r="18" spans="1:8" ht="24" customHeight="1">
      <c r="A18" s="3202" t="s">
        <v>2159</v>
      </c>
      <c r="B18" s="3202"/>
      <c r="C18" s="3202"/>
      <c r="D18" s="2159"/>
      <c r="E18" s="3203" t="s">
        <v>2160</v>
      </c>
      <c r="F18" s="3202"/>
      <c r="G18" s="3202"/>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cellIs" dxfId="161" priority="13" stopIfTrue="1" operator="lessThan">
      <formula>$B$2</formula>
    </cfRule>
    <cfRule type="expression" dxfId="160" priority="12">
      <formula>AND($C15-TODAY()&lt;30,TODAY()&lt;$C15)</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cellIs" dxfId="156" priority="2" stopIfTrue="1" operator="lessThan">
      <formula>$B$2</formula>
    </cfRule>
    <cfRule type="expression" dxfId="155"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比较法-住宅（新）</vt:lpstr>
      <vt:lpstr>成交建委</vt:lpstr>
      <vt:lpstr>比较法-住宅（二手）</vt:lpstr>
      <vt:lpstr>假设开发法</vt:lpstr>
      <vt:lpstr>收益法</vt:lpstr>
      <vt:lpstr>案例</vt:lpstr>
      <vt:lpstr>中指成交</vt:lpstr>
      <vt:lpstr>收益法 (元)</vt:lpstr>
      <vt:lpstr>收益法-酒店模型</vt:lpstr>
      <vt:lpstr>收益法（汇总）</vt:lpstr>
      <vt:lpstr>成本法 (元)</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vt:lpstr>
      <vt:lpstr>'比较法-办公'!Print_Area</vt:lpstr>
      <vt:lpstr>'比较法-仓储'!Print_Area</vt:lpstr>
      <vt:lpstr>'比较法-车位'!Print_Area</vt:lpstr>
      <vt:lpstr>'比较法-工业'!Print_Area</vt:lpstr>
      <vt:lpstr>'比较法-商业'!Print_Area</vt:lpstr>
      <vt:lpstr>'比较法-住宅（二手）'!Print_Area</vt:lpstr>
      <vt:lpstr>'比较法-住宅（新）'!Print_Area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'比较法-住宅（新）'!住宅朝向</vt:lpstr>
      <vt:lpstr>住宅朝向</vt:lpstr>
      <vt:lpstr>'比较法-住宅（新）'!住宅房型</vt:lpstr>
      <vt:lpstr>住宅房型</vt:lpstr>
      <vt:lpstr>'比较法-住宅（新）'!住宅公共部分装修</vt:lpstr>
      <vt:lpstr>住宅公共部分装修</vt:lpstr>
      <vt:lpstr>'比较法-住宅（新）'!住宅基础设施水平</vt:lpstr>
      <vt:lpstr>住宅基础设施水平</vt:lpstr>
      <vt:lpstr>'比较法-住宅（新）'!住宅建筑结构</vt:lpstr>
      <vt:lpstr>住宅建筑结构</vt:lpstr>
      <vt:lpstr>'比较法-住宅（新）'!住宅建筑类型</vt:lpstr>
      <vt:lpstr>住宅建筑类型</vt:lpstr>
      <vt:lpstr>'比较法-住宅（新）'!住宅建筑品质</vt:lpstr>
      <vt:lpstr>住宅建筑品质</vt:lpstr>
      <vt:lpstr>'比较法-住宅（新）'!住宅交易情况</vt:lpstr>
      <vt:lpstr>住宅交易情况</vt:lpstr>
      <vt:lpstr>'比较法-住宅（新）'!住宅楼层</vt:lpstr>
      <vt:lpstr>住宅楼层</vt:lpstr>
      <vt:lpstr>'比较法-住宅（新）'!住宅内部装修</vt:lpstr>
      <vt:lpstr>住宅内部装修</vt:lpstr>
      <vt:lpstr>'比较法-住宅（新）'!住宅物业管理</vt:lpstr>
      <vt:lpstr>住宅物业管理</vt:lpstr>
      <vt:lpstr>'比较法-住宅（新）'!住宅用途</vt:lpstr>
      <vt:lpstr>住宅用途</vt:lpstr>
      <vt:lpstr>'比较法-住宅（新）'!住宅主力户型面积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2024-12-20T05:25:35Z</dcterms:modified>
</cp:coreProperties>
</file>