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法院\2024-1-0702北京市东城区东直门外小街18号31层3110、3111\"/>
    </mc:Choice>
  </mc:AlternateContent>
  <bookViews>
    <workbookView xWindow="0" yWindow="0" windowWidth="22728" windowHeight="13128" tabRatio="899" firstSheet="11"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住宅（新）" sheetId="83" r:id="rId20"/>
    <sheet name="成交建委" sheetId="84" r:id="rId21"/>
    <sheet name="比较法-住宅（二手）" sheetId="21" r:id="rId22"/>
    <sheet name="假设开发法" sheetId="12" state="hidden" r:id="rId23"/>
    <sheet name="收益法" sheetId="15" state="hidden" r:id="rId24"/>
    <sheet name="案例" sheetId="80" r:id="rId25"/>
    <sheet name="中指成交" sheetId="81" r:id="rId26"/>
    <sheet name="收益法 (元)" sheetId="67" r:id="rId27"/>
    <sheet name="收益法-酒店模型" sheetId="77" state="hidden" r:id="rId28"/>
    <sheet name="收益法（汇总）" sheetId="70" state="hidden" r:id="rId29"/>
    <sheet name="成本法 (元)" sheetId="69"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r:id="rId38"/>
    <sheet name="基准地价（汇总）" sheetId="76" state="hidden" r:id="rId39"/>
    <sheet name="基准地价修正" sheetId="43" r:id="rId40"/>
    <sheet name="修正" sheetId="45" state="hidden" r:id="rId41"/>
    <sheet name="容积率修正" sheetId="46" state="hidden" r:id="rId42"/>
    <sheet name="成本法（废）" sheetId="11" state="hidden" r:id="rId43"/>
    <sheet name="区片价" sheetId="44" r:id="rId44"/>
    <sheet name="因素修正幅度" sheetId="65" state="hidden" r:id="rId45"/>
    <sheet name="区片价（范围）" sheetId="75" state="hidden" r:id="rId46"/>
    <sheet name="地价-分区" sheetId="79" r:id="rId47"/>
    <sheet name="地价" sheetId="71" r:id="rId48"/>
    <sheet name="存贷款利率" sheetId="73" r:id="rId49"/>
    <sheet name="租金" sheetId="82" r:id="rId50"/>
  </sheets>
  <externalReferences>
    <externalReference r:id="rId51"/>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1" hidden="1">'比较法-住宅（二手）'!$A$1:$L$49</definedName>
    <definedName name="_xlnm._FilterDatabase" localSheetId="19" hidden="1">'比较法-住宅（新）'!$A$1:$L$49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1">'比较法-住宅（二手）'!$A$1:$K$54,'比较法-住宅（二手）'!$A$57:$M$131</definedName>
    <definedName name="_xlnm.Print_Area" localSheetId="19">'比较法-住宅（新）'!$A$1:$K$54,'比较法-住宅（新）'!$A$57:$M$131</definedName>
    <definedName name="_xlnm.Print_Area" localSheetId="18">成本法!$A$1:$G$57</definedName>
    <definedName name="_xlnm.Print_Area" localSheetId="2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6">'收益法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 localSheetId="19">'比较法-住宅（新）'!$B$88:$M$88</definedName>
    <definedName name="住宅朝向">'比较法-住宅（二手）'!$B$88:$M$88</definedName>
    <definedName name="住宅房型" localSheetId="19">'比较法-住宅（新）'!$B$118:$M$118</definedName>
    <definedName name="住宅房型">'比较法-住宅（二手）'!$B$118:$M$118</definedName>
    <definedName name="住宅公共部分装修" localSheetId="19">'比较法-住宅（新）'!$B$109:$M$109</definedName>
    <definedName name="住宅公共部分装修">'比较法-住宅（二手）'!$B$109:$M$109</definedName>
    <definedName name="住宅基础设施水平" localSheetId="19">'比较法-住宅（新）'!$B$116:$M$116</definedName>
    <definedName name="住宅基础设施水平">'比较法-住宅（二手）'!$B$116:$M$116</definedName>
    <definedName name="住宅建筑结构" localSheetId="19">'比较法-住宅（新）'!$B$105:$M$105</definedName>
    <definedName name="住宅建筑结构">'比较法-住宅（二手）'!$B$105:$M$105</definedName>
    <definedName name="住宅建筑类型" localSheetId="19">'比较法-住宅（新）'!$B$100:$M$100</definedName>
    <definedName name="住宅建筑类型">'比较法-住宅（二手）'!$B$100:$M$100</definedName>
    <definedName name="住宅建筑品质" localSheetId="19">'比较法-住宅（新）'!$B$107:$M$107</definedName>
    <definedName name="住宅建筑品质">'比较法-住宅（二手）'!$B$107:$M$107</definedName>
    <definedName name="住宅交易情况" localSheetId="19">'比较法-住宅（新）'!$A$61:$M$61</definedName>
    <definedName name="住宅交易情况">'比较法-住宅（二手）'!$A$61:$M$61</definedName>
    <definedName name="住宅楼层" localSheetId="19">'比较法-住宅（新）'!$B$86:$M$86</definedName>
    <definedName name="住宅楼层">'比较法-住宅（二手）'!$B$86:$M$86</definedName>
    <definedName name="住宅内部装修" localSheetId="19">'比较法-住宅（新）'!$B$122:$M$122</definedName>
    <definedName name="住宅内部装修">'比较法-住宅（二手）'!$B$122:$M$122</definedName>
    <definedName name="住宅物业管理" localSheetId="19">'比较法-住宅（新）'!$B$114:$M$114</definedName>
    <definedName name="住宅物业管理">'比较法-住宅（二手）'!$B$114:$M$114</definedName>
    <definedName name="住宅用途" localSheetId="19">'比较法-住宅（新）'!$B$63:$M$63</definedName>
    <definedName name="住宅用途">'比较法-住宅（二手）'!$B$63:$M$63</definedName>
    <definedName name="住宅主力户型面积" localSheetId="19">'比较法-住宅（新）'!$B$120:$M$120</definedName>
    <definedName name="住宅主力户型面积">'比较法-住宅（二手）'!$B$120:$M$120</definedName>
    <definedName name="注册房地产估价师">估价师及机构信息!$A$3:$A$16</definedName>
  </definedNames>
  <calcPr calcId="152511"/>
</workbook>
</file>

<file path=xl/calcChain.xml><?xml version="1.0" encoding="utf-8"?>
<calcChain xmlns="http://schemas.openxmlformats.org/spreadsheetml/2006/main">
  <c r="N19" i="1" l="1"/>
  <c r="C25" i="43"/>
  <c r="I11" i="83"/>
  <c r="G11" i="83"/>
  <c r="E11" i="83"/>
  <c r="Y59" i="83"/>
  <c r="X59" i="83"/>
  <c r="W59" i="83"/>
  <c r="V59" i="83"/>
  <c r="U59" i="83"/>
  <c r="T59" i="83"/>
  <c r="S59" i="83"/>
  <c r="R59" i="83"/>
  <c r="Q59" i="83"/>
  <c r="P59" i="83"/>
  <c r="O59" i="83"/>
  <c r="N59" i="83"/>
  <c r="M59" i="83"/>
  <c r="L59" i="83"/>
  <c r="K59" i="83"/>
  <c r="J59" i="83"/>
  <c r="I59" i="83"/>
  <c r="H59" i="83"/>
  <c r="U23" i="31" l="1"/>
  <c r="U22" i="31"/>
  <c r="U20" i="31" l="1"/>
  <c r="B24" i="31"/>
  <c r="I37" i="83"/>
  <c r="C37" i="83"/>
  <c r="G37" i="83" s="1"/>
  <c r="I45" i="83"/>
  <c r="G45" i="83"/>
  <c r="E45" i="83"/>
  <c r="F90" i="83"/>
  <c r="E90" i="83"/>
  <c r="D90" i="83"/>
  <c r="C90" i="83"/>
  <c r="I5" i="83"/>
  <c r="G5" i="83"/>
  <c r="E5" i="83"/>
  <c r="E37" i="83" l="1"/>
  <c r="F37" i="83" s="1"/>
  <c r="S37" i="83" s="1"/>
  <c r="C145" i="83"/>
  <c r="J142" i="83"/>
  <c r="J140" i="83"/>
  <c r="K145" i="83" s="1"/>
  <c r="K139" i="83"/>
  <c r="K143" i="83" s="1"/>
  <c r="B130" i="83"/>
  <c r="B128" i="83"/>
  <c r="B126" i="83"/>
  <c r="D125" i="83"/>
  <c r="E125" i="83" s="1"/>
  <c r="F125" i="83" s="1"/>
  <c r="G125" i="83" s="1"/>
  <c r="E123" i="83"/>
  <c r="F123" i="83" s="1"/>
  <c r="G123" i="83" s="1"/>
  <c r="H123" i="83" s="1"/>
  <c r="I123" i="83" s="1"/>
  <c r="J123" i="83" s="1"/>
  <c r="K123" i="83" s="1"/>
  <c r="L123" i="83" s="1"/>
  <c r="M123" i="83" s="1"/>
  <c r="D123" i="83"/>
  <c r="D119" i="83"/>
  <c r="E119" i="83" s="1"/>
  <c r="F119" i="83" s="1"/>
  <c r="G119" i="83" s="1"/>
  <c r="H119" i="83" s="1"/>
  <c r="I119" i="83" s="1"/>
  <c r="J119" i="83" s="1"/>
  <c r="K119" i="83" s="1"/>
  <c r="L119" i="83" s="1"/>
  <c r="M119" i="83" s="1"/>
  <c r="D117" i="83"/>
  <c r="E117" i="83" s="1"/>
  <c r="F117" i="83" s="1"/>
  <c r="G117" i="83" s="1"/>
  <c r="E115" i="83"/>
  <c r="F115" i="83" s="1"/>
  <c r="G115" i="83" s="1"/>
  <c r="H115" i="83" s="1"/>
  <c r="I115" i="83" s="1"/>
  <c r="J115" i="83" s="1"/>
  <c r="K115" i="83" s="1"/>
  <c r="L115" i="83" s="1"/>
  <c r="M115" i="83" s="1"/>
  <c r="D115" i="83"/>
  <c r="D113" i="83"/>
  <c r="E113" i="83" s="1"/>
  <c r="F113" i="83" s="1"/>
  <c r="G113" i="83" s="1"/>
  <c r="H113" i="83" s="1"/>
  <c r="H111" i="83"/>
  <c r="G111" i="83"/>
  <c r="F111" i="83"/>
  <c r="E111" i="83"/>
  <c r="D111" i="83"/>
  <c r="C111" i="83"/>
  <c r="D110" i="83"/>
  <c r="E110" i="83" s="1"/>
  <c r="F110" i="83" s="1"/>
  <c r="G110" i="83" s="1"/>
  <c r="H110" i="83" s="1"/>
  <c r="I110" i="83" s="1"/>
  <c r="J110" i="83" s="1"/>
  <c r="K110" i="83" s="1"/>
  <c r="L110" i="83" s="1"/>
  <c r="M110" i="83" s="1"/>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B96" i="83"/>
  <c r="B94" i="83"/>
  <c r="B92" i="83"/>
  <c r="B90" i="83"/>
  <c r="D89" i="83"/>
  <c r="E89" i="83" s="1"/>
  <c r="F89" i="83" s="1"/>
  <c r="G89" i="83" s="1"/>
  <c r="H89" i="83" s="1"/>
  <c r="I89" i="83" s="1"/>
  <c r="M87" i="83"/>
  <c r="L87" i="83"/>
  <c r="K87" i="83"/>
  <c r="J87" i="83"/>
  <c r="I87" i="83"/>
  <c r="H87" i="83"/>
  <c r="G87" i="83"/>
  <c r="F87" i="83"/>
  <c r="E87" i="83"/>
  <c r="D87" i="83"/>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E69" i="83"/>
  <c r="F69" i="83" s="1"/>
  <c r="G69" i="83" s="1"/>
  <c r="H69" i="83" s="1"/>
  <c r="I69" i="83" s="1"/>
  <c r="J69" i="83" s="1"/>
  <c r="K69" i="83" s="1"/>
  <c r="L69" i="83" s="1"/>
  <c r="M69" i="83" s="1"/>
  <c r="D69" i="83"/>
  <c r="M67" i="83"/>
  <c r="L67" i="83"/>
  <c r="K67" i="83"/>
  <c r="J67" i="83"/>
  <c r="I67" i="83"/>
  <c r="H67" i="83"/>
  <c r="G67" i="83"/>
  <c r="F67" i="83"/>
  <c r="E67" i="83"/>
  <c r="D67" i="83"/>
  <c r="C67" i="83"/>
  <c r="C63" i="83"/>
  <c r="F59" i="83"/>
  <c r="G59" i="83" s="1"/>
  <c r="D59" i="83"/>
  <c r="I54" i="83"/>
  <c r="J54" i="83" s="1"/>
  <c r="P49" i="83"/>
  <c r="P48" i="83"/>
  <c r="K48" i="83"/>
  <c r="V47" i="83"/>
  <c r="T47" i="83"/>
  <c r="R47" i="83"/>
  <c r="P47" i="83"/>
  <c r="E54" i="83"/>
  <c r="F54"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Z40" i="83"/>
  <c r="Q40" i="83"/>
  <c r="J40" i="83"/>
  <c r="AC40" i="83" s="1"/>
  <c r="H40" i="83"/>
  <c r="AB40" i="83" s="1"/>
  <c r="F40" i="83"/>
  <c r="AA40" i="83" s="1"/>
  <c r="Q39" i="83"/>
  <c r="Z39" i="83" s="1"/>
  <c r="J39" i="83"/>
  <c r="W39" i="83" s="1"/>
  <c r="H39" i="83"/>
  <c r="AB39" i="83" s="1"/>
  <c r="F39" i="83"/>
  <c r="AA39" i="83" s="1"/>
  <c r="U38" i="83"/>
  <c r="Q38" i="83"/>
  <c r="Z38" i="83" s="1"/>
  <c r="J38" i="83"/>
  <c r="AC38" i="83" s="1"/>
  <c r="H38" i="83"/>
  <c r="AB38" i="83" s="1"/>
  <c r="F38" i="83"/>
  <c r="AA38" i="83" s="1"/>
  <c r="Q37" i="83"/>
  <c r="Z37" i="83" s="1"/>
  <c r="J37" i="83"/>
  <c r="AC37" i="83" s="1"/>
  <c r="H37" i="83"/>
  <c r="AA36" i="83"/>
  <c r="Z36" i="83"/>
  <c r="Q36" i="83"/>
  <c r="J36" i="83"/>
  <c r="AC36" i="83" s="1"/>
  <c r="H36" i="83"/>
  <c r="AB36" i="83" s="1"/>
  <c r="F36" i="83"/>
  <c r="S36" i="83" s="1"/>
  <c r="Z35" i="83"/>
  <c r="Q35" i="83"/>
  <c r="J35" i="83"/>
  <c r="AC35" i="83" s="1"/>
  <c r="H35" i="83"/>
  <c r="U35" i="83" s="1"/>
  <c r="F35" i="83"/>
  <c r="AA35" i="83" s="1"/>
  <c r="AC34" i="83"/>
  <c r="Q34" i="83"/>
  <c r="Z34" i="83" s="1"/>
  <c r="J34" i="83"/>
  <c r="W34" i="83" s="1"/>
  <c r="H34" i="83"/>
  <c r="U34" i="83" s="1"/>
  <c r="F34" i="83"/>
  <c r="S34" i="83" s="1"/>
  <c r="Z33" i="83"/>
  <c r="Q33" i="83"/>
  <c r="H33" i="83"/>
  <c r="AB33" i="83" s="1"/>
  <c r="F33" i="83"/>
  <c r="AA33" i="83" s="1"/>
  <c r="C33" i="83"/>
  <c r="J33" i="83" s="1"/>
  <c r="AA32" i="83"/>
  <c r="Z32" i="83"/>
  <c r="Q32" i="83"/>
  <c r="J32" i="83"/>
  <c r="AC32" i="83" s="1"/>
  <c r="H32" i="83"/>
  <c r="AB32" i="83" s="1"/>
  <c r="F32" i="83"/>
  <c r="S32" i="83" s="1"/>
  <c r="AC31" i="83"/>
  <c r="AA31" i="83"/>
  <c r="Q31" i="83"/>
  <c r="Z31" i="83" s="1"/>
  <c r="J31" i="83"/>
  <c r="W31" i="83" s="1"/>
  <c r="H31" i="83"/>
  <c r="AB31" i="83" s="1"/>
  <c r="F31" i="83"/>
  <c r="S31" i="83" s="1"/>
  <c r="AC30" i="83"/>
  <c r="W30" i="83"/>
  <c r="U30" i="83"/>
  <c r="Q30" i="83"/>
  <c r="Z30" i="83" s="1"/>
  <c r="J30" i="83"/>
  <c r="H30" i="83"/>
  <c r="AB30" i="83" s="1"/>
  <c r="F30" i="83"/>
  <c r="AA30" i="83" s="1"/>
  <c r="AA29" i="83"/>
  <c r="Q29" i="83"/>
  <c r="Z29" i="83" s="1"/>
  <c r="J29" i="83"/>
  <c r="W29" i="83" s="1"/>
  <c r="H29" i="83"/>
  <c r="AB29" i="83" s="1"/>
  <c r="F29" i="83"/>
  <c r="S29" i="83" s="1"/>
  <c r="AB28" i="83"/>
  <c r="AA28" i="83"/>
  <c r="Q28" i="83"/>
  <c r="Z28" i="83" s="1"/>
  <c r="J28" i="83"/>
  <c r="AC28" i="83" s="1"/>
  <c r="H28" i="83"/>
  <c r="U28" i="83" s="1"/>
  <c r="F28" i="83"/>
  <c r="S28" i="83" s="1"/>
  <c r="Q27" i="83"/>
  <c r="Z27" i="83" s="1"/>
  <c r="J27" i="83"/>
  <c r="AC27" i="83" s="1"/>
  <c r="H27" i="83"/>
  <c r="AB27" i="83" s="1"/>
  <c r="F27" i="83"/>
  <c r="S27" i="83" s="1"/>
  <c r="Z26" i="83"/>
  <c r="Q26" i="83"/>
  <c r="J26" i="83"/>
  <c r="AC26" i="83" s="1"/>
  <c r="H26" i="83"/>
  <c r="AB26" i="83" s="1"/>
  <c r="AA25" i="83"/>
  <c r="Q25" i="83"/>
  <c r="Z25" i="83" s="1"/>
  <c r="J25" i="83"/>
  <c r="W25" i="83" s="1"/>
  <c r="H25" i="83"/>
  <c r="AB25" i="83" s="1"/>
  <c r="F25" i="83"/>
  <c r="S25" i="83" s="1"/>
  <c r="Q23" i="83"/>
  <c r="Z23" i="83" s="1"/>
  <c r="J23" i="83"/>
  <c r="H23" i="83"/>
  <c r="U23" i="83" s="1"/>
  <c r="F23" i="83"/>
  <c r="S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U8" i="83"/>
  <c r="J8" i="83"/>
  <c r="H8" i="83"/>
  <c r="AB8" i="83" s="1"/>
  <c r="F8" i="83"/>
  <c r="S8" i="83" s="1"/>
  <c r="C7" i="83"/>
  <c r="C58" i="83" s="1"/>
  <c r="D58" i="83" s="1"/>
  <c r="E58" i="83" s="1"/>
  <c r="F58" i="83" s="1"/>
  <c r="G58" i="83" s="1"/>
  <c r="H58" i="83" s="1"/>
  <c r="I58" i="83" s="1"/>
  <c r="J58" i="83" s="1"/>
  <c r="K58" i="83" s="1"/>
  <c r="L58" i="83" s="1"/>
  <c r="M58" i="83" s="1"/>
  <c r="N58" i="83" s="1"/>
  <c r="O58" i="83" s="1"/>
  <c r="P58" i="83" s="1"/>
  <c r="Q58" i="83" s="1"/>
  <c r="R58" i="83" s="1"/>
  <c r="S58" i="83" s="1"/>
  <c r="T58" i="83" s="1"/>
  <c r="U58" i="83" s="1"/>
  <c r="V58" i="83" s="1"/>
  <c r="W58" i="83" s="1"/>
  <c r="X58" i="83" s="1"/>
  <c r="Y58" i="83" s="1"/>
  <c r="D3" i="83"/>
  <c r="Y6" i="1"/>
  <c r="W58" i="21"/>
  <c r="X58" i="21" s="1"/>
  <c r="Y58" i="21" s="1"/>
  <c r="D2" i="83"/>
  <c r="U33" i="83" l="1"/>
  <c r="AA37" i="83"/>
  <c r="W27" i="83"/>
  <c r="W26" i="83"/>
  <c r="S9" i="83"/>
  <c r="AA8" i="83"/>
  <c r="U9" i="83"/>
  <c r="W10" i="83"/>
  <c r="S12" i="83"/>
  <c r="U13" i="83"/>
  <c r="W14" i="83"/>
  <c r="W17" i="83"/>
  <c r="W21" i="83"/>
  <c r="AC23" i="83"/>
  <c r="W23" i="83"/>
  <c r="U25" i="83"/>
  <c r="AC25" i="83"/>
  <c r="U26" i="83"/>
  <c r="AA27" i="83"/>
  <c r="U29" i="83"/>
  <c r="AC29" i="83"/>
  <c r="U32" i="83"/>
  <c r="AC33" i="83"/>
  <c r="W33" i="83"/>
  <c r="S33" i="83"/>
  <c r="AA34" i="83"/>
  <c r="W35" i="83"/>
  <c r="AB37" i="83"/>
  <c r="U37" i="83"/>
  <c r="AC39" i="83"/>
  <c r="U42" i="83"/>
  <c r="S10" i="83"/>
  <c r="U11" i="83"/>
  <c r="W12" i="83"/>
  <c r="S14" i="83"/>
  <c r="U10" i="83"/>
  <c r="W11" i="83"/>
  <c r="S13" i="83"/>
  <c r="U14" i="83"/>
  <c r="W15" i="83"/>
  <c r="W19" i="83"/>
  <c r="F7" i="83"/>
  <c r="W9" i="83"/>
  <c r="S11" i="83"/>
  <c r="U12" i="83"/>
  <c r="W13" i="83"/>
  <c r="AA23" i="83"/>
  <c r="AB34" i="83"/>
  <c r="S15" i="83"/>
  <c r="S17" i="83"/>
  <c r="S19" i="83"/>
  <c r="S21" i="83"/>
  <c r="AB23" i="83"/>
  <c r="AB35" i="83"/>
  <c r="S41" i="83"/>
  <c r="F26" i="83"/>
  <c r="J89" i="83"/>
  <c r="K89" i="83" s="1"/>
  <c r="L89" i="83" s="1"/>
  <c r="M89" i="83" s="1"/>
  <c r="U15" i="83"/>
  <c r="U17" i="83"/>
  <c r="U19" i="83"/>
  <c r="U21" i="83"/>
  <c r="W43" i="83"/>
  <c r="S45" i="83"/>
  <c r="U46" i="83"/>
  <c r="U27" i="83"/>
  <c r="W28" i="83"/>
  <c r="S30" i="83"/>
  <c r="U31" i="83"/>
  <c r="W32" i="83"/>
  <c r="S35" i="83"/>
  <c r="U36" i="83"/>
  <c r="W38" i="83"/>
  <c r="S40" i="83"/>
  <c r="U41" i="83"/>
  <c r="W42" i="83"/>
  <c r="S44" i="83"/>
  <c r="U45" i="83"/>
  <c r="W46" i="83"/>
  <c r="G54" i="83"/>
  <c r="H54" i="83" s="1"/>
  <c r="K144" i="83"/>
  <c r="W36" i="83"/>
  <c r="W37" i="83"/>
  <c r="S39" i="83"/>
  <c r="U40" i="83"/>
  <c r="W41" i="83"/>
  <c r="S43" i="83"/>
  <c r="U44" i="83"/>
  <c r="W45" i="83"/>
  <c r="K141" i="83"/>
  <c r="S38" i="83"/>
  <c r="U39" i="83"/>
  <c r="W40" i="83"/>
  <c r="S42" i="83"/>
  <c r="U43" i="83"/>
  <c r="W44" i="83"/>
  <c r="S46" i="83"/>
  <c r="V427" i="80"/>
  <c r="S7" i="83" l="1"/>
  <c r="AA7" i="83"/>
  <c r="R48" i="83" s="1"/>
  <c r="AA26" i="83"/>
  <c r="S26" i="83"/>
  <c r="R464" i="80"/>
  <c r="J7" i="83" l="1"/>
  <c r="H7" i="83"/>
  <c r="E48" i="83"/>
  <c r="G47" i="21"/>
  <c r="U7" i="83" l="1"/>
  <c r="AB7" i="83"/>
  <c r="T48" i="83" s="1"/>
  <c r="AC7" i="83"/>
  <c r="V48" i="83" s="1"/>
  <c r="I48" i="83" s="1"/>
  <c r="I52" i="83" s="1"/>
  <c r="J52" i="83" s="1"/>
  <c r="W7" i="83"/>
  <c r="E52" i="83"/>
  <c r="F52" i="83" s="1"/>
  <c r="B14" i="74"/>
  <c r="S15" i="80"/>
  <c r="I53" i="83" l="1"/>
  <c r="J53" i="83" s="1"/>
  <c r="G48" i="83"/>
  <c r="R49" i="83"/>
  <c r="D5" i="9"/>
  <c r="G37" i="21"/>
  <c r="F59" i="21"/>
  <c r="G59" i="21" s="1"/>
  <c r="H59" i="21"/>
  <c r="E59" i="21"/>
  <c r="D59" i="21"/>
  <c r="C33" i="21"/>
  <c r="AH6" i="1"/>
  <c r="D33" i="43"/>
  <c r="N18" i="1"/>
  <c r="C48" i="83" l="1"/>
  <c r="C49" i="83"/>
  <c r="G53" i="83"/>
  <c r="H53" i="83" s="1"/>
  <c r="G52" i="83"/>
  <c r="H52" i="83" s="1"/>
  <c r="E53" i="83"/>
  <c r="F53" i="83" s="1"/>
  <c r="I59" i="21"/>
  <c r="B2" i="83" l="1"/>
  <c r="B3" i="83"/>
  <c r="J59" i="21"/>
  <c r="K59" i="21"/>
  <c r="L59" i="21"/>
  <c r="M59" i="21" l="1"/>
  <c r="N59" i="21"/>
  <c r="O59" i="21"/>
  <c r="Q59" i="21" l="1"/>
  <c r="P59" i="21"/>
  <c r="R59" i="21"/>
  <c r="U59" i="21" l="1"/>
  <c r="V59" i="21" s="1"/>
  <c r="S59" i="21"/>
  <c r="T59" i="21"/>
  <c r="F19" i="6" l="1"/>
  <c r="O357" i="80"/>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T34" i="79" s="1"/>
  <c r="W34" i="79" s="1"/>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AA28" i="79"/>
  <c r="AD28" i="79" s="1"/>
  <c r="U40" i="79"/>
  <c r="AD41" i="79"/>
  <c r="U44" i="79"/>
  <c r="AD45" i="79"/>
  <c r="S42"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F78" i="71" s="1"/>
  <c r="V80" i="7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c r="V60" i="71" s="1"/>
  <c r="P57" i="71"/>
  <c r="E58" i="71"/>
  <c r="E59" i="71" s="1"/>
  <c r="E60" i="71" s="1"/>
  <c r="U60"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c r="B44" i="71" s="1"/>
  <c r="S44" i="71" s="1"/>
  <c r="D41" i="71"/>
  <c r="Q40" i="71"/>
  <c r="P40" i="71"/>
  <c r="O40" i="71"/>
  <c r="N40" i="71"/>
  <c r="AB39" i="71"/>
  <c r="Q39" i="71"/>
  <c r="P39" i="71"/>
  <c r="O39" i="71"/>
  <c r="N39" i="71"/>
  <c r="X39" i="71"/>
  <c r="Q38" i="71"/>
  <c r="AB38" i="71" s="1"/>
  <c r="P38" i="71"/>
  <c r="AA38" i="71" s="1"/>
  <c r="O38" i="71"/>
  <c r="N38" i="71"/>
  <c r="Q37" i="71"/>
  <c r="AB37" i="71" s="1"/>
  <c r="P37" i="71"/>
  <c r="O37" i="71"/>
  <c r="Y37" i="71" s="1"/>
  <c r="Z37" i="71" s="1"/>
  <c r="N37" i="71"/>
  <c r="B38" i="71" s="1"/>
  <c r="D37" i="71"/>
  <c r="Q36" i="71"/>
  <c r="P36" i="71"/>
  <c r="AA35" i="71" s="1"/>
  <c r="O36" i="71"/>
  <c r="N36" i="71"/>
  <c r="X36" i="71" s="1"/>
  <c r="Q35" i="71"/>
  <c r="AB35" i="71"/>
  <c r="P35" i="71"/>
  <c r="O35" i="71"/>
  <c r="Y35" i="71" s="1"/>
  <c r="Z35" i="71"/>
  <c r="N35" i="71"/>
  <c r="Q34" i="71"/>
  <c r="AB34" i="71" s="1"/>
  <c r="P34" i="71"/>
  <c r="AA34" i="71" s="1"/>
  <c r="O34" i="71"/>
  <c r="N34" i="71"/>
  <c r="Q33" i="71"/>
  <c r="P33" i="71"/>
  <c r="E34" i="71" s="1"/>
  <c r="E35" i="71" s="1"/>
  <c r="E36" i="71" s="1"/>
  <c r="U36" i="71" s="1"/>
  <c r="O33" i="71"/>
  <c r="C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X25" i="71" s="1"/>
  <c r="D29" i="71"/>
  <c r="O28" i="71"/>
  <c r="N28" i="71"/>
  <c r="B28" i="71" s="1"/>
  <c r="B30" i="71"/>
  <c r="B31" i="71" s="1"/>
  <c r="B32" i="71" s="1"/>
  <c r="S32" i="71" s="1"/>
  <c r="B34" i="71"/>
  <c r="B35" i="71" s="1"/>
  <c r="B36" i="71" s="1"/>
  <c r="S36" i="71" s="1"/>
  <c r="B39" i="71"/>
  <c r="B40" i="71" s="1"/>
  <c r="S40" i="71" s="1"/>
  <c r="E38" i="71"/>
  <c r="E39" i="71" s="1"/>
  <c r="E40" i="71"/>
  <c r="U40" i="71" s="1"/>
  <c r="N68" i="71"/>
  <c r="C30" i="71"/>
  <c r="X31" i="71"/>
  <c r="X34" i="71"/>
  <c r="C38" i="71"/>
  <c r="D30" i="71"/>
  <c r="D47" i="71"/>
  <c r="D46" i="71"/>
  <c r="P28" i="71"/>
  <c r="U68" i="71"/>
  <c r="E67" i="71"/>
  <c r="Q28" i="71"/>
  <c r="D54" i="71"/>
  <c r="C59" i="71"/>
  <c r="D58" i="71"/>
  <c r="D62" i="71"/>
  <c r="N67" i="71"/>
  <c r="B66" i="71"/>
  <c r="N65" i="71" s="1"/>
  <c r="T68" i="71"/>
  <c r="O68" i="71"/>
  <c r="D68" i="71"/>
  <c r="Q68" i="71"/>
  <c r="E71" i="71"/>
  <c r="E70" i="71" s="1"/>
  <c r="D72" i="71"/>
  <c r="C75" i="71"/>
  <c r="D75" i="71" s="1"/>
  <c r="D76" i="71"/>
  <c r="E79" i="71"/>
  <c r="E78" i="71" s="1"/>
  <c r="D80" i="71"/>
  <c r="C87" i="71"/>
  <c r="C86" i="71" s="1"/>
  <c r="D86" i="71" s="1"/>
  <c r="F28" i="71"/>
  <c r="F27" i="71" s="1"/>
  <c r="F26" i="71"/>
  <c r="C74" i="71"/>
  <c r="D74" i="71" s="1"/>
  <c r="N66" i="71"/>
  <c r="C60" i="71"/>
  <c r="D60" i="71" s="1"/>
  <c r="D59" i="71"/>
  <c r="P67" i="71"/>
  <c r="E66" i="71"/>
  <c r="P65" i="71" s="1"/>
  <c r="T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E83" i="21" s="1"/>
  <c r="F83" i="21" s="1"/>
  <c r="G83" i="21" s="1"/>
  <c r="F21" i="21"/>
  <c r="AA21" i="21" s="1"/>
  <c r="D81" i="21"/>
  <c r="G20" i="20"/>
  <c r="C25" i="40" s="1"/>
  <c r="B88" i="43"/>
  <c r="C22" i="20"/>
  <c r="B100" i="43" s="1"/>
  <c r="S25" i="40"/>
  <c r="S21" i="34"/>
  <c r="H25" i="40"/>
  <c r="AB25" i="40" s="1"/>
  <c r="J25" i="40"/>
  <c r="H29" i="39"/>
  <c r="AB29" i="39" s="1"/>
  <c r="J29" i="39"/>
  <c r="J18" i="36"/>
  <c r="AC18" i="36" s="1"/>
  <c r="H18" i="35"/>
  <c r="AB18" i="35" s="1"/>
  <c r="J18" i="35"/>
  <c r="H21" i="37"/>
  <c r="F21" i="37"/>
  <c r="AA21" i="37" s="1"/>
  <c r="F84" i="34"/>
  <c r="G84" i="34" s="1"/>
  <c r="H21" i="34"/>
  <c r="AB21" i="34" s="1"/>
  <c r="H21" i="33"/>
  <c r="U21" i="33" s="1"/>
  <c r="F21" i="33"/>
  <c r="AA21" i="33"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F38" i="68"/>
  <c r="E37" i="68"/>
  <c r="F36" i="68"/>
  <c r="F35" i="68"/>
  <c r="F21" i="68"/>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K62" i="3"/>
  <c r="BJ62" i="3"/>
  <c r="BI62" i="3"/>
  <c r="BH62" i="3"/>
  <c r="BG62" i="3"/>
  <c r="BF62" i="3"/>
  <c r="BE62" i="3"/>
  <c r="BD62" i="3"/>
  <c r="BC62" i="3"/>
  <c r="BA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s="1"/>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L34" i="3" s="1"/>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L24" i="3" s="1"/>
  <c r="BN24" i="3"/>
  <c r="BM24" i="3"/>
  <c r="BK24" i="3"/>
  <c r="BJ24" i="3"/>
  <c r="BI24" i="3"/>
  <c r="BH24" i="3"/>
  <c r="BG24" i="3"/>
  <c r="BF24" i="3"/>
  <c r="BE24" i="3"/>
  <c r="BD24" i="3"/>
  <c r="BC24" i="3"/>
  <c r="BB24" i="3"/>
  <c r="AX24" i="3"/>
  <c r="AW24" i="3"/>
  <c r="AV24" i="3"/>
  <c r="AC24" i="3"/>
  <c r="H24" i="3"/>
  <c r="BT23" i="3"/>
  <c r="BS23" i="3"/>
  <c r="BR23" i="3"/>
  <c r="BQ23" i="3"/>
  <c r="BP23" i="3"/>
  <c r="BO23" i="3"/>
  <c r="BL23" i="3" s="1"/>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L289" i="3" s="1"/>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A283" i="3" s="1"/>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S26" i="31" s="1"/>
  <c r="R27" i="31"/>
  <c r="S27" i="31" s="1"/>
  <c r="R28" i="31"/>
  <c r="S28" i="31" s="1"/>
  <c r="R29" i="31"/>
  <c r="R30" i="31"/>
  <c r="S30" i="31" s="1"/>
  <c r="R31" i="31"/>
  <c r="S31" i="31" s="1"/>
  <c r="R32" i="31"/>
  <c r="S32" i="31" s="1"/>
  <c r="R33" i="31"/>
  <c r="S33" i="31" s="1"/>
  <c r="R34" i="31"/>
  <c r="S34" i="31" s="1"/>
  <c r="R35" i="31"/>
  <c r="S35" i="31" s="1"/>
  <c r="R36" i="31"/>
  <c r="S36" i="31" s="1"/>
  <c r="R37" i="31"/>
  <c r="R38" i="31"/>
  <c r="S38" i="31" s="1"/>
  <c r="R39" i="31"/>
  <c r="S39" i="31" s="1"/>
  <c r="R40" i="31"/>
  <c r="S40" i="31" s="1"/>
  <c r="R41" i="31"/>
  <c r="R42" i="31"/>
  <c r="S42" i="31" s="1"/>
  <c r="R43" i="31"/>
  <c r="S43" i="31" s="1"/>
  <c r="R44" i="31"/>
  <c r="S44" i="31" s="1"/>
  <c r="R45" i="31"/>
  <c r="S45" i="31" s="1"/>
  <c r="R46" i="31"/>
  <c r="R47" i="31"/>
  <c r="S47" i="31" s="1"/>
  <c r="R48" i="31"/>
  <c r="S48" i="31" s="1"/>
  <c r="R49" i="31"/>
  <c r="S49" i="31" s="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R98" i="31"/>
  <c r="S98" i="31" s="1"/>
  <c r="R99" i="31"/>
  <c r="S99" i="31" s="1"/>
  <c r="R100" i="31"/>
  <c r="S100" i="31" s="1"/>
  <c r="R101" i="31"/>
  <c r="S101" i="31" s="1"/>
  <c r="R102" i="31"/>
  <c r="S102" i="31" s="1"/>
  <c r="R103" i="31"/>
  <c r="S103" i="31" s="1"/>
  <c r="R104" i="31"/>
  <c r="S104" i="31" s="1"/>
  <c r="R105" i="31"/>
  <c r="R106" i="31"/>
  <c r="S106" i="31" s="1"/>
  <c r="R107" i="31"/>
  <c r="S107" i="31" s="1"/>
  <c r="R108" i="31"/>
  <c r="S108" i="31" s="1"/>
  <c r="R109" i="31"/>
  <c r="S109" i="31" s="1"/>
  <c r="R110" i="31"/>
  <c r="S110" i="31" s="1"/>
  <c r="R111" i="31"/>
  <c r="S111" i="31" s="1"/>
  <c r="R112" i="31"/>
  <c r="S112" i="31" s="1"/>
  <c r="R113" i="3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S137" i="31" s="1"/>
  <c r="R138" i="31"/>
  <c r="R139" i="31"/>
  <c r="S139" i="31" s="1"/>
  <c r="R140" i="31"/>
  <c r="S140" i="31" s="1"/>
  <c r="R141" i="31"/>
  <c r="S141" i="31" s="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S169" i="31" s="1"/>
  <c r="R170" i="31"/>
  <c r="R171" i="31"/>
  <c r="S171" i="31" s="1"/>
  <c r="R172" i="31"/>
  <c r="S172" i="31" s="1"/>
  <c r="R173" i="31"/>
  <c r="S173" i="31" s="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S185" i="31" s="1"/>
  <c r="R186" i="31"/>
  <c r="R187" i="31"/>
  <c r="S187" i="31" s="1"/>
  <c r="R188" i="31"/>
  <c r="S188" i="31" s="1"/>
  <c r="R189" i="31"/>
  <c r="S189" i="31" s="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S201" i="31" s="1"/>
  <c r="R202" i="31"/>
  <c r="R203" i="31"/>
  <c r="S203" i="31" s="1"/>
  <c r="R204" i="31"/>
  <c r="S204" i="31" s="1"/>
  <c r="R205" i="31"/>
  <c r="S205" i="31" s="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R226" i="31"/>
  <c r="S226" i="31" s="1"/>
  <c r="R227" i="31"/>
  <c r="S227" i="31" s="1"/>
  <c r="R228" i="31"/>
  <c r="S228" i="31" s="1"/>
  <c r="R229" i="31"/>
  <c r="S229" i="31" s="1"/>
  <c r="R230" i="31"/>
  <c r="R231" i="31"/>
  <c r="S231" i="31" s="1"/>
  <c r="R232" i="31"/>
  <c r="S232" i="31" s="1"/>
  <c r="R233" i="31"/>
  <c r="S233" i="31" s="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S245" i="31" s="1"/>
  <c r="R246" i="31"/>
  <c r="R247" i="31"/>
  <c r="S247" i="31" s="1"/>
  <c r="R248" i="31"/>
  <c r="S248" i="31" s="1"/>
  <c r="R249" i="31"/>
  <c r="S249" i="31" s="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R454" i="31"/>
  <c r="S454" i="31" s="1"/>
  <c r="R455" i="31"/>
  <c r="S455" i="31" s="1"/>
  <c r="R456" i="31"/>
  <c r="S456" i="31" s="1"/>
  <c r="R457" i="31"/>
  <c r="S457" i="31" s="1"/>
  <c r="R458" i="31"/>
  <c r="S458" i="31" s="1"/>
  <c r="R459" i="31"/>
  <c r="S459" i="31" s="1"/>
  <c r="R460" i="31"/>
  <c r="S460" i="31" s="1"/>
  <c r="R461" i="31"/>
  <c r="R462" i="31"/>
  <c r="S462" i="31" s="1"/>
  <c r="R463" i="31"/>
  <c r="S463" i="31" s="1"/>
  <c r="R464" i="31"/>
  <c r="S464" i="31" s="1"/>
  <c r="R465" i="31"/>
  <c r="S465" i="31" s="1"/>
  <c r="R466" i="31"/>
  <c r="S466" i="31" s="1"/>
  <c r="R467" i="31"/>
  <c r="S467" i="31" s="1"/>
  <c r="R468" i="31"/>
  <c r="S468" i="31" s="1"/>
  <c r="R469" i="31"/>
  <c r="S469" i="31" s="1"/>
  <c r="R470" i="31"/>
  <c r="R471" i="31"/>
  <c r="S471" i="31" s="1"/>
  <c r="R472" i="31"/>
  <c r="S472" i="31" s="1"/>
  <c r="R473" i="31"/>
  <c r="S473" i="31" s="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R510" i="31"/>
  <c r="S510" i="31" s="1"/>
  <c r="R511" i="31"/>
  <c r="S511" i="31" s="1"/>
  <c r="R512" i="31"/>
  <c r="S512" i="31" s="1"/>
  <c r="R513" i="3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11" s="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362" i="31"/>
  <c r="S330" i="31"/>
  <c r="S302" i="31"/>
  <c r="S253" i="31"/>
  <c r="S246" i="31"/>
  <c r="S241" i="31"/>
  <c r="S237" i="31"/>
  <c r="S230" i="31"/>
  <c r="S225" i="31"/>
  <c r="S425" i="31"/>
  <c r="S213" i="31"/>
  <c r="S209" i="31"/>
  <c r="S202" i="31"/>
  <c r="S197" i="31"/>
  <c r="S193" i="31"/>
  <c r="S186" i="31"/>
  <c r="S181" i="31"/>
  <c r="S177" i="31"/>
  <c r="S170" i="31"/>
  <c r="S165" i="31"/>
  <c r="S161" i="31"/>
  <c r="S149" i="31"/>
  <c r="S145" i="31"/>
  <c r="S138" i="31"/>
  <c r="S133" i="31"/>
  <c r="S129" i="31"/>
  <c r="S497" i="31"/>
  <c r="S493" i="31"/>
  <c r="S481" i="31"/>
  <c r="S477" i="31"/>
  <c r="S470" i="31"/>
  <c r="S437" i="31"/>
  <c r="S433" i="31"/>
  <c r="S113" i="31"/>
  <c r="S461" i="31"/>
  <c r="S453" i="31"/>
  <c r="S53" i="31"/>
  <c r="S46" i="31"/>
  <c r="S41" i="31"/>
  <c r="S37" i="31"/>
  <c r="S77" i="31"/>
  <c r="S73" i="31"/>
  <c r="S61" i="31"/>
  <c r="S57" i="31"/>
  <c r="S97" i="31"/>
  <c r="S85" i="31"/>
  <c r="S81" i="31"/>
  <c r="S29" i="31"/>
  <c r="S105" i="31"/>
  <c r="S509" i="31"/>
  <c r="S513"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B5" i="3" s="1"/>
  <c r="BC556" i="3"/>
  <c r="BD556" i="3"/>
  <c r="BE556" i="3"/>
  <c r="BF556" i="3"/>
  <c r="BG556" i="3"/>
  <c r="BH556" i="3"/>
  <c r="BI556" i="3"/>
  <c r="BJ556" i="3"/>
  <c r="BJ5" i="3" s="1"/>
  <c r="BK556" i="3"/>
  <c r="BM556" i="3"/>
  <c r="BN556" i="3"/>
  <c r="BO556" i="3"/>
  <c r="BP556" i="3"/>
  <c r="BQ556" i="3"/>
  <c r="BR556" i="3"/>
  <c r="BS556" i="3"/>
  <c r="BS5" i="3" s="1"/>
  <c r="BT556" i="3"/>
  <c r="H557" i="3"/>
  <c r="BB557" i="3"/>
  <c r="BC557" i="3"/>
  <c r="BA557" i="3" s="1"/>
  <c r="AZ557" i="3" s="1"/>
  <c r="BD557" i="3"/>
  <c r="BE557" i="3"/>
  <c r="BF557" i="3"/>
  <c r="BG557" i="3"/>
  <c r="BH557" i="3"/>
  <c r="BI557" i="3"/>
  <c r="BJ557" i="3"/>
  <c r="BK557" i="3"/>
  <c r="BK5" i="3" s="1"/>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A559" i="3" s="1"/>
  <c r="BE559" i="3"/>
  <c r="BF559" i="3"/>
  <c r="BG559" i="3"/>
  <c r="BH559" i="3"/>
  <c r="BI559" i="3"/>
  <c r="BJ559" i="3"/>
  <c r="BK559" i="3"/>
  <c r="BM559" i="3"/>
  <c r="BN559" i="3"/>
  <c r="BO559" i="3"/>
  <c r="BP559" i="3"/>
  <c r="BR559" i="3"/>
  <c r="BR5" i="3" s="1"/>
  <c r="BS559" i="3"/>
  <c r="BT559" i="3"/>
  <c r="H560" i="3"/>
  <c r="AC560" i="3"/>
  <c r="G560" i="3" s="1"/>
  <c r="BB560" i="3"/>
  <c r="BC560" i="3"/>
  <c r="BD560" i="3"/>
  <c r="BE560" i="3"/>
  <c r="BE5" i="3" s="1"/>
  <c r="BF560" i="3"/>
  <c r="BG560" i="3"/>
  <c r="BH560" i="3"/>
  <c r="BI560" i="3"/>
  <c r="BI5" i="3" s="1"/>
  <c r="BJ560" i="3"/>
  <c r="BK560" i="3"/>
  <c r="BM560" i="3"/>
  <c r="BN560" i="3"/>
  <c r="BN5" i="3" s="1"/>
  <c r="BO560" i="3"/>
  <c r="BP560" i="3"/>
  <c r="BQ560" i="3"/>
  <c r="BR560" i="3"/>
  <c r="BS560" i="3"/>
  <c r="BT560" i="3"/>
  <c r="H561" i="3"/>
  <c r="AC561" i="3"/>
  <c r="G561" i="3" s="1"/>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L562" i="3" s="1"/>
  <c r="BP562" i="3"/>
  <c r="BQ562" i="3"/>
  <c r="BR562" i="3"/>
  <c r="BS562" i="3"/>
  <c r="BT562" i="3"/>
  <c r="H563" i="3"/>
  <c r="G563" i="3" s="1"/>
  <c r="AC563" i="3"/>
  <c r="BB563" i="3"/>
  <c r="BC563" i="3"/>
  <c r="BD563" i="3"/>
  <c r="BE563" i="3"/>
  <c r="BF563" i="3"/>
  <c r="BG563" i="3"/>
  <c r="BH563" i="3"/>
  <c r="BI563" i="3"/>
  <c r="BJ563" i="3"/>
  <c r="BK563" i="3"/>
  <c r="BM563" i="3"/>
  <c r="BN563" i="3"/>
  <c r="BO563" i="3"/>
  <c r="BL563" i="3" s="1"/>
  <c r="AZ563" i="3" s="1"/>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Q566" i="3"/>
  <c r="BR566" i="3"/>
  <c r="BS566" i="3"/>
  <c r="BT566" i="3"/>
  <c r="H567" i="3"/>
  <c r="AC567" i="3"/>
  <c r="G567" i="3" s="1"/>
  <c r="BB567" i="3"/>
  <c r="BC567" i="3"/>
  <c r="BA567" i="3" s="1"/>
  <c r="BD567" i="3"/>
  <c r="BE567" i="3"/>
  <c r="BF567" i="3"/>
  <c r="BG567" i="3"/>
  <c r="BH567" i="3"/>
  <c r="BI567" i="3"/>
  <c r="BJ567" i="3"/>
  <c r="BK567" i="3"/>
  <c r="BM567" i="3"/>
  <c r="BN567" i="3"/>
  <c r="BO567" i="3"/>
  <c r="BP567" i="3"/>
  <c r="BL567" i="3" s="1"/>
  <c r="BR567" i="3"/>
  <c r="BS567" i="3"/>
  <c r="BT567" i="3"/>
  <c r="H568" i="3"/>
  <c r="G568" i="3" s="1"/>
  <c r="AC568" i="3"/>
  <c r="BB568" i="3"/>
  <c r="BC568" i="3"/>
  <c r="BD568" i="3"/>
  <c r="BE568" i="3"/>
  <c r="BF568" i="3"/>
  <c r="BG568" i="3"/>
  <c r="BH568" i="3"/>
  <c r="BI568" i="3"/>
  <c r="BJ568" i="3"/>
  <c r="BK568" i="3"/>
  <c r="BM568" i="3"/>
  <c r="BL568" i="3" s="1"/>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AB34" i="37" s="1"/>
  <c r="D101" i="37"/>
  <c r="F34" i="37"/>
  <c r="S34" i="37" s="1"/>
  <c r="D99" i="37"/>
  <c r="E99" i="37" s="1"/>
  <c r="F99" i="37"/>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s="1"/>
  <c r="F111" i="33"/>
  <c r="S521"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H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E71" i="37" s="1"/>
  <c r="F71" i="37" s="1"/>
  <c r="G71" i="37" s="1"/>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c r="J30" i="37"/>
  <c r="AC30" i="37" s="1"/>
  <c r="H30" i="37"/>
  <c r="F30" i="37"/>
  <c r="AA30" i="37" s="1"/>
  <c r="Q29" i="37"/>
  <c r="Z29" i="37" s="1"/>
  <c r="H29" i="37"/>
  <c r="AB29" i="37" s="1"/>
  <c r="Q28" i="37"/>
  <c r="Z28" i="37" s="1"/>
  <c r="Q27" i="37"/>
  <c r="Z27" i="37" s="1"/>
  <c r="Q26" i="37"/>
  <c r="Z26" i="37"/>
  <c r="Q25" i="37"/>
  <c r="Z25" i="37" s="1"/>
  <c r="J25" i="37"/>
  <c r="AC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B71" i="36"/>
  <c r="H23" i="36" s="1"/>
  <c r="D70" i="36"/>
  <c r="H22" i="36"/>
  <c r="AB22" i="36" s="1"/>
  <c r="D68" i="36"/>
  <c r="E68" i="36" s="1"/>
  <c r="F68" i="36" s="1"/>
  <c r="G68" i="36"/>
  <c r="D64" i="36"/>
  <c r="E64" i="36" s="1"/>
  <c r="F64" i="36"/>
  <c r="G64" i="36" s="1"/>
  <c r="J16" i="36"/>
  <c r="W16" i="36" s="1"/>
  <c r="D62" i="36"/>
  <c r="E62" i="36" s="1"/>
  <c r="F62" i="36" s="1"/>
  <c r="G62" i="36" s="1"/>
  <c r="B59" i="36"/>
  <c r="F13" i="36" s="1"/>
  <c r="B57" i="36"/>
  <c r="H12" i="36" s="1"/>
  <c r="J12" i="36"/>
  <c r="W12" i="36" s="1"/>
  <c r="B55" i="36"/>
  <c r="C51" i="36"/>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s="1"/>
  <c r="Q25" i="36"/>
  <c r="Z25" i="36" s="1"/>
  <c r="Q24" i="36"/>
  <c r="Z24" i="36"/>
  <c r="Q23" i="36"/>
  <c r="Z23" i="36"/>
  <c r="J23" i="36"/>
  <c r="AC23" i="36" s="1"/>
  <c r="AB23" i="36"/>
  <c r="F23" i="36"/>
  <c r="AA23" i="36"/>
  <c r="Q22" i="36"/>
  <c r="Z22" i="36" s="1"/>
  <c r="J22" i="36"/>
  <c r="AC22" i="36"/>
  <c r="Q20" i="36"/>
  <c r="Z20" i="36" s="1"/>
  <c r="Q16" i="36"/>
  <c r="Z16" i="36"/>
  <c r="Q14" i="36"/>
  <c r="Z14" i="36" s="1"/>
  <c r="Q13" i="36"/>
  <c r="Z13" i="36"/>
  <c r="Q12" i="36"/>
  <c r="Z12" i="36" s="1"/>
  <c r="U12" i="36"/>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s="1"/>
  <c r="B73" i="35"/>
  <c r="B57" i="35"/>
  <c r="B61" i="35"/>
  <c r="B59" i="35"/>
  <c r="B131" i="34"/>
  <c r="B129" i="34"/>
  <c r="J46" i="34" s="1"/>
  <c r="B127" i="34"/>
  <c r="B99" i="34"/>
  <c r="B97" i="34"/>
  <c r="B95" i="34"/>
  <c r="H30" i="34" s="1"/>
  <c r="B93" i="34"/>
  <c r="B75" i="34"/>
  <c r="J14" i="34" s="1"/>
  <c r="W14" i="34" s="1"/>
  <c r="B73" i="34"/>
  <c r="B71" i="34"/>
  <c r="B130" i="33"/>
  <c r="B128" i="33"/>
  <c r="F45" i="33" s="1"/>
  <c r="B126" i="33"/>
  <c r="B98" i="33"/>
  <c r="F31" i="33" s="1"/>
  <c r="B96" i="33"/>
  <c r="B94" i="33"/>
  <c r="B74" i="33"/>
  <c r="B72" i="33"/>
  <c r="H13" i="33" s="1"/>
  <c r="U13" i="33" s="1"/>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c r="D64" i="35"/>
  <c r="E64" i="35" s="1"/>
  <c r="F64" i="35" s="1"/>
  <c r="G64" i="35"/>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c r="H32" i="35"/>
  <c r="AB32" i="35" s="1"/>
  <c r="F32" i="35"/>
  <c r="AA32" i="35" s="1"/>
  <c r="Q31" i="35"/>
  <c r="Z31" i="35"/>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s="1"/>
  <c r="D82" i="34"/>
  <c r="E82" i="34"/>
  <c r="F82" i="34" s="1"/>
  <c r="G82" i="34"/>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s="1"/>
  <c r="Q13" i="34"/>
  <c r="Z13" i="34" s="1"/>
  <c r="Q12" i="34"/>
  <c r="Z12" i="34" s="1"/>
  <c r="F12" i="34"/>
  <c r="S12" i="34" s="1"/>
  <c r="Q11" i="34"/>
  <c r="Z11" i="34" s="1"/>
  <c r="Q10" i="34"/>
  <c r="Z10" i="34"/>
  <c r="F10" i="34"/>
  <c r="AA10" i="34" s="1"/>
  <c r="Q9" i="34"/>
  <c r="Z9" i="34" s="1"/>
  <c r="J9" i="34"/>
  <c r="H9" i="34"/>
  <c r="J8" i="34"/>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s="1"/>
  <c r="Q45" i="33"/>
  <c r="Z45" i="33" s="1"/>
  <c r="Q44" i="33"/>
  <c r="Z44" i="33"/>
  <c r="Q43" i="33"/>
  <c r="Z43" i="33" s="1"/>
  <c r="Q42" i="33"/>
  <c r="Z42" i="33"/>
  <c r="J42" i="33"/>
  <c r="AC42" i="33" s="1"/>
  <c r="AC41" i="33"/>
  <c r="W41" i="33"/>
  <c r="Q41" i="33"/>
  <c r="Z41" i="33" s="1"/>
  <c r="Q40" i="33"/>
  <c r="Z40" i="33" s="1"/>
  <c r="J40" i="33"/>
  <c r="AC40" i="33" s="1"/>
  <c r="H40" i="33"/>
  <c r="AB40" i="33"/>
  <c r="AA40" i="33"/>
  <c r="Q39" i="33"/>
  <c r="Z39" i="33"/>
  <c r="J39" i="33"/>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B126" i="21"/>
  <c r="J44" i="21" s="1"/>
  <c r="AC44" i="21" s="1"/>
  <c r="B98" i="21"/>
  <c r="H31" i="21"/>
  <c r="B96" i="21"/>
  <c r="B94" i="21"/>
  <c r="J29" i="21" s="1"/>
  <c r="AC29" i="21" s="1"/>
  <c r="B92" i="21"/>
  <c r="B90" i="21"/>
  <c r="J27" i="21" s="1"/>
  <c r="W27" i="21" s="1"/>
  <c r="B74" i="21"/>
  <c r="B72" i="21"/>
  <c r="H13" i="21" s="1"/>
  <c r="B70" i="21"/>
  <c r="F12" i="21" s="1"/>
  <c r="C19" i="21"/>
  <c r="C17" i="21"/>
  <c r="C23" i="21"/>
  <c r="Q9" i="21"/>
  <c r="Z9" i="2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AB19" i="21"/>
  <c r="J19" i="21"/>
  <c r="W19" i="21"/>
  <c r="AB41" i="21"/>
  <c r="S41" i="21"/>
  <c r="AA41" i="21"/>
  <c r="F45" i="39"/>
  <c r="S45" i="39" s="1"/>
  <c r="J45" i="39"/>
  <c r="W45" i="39" s="1"/>
  <c r="J44" i="39"/>
  <c r="AC44" i="39"/>
  <c r="F36" i="39"/>
  <c r="S36" i="39" s="1"/>
  <c r="H36" i="39"/>
  <c r="J35" i="39"/>
  <c r="AC35" i="39" s="1"/>
  <c r="F35" i="39"/>
  <c r="AA35" i="39"/>
  <c r="J36" i="39"/>
  <c r="AC36" i="39" s="1"/>
  <c r="U9" i="39"/>
  <c r="W25"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U34" i="34"/>
  <c r="H39" i="33"/>
  <c r="AB39" i="33"/>
  <c r="F26" i="33"/>
  <c r="AA26" i="33"/>
  <c r="U33" i="33"/>
  <c r="U35" i="33"/>
  <c r="S40" i="33"/>
  <c r="W33" i="33"/>
  <c r="H39" i="37"/>
  <c r="AB39" i="37" s="1"/>
  <c r="S27" i="35"/>
  <c r="F11" i="40"/>
  <c r="AA11" i="40"/>
  <c r="H11" i="40"/>
  <c r="AB11" i="40"/>
  <c r="AB39" i="40"/>
  <c r="AA9" i="40"/>
  <c r="U9" i="40"/>
  <c r="S34" i="40"/>
  <c r="U38" i="40"/>
  <c r="U34" i="40"/>
  <c r="S38" i="40"/>
  <c r="F42" i="39"/>
  <c r="AA42" i="39" s="1"/>
  <c r="F41" i="39"/>
  <c r="S41" i="39" s="1"/>
  <c r="H40" i="39"/>
  <c r="AB40" i="39" s="1"/>
  <c r="H39" i="39"/>
  <c r="U39" i="39" s="1"/>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c r="AB8" i="39"/>
  <c r="AB12" i="36"/>
  <c r="W32" i="40"/>
  <c r="S44" i="39"/>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J33" i="37"/>
  <c r="AC33" i="37" s="1"/>
  <c r="U42" i="34"/>
  <c r="H40" i="34"/>
  <c r="U40" i="34" s="1"/>
  <c r="E114" i="34"/>
  <c r="H36" i="34"/>
  <c r="U36" i="34" s="1"/>
  <c r="F37" i="34"/>
  <c r="AA37" i="34" s="1"/>
  <c r="F28" i="34"/>
  <c r="AA28" i="34" s="1"/>
  <c r="F25" i="34"/>
  <c r="S25" i="34" s="1"/>
  <c r="H23" i="34"/>
  <c r="U23" i="34" s="1"/>
  <c r="J23" i="34"/>
  <c r="F19" i="34"/>
  <c r="H17" i="34"/>
  <c r="F15" i="34"/>
  <c r="AA15" i="34" s="1"/>
  <c r="J15" i="34"/>
  <c r="H15" i="34"/>
  <c r="AB15" i="34" s="1"/>
  <c r="J28" i="34"/>
  <c r="F41" i="33"/>
  <c r="AA41" i="33" s="1"/>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A38" i="34"/>
  <c r="J37" i="34"/>
  <c r="AC37" i="34" s="1"/>
  <c r="J11" i="33"/>
  <c r="W11" i="33" s="1"/>
  <c r="S28" i="34"/>
  <c r="M123" i="21"/>
  <c r="J42" i="21"/>
  <c r="AC42" i="21" s="1"/>
  <c r="H42" i="21"/>
  <c r="U42" i="21" s="1"/>
  <c r="J44" i="34"/>
  <c r="F44" i="34"/>
  <c r="J10" i="35"/>
  <c r="AC10" i="35" s="1"/>
  <c r="J14" i="21"/>
  <c r="W14" i="21"/>
  <c r="F14" i="21"/>
  <c r="S14" i="21" s="1"/>
  <c r="H14" i="21"/>
  <c r="U14" i="21" s="1"/>
  <c r="H28" i="21"/>
  <c r="AB28" i="21" s="1"/>
  <c r="H30" i="21"/>
  <c r="U30" i="21" s="1"/>
  <c r="F30" i="21"/>
  <c r="S30" i="21" s="1"/>
  <c r="J30" i="21"/>
  <c r="AC30" i="2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9" i="21"/>
  <c r="U29" i="21" s="1"/>
  <c r="J31" i="21"/>
  <c r="AC31" i="21" s="1"/>
  <c r="F31" i="21"/>
  <c r="S31" i="21"/>
  <c r="F27" i="33"/>
  <c r="AA27" i="33" s="1"/>
  <c r="J13" i="33"/>
  <c r="F13" i="33"/>
  <c r="S13" i="33" s="1"/>
  <c r="J29" i="33"/>
  <c r="J31" i="33"/>
  <c r="H31" i="33"/>
  <c r="H45" i="33"/>
  <c r="J45" i="33"/>
  <c r="W45" i="33" s="1"/>
  <c r="AA45" i="33"/>
  <c r="F14" i="34"/>
  <c r="H14" i="34"/>
  <c r="F30" i="34"/>
  <c r="S30" i="34" s="1"/>
  <c r="J30" i="34"/>
  <c r="F32" i="34"/>
  <c r="H46" i="34"/>
  <c r="U46" i="34" s="1"/>
  <c r="F46" i="34"/>
  <c r="S46" i="34" s="1"/>
  <c r="H11" i="35"/>
  <c r="AB11" i="35" s="1"/>
  <c r="J26" i="36"/>
  <c r="W26" i="36" s="1"/>
  <c r="H28" i="36"/>
  <c r="U28" i="36" s="1"/>
  <c r="J11" i="36"/>
  <c r="AC11" i="36" s="1"/>
  <c r="H11" i="36"/>
  <c r="U11" i="36" s="1"/>
  <c r="F11" i="36"/>
  <c r="AA11" i="36" s="1"/>
  <c r="H13" i="36"/>
  <c r="AB13" i="36" s="1"/>
  <c r="J13" i="36"/>
  <c r="S13" i="36"/>
  <c r="E89" i="37"/>
  <c r="F89" i="37"/>
  <c r="G89" i="37" s="1"/>
  <c r="H89" i="37" s="1"/>
  <c r="I89" i="37" s="1"/>
  <c r="J89" i="37" s="1"/>
  <c r="K89" i="37" s="1"/>
  <c r="L89" i="37" s="1"/>
  <c r="M89" i="37" s="1"/>
  <c r="J29" i="37"/>
  <c r="W29" i="37" s="1"/>
  <c r="F29" i="37"/>
  <c r="S29" i="37"/>
  <c r="F105" i="37"/>
  <c r="G105" i="37" s="1"/>
  <c r="H36" i="37"/>
  <c r="AB36" i="37" s="1"/>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AB13" i="39" s="1"/>
  <c r="H14" i="40"/>
  <c r="AB14" i="40"/>
  <c r="J14" i="40"/>
  <c r="W14" i="40" s="1"/>
  <c r="F14" i="40"/>
  <c r="AA14" i="40" s="1"/>
  <c r="J14" i="37"/>
  <c r="J27" i="37"/>
  <c r="AC27" i="37"/>
  <c r="AA44" i="33"/>
  <c r="U46" i="33"/>
  <c r="AA14" i="33"/>
  <c r="J36" i="37"/>
  <c r="AC36" i="37" s="1"/>
  <c r="J10" i="36"/>
  <c r="AC10" i="36" s="1"/>
  <c r="AB26" i="33"/>
  <c r="W31" i="34"/>
  <c r="S11" i="36"/>
  <c r="AB46" i="34"/>
  <c r="S45" i="33"/>
  <c r="BA586" i="3"/>
  <c r="F17" i="21"/>
  <c r="AA17" i="21" s="1"/>
  <c r="H17" i="21"/>
  <c r="AB17" i="21" s="1"/>
  <c r="F15" i="21"/>
  <c r="S15" i="21" s="1"/>
  <c r="J41" i="39"/>
  <c r="W41" i="39" s="1"/>
  <c r="W44" i="39"/>
  <c r="S35" i="39"/>
  <c r="G544" i="3"/>
  <c r="G540" i="3"/>
  <c r="G536" i="3"/>
  <c r="G535" i="3"/>
  <c r="G532" i="3"/>
  <c r="G531" i="3"/>
  <c r="G528" i="3"/>
  <c r="G527" i="3"/>
  <c r="G523" i="3"/>
  <c r="G518" i="3"/>
  <c r="G514" i="3"/>
  <c r="G510" i="3"/>
  <c r="G508" i="3"/>
  <c r="G504" i="3"/>
  <c r="G500" i="3"/>
  <c r="G496" i="3"/>
  <c r="G584" i="3"/>
  <c r="G580" i="3"/>
  <c r="G576" i="3"/>
  <c r="G572" i="3"/>
  <c r="G564" i="3"/>
  <c r="G554" i="3"/>
  <c r="G550" i="3"/>
  <c r="BL584" i="3"/>
  <c r="AZ584" i="3" s="1"/>
  <c r="BL580" i="3"/>
  <c r="BL576" i="3"/>
  <c r="BL572" i="3"/>
  <c r="BL560" i="3"/>
  <c r="BL554" i="3"/>
  <c r="BL546" i="3"/>
  <c r="BL542" i="3"/>
  <c r="BL538" i="3"/>
  <c r="AZ538" i="3" s="1"/>
  <c r="BL534" i="3"/>
  <c r="BL530" i="3"/>
  <c r="BL526" i="3"/>
  <c r="BL522" i="3"/>
  <c r="AZ522" i="3" s="1"/>
  <c r="BL516" i="3"/>
  <c r="BL512" i="3"/>
  <c r="BL506" i="3"/>
  <c r="BL502" i="3"/>
  <c r="AZ502" i="3" s="1"/>
  <c r="BL498" i="3"/>
  <c r="BL494" i="3"/>
  <c r="BL582" i="3"/>
  <c r="BL578" i="3"/>
  <c r="BL574" i="3"/>
  <c r="BL570" i="3"/>
  <c r="BL552" i="3"/>
  <c r="BL544" i="3"/>
  <c r="BL540" i="3"/>
  <c r="AZ540" i="3" s="1"/>
  <c r="BL536" i="3"/>
  <c r="G533" i="3"/>
  <c r="BL532" i="3"/>
  <c r="G529" i="3"/>
  <c r="BL528" i="3"/>
  <c r="G525" i="3"/>
  <c r="BL524" i="3"/>
  <c r="BL518" i="3"/>
  <c r="BL514" i="3"/>
  <c r="BL510" i="3"/>
  <c r="BL504" i="3"/>
  <c r="BL500" i="3"/>
  <c r="BL496" i="3"/>
  <c r="G493" i="3"/>
  <c r="BA584" i="3"/>
  <c r="BA582" i="3"/>
  <c r="AZ582" i="3" s="1"/>
  <c r="BA580" i="3"/>
  <c r="BA578" i="3"/>
  <c r="BA576" i="3"/>
  <c r="BA574" i="3"/>
  <c r="AZ574" i="3" s="1"/>
  <c r="BA572" i="3"/>
  <c r="AZ572" i="3" s="1"/>
  <c r="BA570" i="3"/>
  <c r="AZ570" i="3" s="1"/>
  <c r="BA556" i="3"/>
  <c r="BA554" i="3"/>
  <c r="AZ554" i="3" s="1"/>
  <c r="BA552" i="3"/>
  <c r="BA548" i="3"/>
  <c r="BA546" i="3"/>
  <c r="BA544" i="3"/>
  <c r="AZ544" i="3" s="1"/>
  <c r="BA542" i="3"/>
  <c r="AZ542" i="3" s="1"/>
  <c r="BA540" i="3"/>
  <c r="BA538" i="3"/>
  <c r="BA536" i="3"/>
  <c r="AZ536" i="3"/>
  <c r="BA534" i="3"/>
  <c r="AZ534" i="3"/>
  <c r="BA532" i="3"/>
  <c r="AZ532" i="3"/>
  <c r="BA530" i="3"/>
  <c r="BA528" i="3"/>
  <c r="AZ528" i="3" s="1"/>
  <c r="BA526" i="3"/>
  <c r="BA524" i="3"/>
  <c r="AZ524" i="3" s="1"/>
  <c r="BA522" i="3"/>
  <c r="BA520" i="3"/>
  <c r="BA518" i="3"/>
  <c r="BA516" i="3"/>
  <c r="AZ516" i="3" s="1"/>
  <c r="BA514" i="3"/>
  <c r="BA512" i="3"/>
  <c r="AZ512" i="3" s="1"/>
  <c r="BA510" i="3"/>
  <c r="BA508" i="3"/>
  <c r="BA506" i="3"/>
  <c r="BA504" i="3"/>
  <c r="AZ504" i="3" s="1"/>
  <c r="BA502" i="3"/>
  <c r="BA500" i="3"/>
  <c r="BA498" i="3"/>
  <c r="AZ498" i="3" s="1"/>
  <c r="BA496" i="3"/>
  <c r="AZ496" i="3" s="1"/>
  <c r="BA494" i="3"/>
  <c r="BA587" i="3"/>
  <c r="BA583" i="3"/>
  <c r="BA581" i="3"/>
  <c r="BA579" i="3"/>
  <c r="AZ579" i="3" s="1"/>
  <c r="BA577" i="3"/>
  <c r="BA575" i="3"/>
  <c r="AZ575" i="3" s="1"/>
  <c r="BA573" i="3"/>
  <c r="BA571" i="3"/>
  <c r="BA563" i="3"/>
  <c r="BA555" i="3"/>
  <c r="BA553" i="3"/>
  <c r="BA549" i="3"/>
  <c r="BA547" i="3"/>
  <c r="BA545" i="3"/>
  <c r="BA543" i="3"/>
  <c r="BA541" i="3"/>
  <c r="BA539" i="3"/>
  <c r="BA537" i="3"/>
  <c r="BA535" i="3"/>
  <c r="BA533" i="3"/>
  <c r="BA531" i="3"/>
  <c r="BA529" i="3"/>
  <c r="BA527" i="3"/>
  <c r="BA525" i="3"/>
  <c r="BA523" i="3"/>
  <c r="BA519" i="3"/>
  <c r="BA517" i="3"/>
  <c r="BA515" i="3"/>
  <c r="BA513" i="3"/>
  <c r="AZ513" i="3" s="1"/>
  <c r="BA511" i="3"/>
  <c r="BA507" i="3"/>
  <c r="BA505" i="3"/>
  <c r="BA503" i="3"/>
  <c r="BA501" i="3"/>
  <c r="BA499" i="3"/>
  <c r="BA497" i="3"/>
  <c r="BA495" i="3"/>
  <c r="BA493" i="3"/>
  <c r="G583" i="3"/>
  <c r="G581" i="3"/>
  <c r="G579" i="3"/>
  <c r="G577" i="3"/>
  <c r="G575" i="3"/>
  <c r="G573" i="3"/>
  <c r="G571" i="3"/>
  <c r="G565" i="3"/>
  <c r="AC557" i="3"/>
  <c r="BQ557" i="3"/>
  <c r="BL557" i="3" s="1"/>
  <c r="BQ583" i="3"/>
  <c r="BL583" i="3" s="1"/>
  <c r="BQ581" i="3"/>
  <c r="BL581" i="3" s="1"/>
  <c r="BQ579" i="3"/>
  <c r="BL579" i="3" s="1"/>
  <c r="BQ577" i="3"/>
  <c r="BL577" i="3" s="1"/>
  <c r="AZ577" i="3" s="1"/>
  <c r="BQ575" i="3"/>
  <c r="BL575" i="3"/>
  <c r="BQ573" i="3"/>
  <c r="BL573" i="3" s="1"/>
  <c r="AZ573" i="3" s="1"/>
  <c r="BQ571" i="3"/>
  <c r="BL571" i="3" s="1"/>
  <c r="BQ569" i="3"/>
  <c r="BQ567" i="3"/>
  <c r="BQ565" i="3"/>
  <c r="BQ563" i="3"/>
  <c r="BQ561" i="3"/>
  <c r="BQ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Z509" i="3" s="1"/>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U39" i="37"/>
  <c r="W47" i="34"/>
  <c r="AA13" i="33"/>
  <c r="W44" i="33"/>
  <c r="U11" i="33"/>
  <c r="U19" i="21"/>
  <c r="F43" i="33"/>
  <c r="AA43" i="33" s="1"/>
  <c r="W15" i="34"/>
  <c r="AC15" i="34"/>
  <c r="W16" i="35"/>
  <c r="W40" i="37"/>
  <c r="H19" i="34"/>
  <c r="AB19" i="34" s="1"/>
  <c r="J9" i="37"/>
  <c r="W9" i="37" s="1"/>
  <c r="H9" i="37"/>
  <c r="U9" i="37" s="1"/>
  <c r="F9" i="37"/>
  <c r="S9" i="37" s="1"/>
  <c r="J12" i="37"/>
  <c r="W12" i="37" s="1"/>
  <c r="H12" i="37"/>
  <c r="AB12" i="37" s="1"/>
  <c r="F12" i="37"/>
  <c r="S12"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19" i="40"/>
  <c r="S19" i="40" s="1"/>
  <c r="S14" i="40"/>
  <c r="AC13" i="40"/>
  <c r="W23" i="39"/>
  <c r="AC43" i="39"/>
  <c r="W43" i="39"/>
  <c r="U45" i="39"/>
  <c r="AB45" i="39"/>
  <c r="AB44" i="39"/>
  <c r="U44" i="39"/>
  <c r="G100" i="39"/>
  <c r="H25" i="39"/>
  <c r="AB25" i="39"/>
  <c r="J25" i="39"/>
  <c r="F25" i="39"/>
  <c r="AA25" i="39" s="1"/>
  <c r="F15" i="39"/>
  <c r="AA15" i="39" s="1"/>
  <c r="H15" i="39"/>
  <c r="U15" i="39" s="1"/>
  <c r="J15" i="39"/>
  <c r="W15" i="39" s="1"/>
  <c r="H41" i="39"/>
  <c r="AB41" i="39" s="1"/>
  <c r="W27" i="39"/>
  <c r="AB34" i="39"/>
  <c r="S42" i="39"/>
  <c r="AA41" i="39"/>
  <c r="W9" i="39"/>
  <c r="W8" i="39"/>
  <c r="J19" i="40"/>
  <c r="AC19" i="40" s="1"/>
  <c r="J50" i="40"/>
  <c r="H103" i="9"/>
  <c r="D8" i="53" s="1"/>
  <c r="B16" i="53"/>
  <c r="B33" i="72" s="1"/>
  <c r="C7" i="37"/>
  <c r="C7" i="34"/>
  <c r="C7" i="36"/>
  <c r="C46" i="36" s="1"/>
  <c r="D46" i="36" s="1"/>
  <c r="E46" i="36" s="1"/>
  <c r="F46" i="36" s="1"/>
  <c r="G46" i="36" s="1"/>
  <c r="H46" i="36" s="1"/>
  <c r="I46" i="36"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AZ325" i="3" s="1"/>
  <c r="BL325" i="3"/>
  <c r="G326" i="3"/>
  <c r="BA327" i="3"/>
  <c r="AZ327" i="3" s="1"/>
  <c r="G335" i="3"/>
  <c r="BL336" i="3"/>
  <c r="G337" i="3"/>
  <c r="BL338" i="3"/>
  <c r="BA340" i="3"/>
  <c r="AZ340" i="3" s="1"/>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AZ123" i="3" s="1"/>
  <c r="BL124" i="3"/>
  <c r="G125" i="3"/>
  <c r="BA127" i="3"/>
  <c r="AZ127" i="3"/>
  <c r="BL128" i="3"/>
  <c r="G129" i="3"/>
  <c r="BA131" i="3"/>
  <c r="BL132" i="3"/>
  <c r="AZ132" i="3"/>
  <c r="G133" i="3"/>
  <c r="BA135" i="3"/>
  <c r="AZ135" i="3" s="1"/>
  <c r="BL136" i="3"/>
  <c r="G137" i="3"/>
  <c r="BA139" i="3"/>
  <c r="BL140" i="3"/>
  <c r="G141" i="3"/>
  <c r="BA143" i="3"/>
  <c r="BL144" i="3"/>
  <c r="G145" i="3"/>
  <c r="BA147" i="3"/>
  <c r="BL148" i="3"/>
  <c r="G149" i="3"/>
  <c r="BA151" i="3"/>
  <c r="BL152" i="3"/>
  <c r="G153" i="3"/>
  <c r="BA155" i="3"/>
  <c r="AZ155" i="3" s="1"/>
  <c r="BL156" i="3"/>
  <c r="AZ156" i="3"/>
  <c r="G157" i="3"/>
  <c r="BA159" i="3"/>
  <c r="BL160" i="3"/>
  <c r="G161" i="3"/>
  <c r="BA163" i="3"/>
  <c r="BL164" i="3"/>
  <c r="G165" i="3"/>
  <c r="BA167" i="3"/>
  <c r="AZ167" i="3"/>
  <c r="BL168" i="3"/>
  <c r="G169" i="3"/>
  <c r="BA171" i="3"/>
  <c r="AZ171" i="3"/>
  <c r="BL172" i="3"/>
  <c r="G173" i="3"/>
  <c r="BA175" i="3"/>
  <c r="AZ175" i="3"/>
  <c r="BL176" i="3"/>
  <c r="G177" i="3"/>
  <c r="BA179" i="3"/>
  <c r="BL180" i="3"/>
  <c r="AZ180" i="3" s="1"/>
  <c r="G181" i="3"/>
  <c r="BA183" i="3"/>
  <c r="BL184" i="3"/>
  <c r="AZ184" i="3" s="1"/>
  <c r="G185" i="3"/>
  <c r="BA187" i="3"/>
  <c r="AZ187" i="3" s="1"/>
  <c r="BL188" i="3"/>
  <c r="G189" i="3"/>
  <c r="BA191" i="3"/>
  <c r="AZ191" i="3" s="1"/>
  <c r="BL192" i="3"/>
  <c r="G193" i="3"/>
  <c r="BA195" i="3"/>
  <c r="AZ195" i="3" s="1"/>
  <c r="BL196" i="3"/>
  <c r="AZ196" i="3"/>
  <c r="G197" i="3"/>
  <c r="BA199" i="3"/>
  <c r="BL200" i="3"/>
  <c r="G201" i="3"/>
  <c r="BA203" i="3"/>
  <c r="BL204" i="3"/>
  <c r="AZ67" i="3"/>
  <c r="AZ120"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AZ346" i="3" s="1"/>
  <c r="BA347" i="3"/>
  <c r="BL347" i="3"/>
  <c r="AZ347" i="3" s="1"/>
  <c r="G350" i="3"/>
  <c r="BA351" i="3"/>
  <c r="BL351" i="3"/>
  <c r="G352" i="3"/>
  <c r="G354" i="3"/>
  <c r="BA355" i="3"/>
  <c r="AZ355" i="3" s="1"/>
  <c r="BA356" i="3"/>
  <c r="BL356" i="3"/>
  <c r="AZ356" i="3" s="1"/>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AZ389" i="3" s="1"/>
  <c r="BA390" i="3"/>
  <c r="BL390" i="3"/>
  <c r="G391" i="3"/>
  <c r="G394" i="3"/>
  <c r="AZ146" i="3"/>
  <c r="AZ500" i="3"/>
  <c r="BA16" i="3"/>
  <c r="BL303" i="3"/>
  <c r="G304" i="3"/>
  <c r="BA306" i="3"/>
  <c r="BL307" i="3"/>
  <c r="G308" i="3"/>
  <c r="BA310" i="3"/>
  <c r="AZ310" i="3" s="1"/>
  <c r="BL311" i="3"/>
  <c r="AZ311" i="3" s="1"/>
  <c r="G312" i="3"/>
  <c r="BA314" i="3"/>
  <c r="BL315" i="3"/>
  <c r="AZ315" i="3"/>
  <c r="G316" i="3"/>
  <c r="BA318" i="3"/>
  <c r="BL319" i="3"/>
  <c r="AZ319" i="3" s="1"/>
  <c r="G320" i="3"/>
  <c r="BA322" i="3"/>
  <c r="AZ322" i="3" s="1"/>
  <c r="BL323" i="3"/>
  <c r="G324" i="3"/>
  <c r="BA326" i="3"/>
  <c r="AZ326" i="3"/>
  <c r="BL327" i="3"/>
  <c r="G328" i="3"/>
  <c r="BA330" i="3"/>
  <c r="BL331" i="3"/>
  <c r="AZ331" i="3" s="1"/>
  <c r="G332" i="3"/>
  <c r="BA334" i="3"/>
  <c r="BL335" i="3"/>
  <c r="G336" i="3"/>
  <c r="BA338" i="3"/>
  <c r="BL339" i="3"/>
  <c r="G340" i="3"/>
  <c r="BL343" i="3"/>
  <c r="G344" i="3"/>
  <c r="G348" i="3"/>
  <c r="G355" i="3"/>
  <c r="AZ222" i="3"/>
  <c r="G342" i="3"/>
  <c r="BL345" i="3"/>
  <c r="G346" i="3"/>
  <c r="BL349" i="3"/>
  <c r="BL352" i="3"/>
  <c r="G353" i="3"/>
  <c r="BA357" i="3"/>
  <c r="AZ357" i="3" s="1"/>
  <c r="BL358" i="3"/>
  <c r="G359" i="3"/>
  <c r="BA361" i="3"/>
  <c r="AZ361" i="3" s="1"/>
  <c r="BL362" i="3"/>
  <c r="G363" i="3"/>
  <c r="BA365" i="3"/>
  <c r="BL366" i="3"/>
  <c r="G367" i="3"/>
  <c r="BA369" i="3"/>
  <c r="AZ369" i="3" s="1"/>
  <c r="BL370" i="3"/>
  <c r="G371" i="3"/>
  <c r="BA373" i="3"/>
  <c r="AZ373" i="3" s="1"/>
  <c r="BL374" i="3"/>
  <c r="G375" i="3"/>
  <c r="BA377" i="3"/>
  <c r="AZ377" i="3" s="1"/>
  <c r="AZ237" i="3"/>
  <c r="AZ245" i="3"/>
  <c r="AZ257" i="3"/>
  <c r="AZ265" i="3"/>
  <c r="BA379" i="3"/>
  <c r="AZ379" i="3" s="1"/>
  <c r="BL380" i="3"/>
  <c r="G381" i="3"/>
  <c r="BA383" i="3"/>
  <c r="AZ383" i="3" s="1"/>
  <c r="BL384" i="3"/>
  <c r="AZ384" i="3" s="1"/>
  <c r="G385" i="3"/>
  <c r="BA387" i="3"/>
  <c r="BL388" i="3"/>
  <c r="G389" i="3"/>
  <c r="BA391" i="3"/>
  <c r="AZ391" i="3" s="1"/>
  <c r="BL392" i="3"/>
  <c r="G393" i="3"/>
  <c r="AZ283" i="3"/>
  <c r="BO5" i="3"/>
  <c r="BF5" i="3"/>
  <c r="AC5" i="3"/>
  <c r="AZ506" i="3"/>
  <c r="G548" i="3"/>
  <c r="G538" i="3"/>
  <c r="G520" i="3"/>
  <c r="G502" i="3"/>
  <c r="BP5" i="3"/>
  <c r="BG5" i="3"/>
  <c r="G17" i="3"/>
  <c r="BA17" i="3"/>
  <c r="BA15" i="3"/>
  <c r="AZ15" i="3" s="1"/>
  <c r="AZ380" i="3"/>
  <c r="AZ499" i="3"/>
  <c r="G509" i="3"/>
  <c r="BL493" i="3"/>
  <c r="AZ493" i="3" s="1"/>
  <c r="U36" i="40"/>
  <c r="F83" i="43"/>
  <c r="H85" i="43" s="1"/>
  <c r="F50" i="43"/>
  <c r="H54" i="43" s="1"/>
  <c r="F72" i="43"/>
  <c r="H75" i="43" s="1"/>
  <c r="U17" i="39"/>
  <c r="U43" i="21"/>
  <c r="U35" i="21"/>
  <c r="G10" i="1"/>
  <c r="AZ501" i="3"/>
  <c r="W37" i="37"/>
  <c r="W44" i="34"/>
  <c r="AC44" i="34"/>
  <c r="S15" i="37"/>
  <c r="U13" i="37"/>
  <c r="AA12" i="40"/>
  <c r="J37" i="33"/>
  <c r="W37" i="33" s="1"/>
  <c r="AC17" i="34"/>
  <c r="F106" i="33"/>
  <c r="G106" i="33" s="1"/>
  <c r="H106" i="33" s="1"/>
  <c r="I106" i="33" s="1"/>
  <c r="J106" i="33" s="1"/>
  <c r="K106" i="33" s="1"/>
  <c r="L106" i="33" s="1"/>
  <c r="M106" i="33" s="1"/>
  <c r="J34" i="33"/>
  <c r="W34" i="33" s="1"/>
  <c r="F33" i="34"/>
  <c r="S33" i="34" s="1"/>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40" i="3"/>
  <c r="AZ280" i="3"/>
  <c r="AZ50" i="3"/>
  <c r="AZ82" i="3"/>
  <c r="AZ94" i="3"/>
  <c r="F23" i="39"/>
  <c r="AA23" i="39"/>
  <c r="H27" i="36"/>
  <c r="U27" i="36" s="1"/>
  <c r="F27" i="36"/>
  <c r="AA27" i="36" s="1"/>
  <c r="H33" i="34"/>
  <c r="U33" i="34"/>
  <c r="F32" i="37"/>
  <c r="AA32"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12" i="3"/>
  <c r="AZ433" i="3"/>
  <c r="W12" i="33"/>
  <c r="AC12" i="33"/>
  <c r="AZ437" i="3"/>
  <c r="BL14" i="3"/>
  <c r="U30" i="33"/>
  <c r="AA47" i="34"/>
  <c r="W28" i="37"/>
  <c r="S19" i="39"/>
  <c r="F12" i="33"/>
  <c r="AA12" i="33" s="1"/>
  <c r="H12" i="39"/>
  <c r="AB12" i="39"/>
  <c r="F39" i="40"/>
  <c r="AA39" i="40" s="1"/>
  <c r="BA14" i="3"/>
  <c r="AZ14" i="3" s="1"/>
  <c r="AZ224" i="3"/>
  <c r="B12" i="1"/>
  <c r="E12" i="1" s="1"/>
  <c r="B10" i="1"/>
  <c r="E10" i="1" s="1"/>
  <c r="AZ88" i="3"/>
  <c r="K12" i="1"/>
  <c r="M12" i="1" s="1"/>
  <c r="S13" i="1"/>
  <c r="AR13" i="1" s="1"/>
  <c r="R13" i="1"/>
  <c r="J51" i="67"/>
  <c r="C42" i="1"/>
  <c r="C24" i="12" s="1"/>
  <c r="AA34" i="33"/>
  <c r="B41" i="1"/>
  <c r="F48" i="9" s="1"/>
  <c r="O52" i="9" s="1"/>
  <c r="AB37" i="40"/>
  <c r="S35" i="40"/>
  <c r="U35" i="40"/>
  <c r="AC36" i="40"/>
  <c r="AA32" i="40"/>
  <c r="S17" i="40"/>
  <c r="S23" i="40"/>
  <c r="AC17" i="40"/>
  <c r="AB27" i="40"/>
  <c r="S30" i="40"/>
  <c r="S28" i="40"/>
  <c r="AA27" i="40"/>
  <c r="U21" i="40"/>
  <c r="AB19" i="40"/>
  <c r="S43"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U12" i="39"/>
  <c r="S23" i="36"/>
  <c r="U26" i="36"/>
  <c r="S33" i="36"/>
  <c r="AA26" i="36"/>
  <c r="AA34" i="36"/>
  <c r="AC26" i="36"/>
  <c r="AA22" i="36"/>
  <c r="W14" i="36"/>
  <c r="AB14" i="36"/>
  <c r="U22" i="36"/>
  <c r="S16" i="36"/>
  <c r="AA25" i="36"/>
  <c r="U23" i="36"/>
  <c r="AB20" i="36"/>
  <c r="U16" i="36"/>
  <c r="S14" i="36"/>
  <c r="S23" i="35"/>
  <c r="W24" i="35"/>
  <c r="AB13" i="35"/>
  <c r="U29" i="35"/>
  <c r="U28" i="35"/>
  <c r="AB27" i="35"/>
  <c r="U32" i="35"/>
  <c r="AA33" i="35"/>
  <c r="AC30" i="35"/>
  <c r="S32" i="35"/>
  <c r="S28" i="35"/>
  <c r="U22" i="35"/>
  <c r="S20" i="35"/>
  <c r="AC20" i="35"/>
  <c r="U14" i="35"/>
  <c r="AC9" i="35"/>
  <c r="W9" i="35"/>
  <c r="W13" i="35"/>
  <c r="F9" i="35"/>
  <c r="S9" i="35" s="1"/>
  <c r="H9" i="35"/>
  <c r="U9" i="35" s="1"/>
  <c r="AB40" i="37"/>
  <c r="W27" i="37"/>
  <c r="AC29" i="37"/>
  <c r="U29" i="37"/>
  <c r="S32" i="37"/>
  <c r="AB31" i="37"/>
  <c r="W30" i="37"/>
  <c r="S36" i="37"/>
  <c r="AA38" i="37"/>
  <c r="AC35" i="37"/>
  <c r="W39" i="37"/>
  <c r="S30" i="37"/>
  <c r="AC15" i="37"/>
  <c r="J17" i="37"/>
  <c r="W17" i="37" s="1"/>
  <c r="G73" i="37"/>
  <c r="F17" i="37"/>
  <c r="AA17" i="37" s="1"/>
  <c r="AB17" i="37"/>
  <c r="F75" i="37"/>
  <c r="F19" i="37"/>
  <c r="S19" i="37" s="1"/>
  <c r="F79" i="37"/>
  <c r="F23" i="37"/>
  <c r="S23" i="37" s="1"/>
  <c r="U23" i="37"/>
  <c r="U15"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H10" i="34"/>
  <c r="AB10" i="34" s="1"/>
  <c r="F11" i="34"/>
  <c r="S11" i="34" s="1"/>
  <c r="F70" i="34"/>
  <c r="W42" i="33"/>
  <c r="AA35" i="33"/>
  <c r="S32"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S46" i="33"/>
  <c r="W43" i="33"/>
  <c r="S43" i="33"/>
  <c r="F91" i="33"/>
  <c r="H27" i="33"/>
  <c r="U27" i="33" s="1"/>
  <c r="F87" i="33"/>
  <c r="H25" i="33"/>
  <c r="F25" i="33"/>
  <c r="J23" i="33"/>
  <c r="AC23" i="33" s="1"/>
  <c r="F85" i="33"/>
  <c r="G85" i="33" s="1"/>
  <c r="H23" i="33"/>
  <c r="F81" i="33"/>
  <c r="F19" i="33"/>
  <c r="S19" i="33" s="1"/>
  <c r="J17" i="33"/>
  <c r="F79" i="33"/>
  <c r="G79" i="33" s="1"/>
  <c r="S15" i="33"/>
  <c r="W15" i="33"/>
  <c r="U9" i="33"/>
  <c r="J10" i="33"/>
  <c r="W10" i="33" s="1"/>
  <c r="H10" i="33"/>
  <c r="U10" i="33" s="1"/>
  <c r="AC11" i="33"/>
  <c r="W36" i="21"/>
  <c r="W41" i="21"/>
  <c r="AB39" i="21"/>
  <c r="AA43" i="21"/>
  <c r="AA36" i="21"/>
  <c r="J15" i="21"/>
  <c r="W15" i="21" s="1"/>
  <c r="F77" i="21"/>
  <c r="G77" i="21"/>
  <c r="F23" i="21"/>
  <c r="S23" i="21" s="1"/>
  <c r="E85" i="21"/>
  <c r="AA14" i="21"/>
  <c r="D120" i="9"/>
  <c r="D121" i="9" s="1"/>
  <c r="D7" i="52" s="1"/>
  <c r="C18" i="9"/>
  <c r="D18" i="9" s="1"/>
  <c r="F34" i="67"/>
  <c r="F62" i="67" s="1"/>
  <c r="M20" i="67"/>
  <c r="F34" i="15"/>
  <c r="F62" i="15" s="1"/>
  <c r="G13" i="3"/>
  <c r="BL17" i="3"/>
  <c r="AZ17" i="3"/>
  <c r="J56" i="9"/>
  <c r="J57" i="9" s="1"/>
  <c r="J59" i="9" s="1"/>
  <c r="J61" i="9" s="1"/>
  <c r="A24" i="51"/>
  <c r="B18" i="72" s="1"/>
  <c r="E5" i="6"/>
  <c r="E32" i="6"/>
  <c r="G1" i="68"/>
  <c r="K1" i="12"/>
  <c r="E19" i="69"/>
  <c r="E19" i="68"/>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AB31" i="40"/>
  <c r="S37" i="40"/>
  <c r="W28" i="40"/>
  <c r="W34" i="40"/>
  <c r="W19" i="40"/>
  <c r="S36" i="40"/>
  <c r="W37" i="40"/>
  <c r="AC14" i="40"/>
  <c r="S33" i="40"/>
  <c r="AA15" i="40"/>
  <c r="U11" i="40"/>
  <c r="S31" i="40"/>
  <c r="AB13" i="40"/>
  <c r="U15" i="40"/>
  <c r="AB17" i="40"/>
  <c r="U8" i="40"/>
  <c r="S8" i="40"/>
  <c r="AA39" i="39"/>
  <c r="AC41" i="39"/>
  <c r="U42" i="39"/>
  <c r="U41" i="39"/>
  <c r="W25" i="39"/>
  <c r="AC25" i="39"/>
  <c r="U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A13" i="36"/>
  <c r="W22" i="36"/>
  <c r="S24" i="35"/>
  <c r="S35" i="35"/>
  <c r="W35" i="35"/>
  <c r="AA16" i="35"/>
  <c r="AA35" i="37"/>
  <c r="W36" i="37"/>
  <c r="S27" i="37"/>
  <c r="S28" i="37"/>
  <c r="W32" i="37"/>
  <c r="U36" i="37"/>
  <c r="S40" i="37"/>
  <c r="AC34" i="37"/>
  <c r="AB35" i="37"/>
  <c r="AA31" i="37"/>
  <c r="U19" i="37"/>
  <c r="AA29" i="37"/>
  <c r="U8" i="37"/>
  <c r="AA40" i="34"/>
  <c r="AB40" i="34"/>
  <c r="U19" i="34"/>
  <c r="W19" i="34"/>
  <c r="AB33" i="34"/>
  <c r="AC45" i="34"/>
  <c r="AA31" i="34"/>
  <c r="AB45" i="34"/>
  <c r="U25" i="34"/>
  <c r="AB36" i="34"/>
  <c r="W33" i="34"/>
  <c r="AC14" i="34"/>
  <c r="AC29" i="34"/>
  <c r="W29" i="34"/>
  <c r="W46" i="34"/>
  <c r="AC46" i="34"/>
  <c r="S32" i="34"/>
  <c r="AA32" i="34"/>
  <c r="U30" i="34"/>
  <c r="AB30" i="34"/>
  <c r="S37" i="34"/>
  <c r="U38" i="34"/>
  <c r="AC40" i="34"/>
  <c r="W40" i="34"/>
  <c r="AA19" i="34"/>
  <c r="S19" i="34"/>
  <c r="AA36" i="34"/>
  <c r="S36" i="34"/>
  <c r="AA8" i="34"/>
  <c r="S8" i="34"/>
  <c r="AB9" i="34"/>
  <c r="U9" i="34"/>
  <c r="U14" i="34"/>
  <c r="AB14" i="34"/>
  <c r="AC43" i="34"/>
  <c r="W43"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I101" i="21"/>
  <c r="J101" i="21" s="1"/>
  <c r="K101" i="21" s="1"/>
  <c r="L101" i="21" s="1"/>
  <c r="M101" i="21" s="1"/>
  <c r="F33" i="21"/>
  <c r="AA33" i="21" s="1"/>
  <c r="J33" i="21"/>
  <c r="AC33" i="21" s="1"/>
  <c r="H33" i="21"/>
  <c r="AB33" i="21" s="1"/>
  <c r="AB14" i="21"/>
  <c r="AB46" i="21"/>
  <c r="AB31" i="21"/>
  <c r="U31" i="21"/>
  <c r="AC15" i="21"/>
  <c r="U13" i="21"/>
  <c r="AB13" i="21"/>
  <c r="H15" i="21"/>
  <c r="U15" i="21" s="1"/>
  <c r="J17" i="21"/>
  <c r="AC17" i="21"/>
  <c r="AC19" i="21"/>
  <c r="W39" i="21"/>
  <c r="AC14" i="21"/>
  <c r="W30" i="21"/>
  <c r="S46" i="21"/>
  <c r="F29" i="21"/>
  <c r="AA29" i="21" s="1"/>
  <c r="F13" i="21"/>
  <c r="AA13" i="21" s="1"/>
  <c r="AC38" i="21"/>
  <c r="H32" i="21"/>
  <c r="AB32" i="21" s="1"/>
  <c r="H9" i="21"/>
  <c r="AB9" i="21" s="1"/>
  <c r="J9" i="21"/>
  <c r="W9" i="21" s="1"/>
  <c r="J32" i="21"/>
  <c r="W32" i="21" s="1"/>
  <c r="F32" i="21"/>
  <c r="AA32" i="21" s="1"/>
  <c r="AA31" i="21"/>
  <c r="U17" i="21"/>
  <c r="W29" i="21"/>
  <c r="S19" i="21"/>
  <c r="K141" i="21"/>
  <c r="K144" i="21"/>
  <c r="K143" i="21"/>
  <c r="AB25" i="21"/>
  <c r="AA30" i="21"/>
  <c r="W13" i="21"/>
  <c r="F10" i="21"/>
  <c r="AA10" i="21" s="1"/>
  <c r="K145" i="21"/>
  <c r="W17" i="21"/>
  <c r="W25" i="21"/>
  <c r="W31" i="21"/>
  <c r="S17" i="21"/>
  <c r="AB29" i="21"/>
  <c r="AB36" i="21"/>
  <c r="C19" i="39"/>
  <c r="C15" i="40"/>
  <c r="C17" i="40"/>
  <c r="C23" i="40"/>
  <c r="C21" i="40"/>
  <c r="U30" i="40"/>
  <c r="B56" i="43"/>
  <c r="B67" i="43"/>
  <c r="B54" i="43"/>
  <c r="B58" i="43"/>
  <c r="B62" i="43"/>
  <c r="B65" i="43"/>
  <c r="D23" i="15"/>
  <c r="D22" i="15"/>
  <c r="E4" i="4"/>
  <c r="B5" i="62" s="1"/>
  <c r="B73" i="72" s="1"/>
  <c r="C4" i="4"/>
  <c r="F30" i="11"/>
  <c r="C48" i="11" s="1"/>
  <c r="S39" i="40"/>
  <c r="S12" i="33"/>
  <c r="J32" i="39"/>
  <c r="AC32" i="39" s="1"/>
  <c r="H32" i="39"/>
  <c r="AB32" i="39" s="1"/>
  <c r="AA32" i="39"/>
  <c r="S32" i="39"/>
  <c r="AB21" i="39"/>
  <c r="U21" i="39"/>
  <c r="S21" i="39"/>
  <c r="S17" i="37"/>
  <c r="J19" i="37"/>
  <c r="W19" i="37" s="1"/>
  <c r="G75" i="37"/>
  <c r="AA19"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AB41" i="33"/>
  <c r="U41" i="33"/>
  <c r="W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U25" i="33"/>
  <c r="AB25" i="33"/>
  <c r="S25" i="33"/>
  <c r="AA25" i="33"/>
  <c r="G87" i="33"/>
  <c r="H87" i="33" s="1"/>
  <c r="I87" i="33" s="1"/>
  <c r="J87" i="33" s="1"/>
  <c r="K87" i="33" s="1"/>
  <c r="L87" i="33" s="1"/>
  <c r="M87" i="33" s="1"/>
  <c r="J25" i="33"/>
  <c r="AB23" i="33"/>
  <c r="U23" i="33"/>
  <c r="F23" i="33"/>
  <c r="AA19" i="33"/>
  <c r="H19" i="33"/>
  <c r="U19" i="33" s="1"/>
  <c r="G81" i="33"/>
  <c r="H17" i="33"/>
  <c r="U17" i="33" s="1"/>
  <c r="F17" i="33"/>
  <c r="S17" i="33" s="1"/>
  <c r="W17" i="33"/>
  <c r="AC17" i="33"/>
  <c r="AA23" i="21"/>
  <c r="AB15" i="21"/>
  <c r="J23" i="21"/>
  <c r="W23" i="21" s="1"/>
  <c r="F85" i="21"/>
  <c r="G85" i="21" s="1"/>
  <c r="H23" i="21"/>
  <c r="AB23" i="21" s="1"/>
  <c r="AP7" i="1"/>
  <c r="A18" i="62"/>
  <c r="B64" i="72" s="1"/>
  <c r="U32" i="39"/>
  <c r="W32" i="39"/>
  <c r="W23" i="37"/>
  <c r="AC23" i="37"/>
  <c r="J11" i="37"/>
  <c r="AC11" i="37" s="1"/>
  <c r="J11" i="34"/>
  <c r="W11" i="34" s="1"/>
  <c r="AB36" i="33"/>
  <c r="W27" i="33"/>
  <c r="AC27" i="33"/>
  <c r="W25" i="33"/>
  <c r="AC25" i="33"/>
  <c r="AB19" i="33"/>
  <c r="U23" i="21"/>
  <c r="AC23" i="21"/>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M6" i="67"/>
  <c r="F36" i="15"/>
  <c r="M6" i="15"/>
  <c r="F36" i="67"/>
  <c r="E9" i="76"/>
  <c r="M8" i="15"/>
  <c r="M26" i="67"/>
  <c r="F38" i="67"/>
  <c r="J15" i="15"/>
  <c r="F38" i="15"/>
  <c r="E2" i="68"/>
  <c r="F16" i="67"/>
  <c r="F6" i="73"/>
  <c r="E13" i="76"/>
  <c r="F26" i="15"/>
  <c r="F8" i="15"/>
  <c r="M29" i="15"/>
  <c r="M24" i="67"/>
  <c r="B8" i="76"/>
  <c r="B10" i="76"/>
  <c r="E12" i="76"/>
  <c r="B7" i="76"/>
  <c r="M29" i="67"/>
  <c r="E8" i="76"/>
  <c r="B12" i="76"/>
  <c r="D34" i="9"/>
  <c r="M9" i="15"/>
  <c r="F40" i="15"/>
  <c r="F5" i="73"/>
  <c r="C76" i="15"/>
  <c r="F37" i="15"/>
  <c r="M22" i="15"/>
  <c r="M23" i="15"/>
  <c r="L48" i="15"/>
  <c r="B11" i="76"/>
  <c r="E10" i="76"/>
  <c r="L47" i="15"/>
  <c r="F6" i="15"/>
  <c r="D35" i="9"/>
  <c r="D6" i="73"/>
  <c r="F43" i="15"/>
  <c r="F9" i="15"/>
  <c r="AO13" i="1"/>
  <c r="E7" i="76"/>
  <c r="F13" i="15"/>
  <c r="F7" i="15"/>
  <c r="M28" i="67"/>
  <c r="M24" i="15"/>
  <c r="B9" i="76"/>
  <c r="F16" i="15"/>
  <c r="F7" i="73"/>
  <c r="M26" i="15"/>
  <c r="J15" i="67"/>
  <c r="F4" i="73"/>
  <c r="F20" i="31"/>
  <c r="F42" i="15"/>
  <c r="C76" i="67"/>
  <c r="E2" i="69"/>
  <c r="E11" i="76"/>
  <c r="B13" i="76"/>
  <c r="M9" i="67"/>
  <c r="M8" i="67"/>
  <c r="F3" i="73"/>
  <c r="F37" i="67"/>
  <c r="M28" i="15"/>
  <c r="B69" i="43" l="1"/>
  <c r="B79" i="43"/>
  <c r="B51" i="43"/>
  <c r="C40" i="69"/>
  <c r="AC35" i="21"/>
  <c r="F27" i="21"/>
  <c r="AC27" i="21"/>
  <c r="H27" i="21"/>
  <c r="W42" i="21"/>
  <c r="S42" i="21"/>
  <c r="AB42" i="21"/>
  <c r="J37" i="21"/>
  <c r="W37" i="21" s="1"/>
  <c r="F37" i="21"/>
  <c r="AA37" i="21" s="1"/>
  <c r="H37" i="21"/>
  <c r="U37" i="21" s="1"/>
  <c r="F89" i="21"/>
  <c r="AB44" i="21"/>
  <c r="S44" i="21"/>
  <c r="W44" i="21"/>
  <c r="U40" i="21"/>
  <c r="AC40" i="21"/>
  <c r="S39" i="21"/>
  <c r="AA38" i="21"/>
  <c r="AC34" i="21"/>
  <c r="U34" i="21"/>
  <c r="S32" i="21"/>
  <c r="U32" i="21"/>
  <c r="B57" i="43"/>
  <c r="C29" i="39"/>
  <c r="B68" i="43"/>
  <c r="U9" i="21"/>
  <c r="AA9" i="21"/>
  <c r="H69" i="43"/>
  <c r="F30" i="68"/>
  <c r="F48" i="68" s="1"/>
  <c r="M18" i="15"/>
  <c r="F54" i="9"/>
  <c r="F32" i="15"/>
  <c r="F60" i="15" s="1"/>
  <c r="M18" i="67"/>
  <c r="F52" i="9"/>
  <c r="BA13" i="3"/>
  <c r="BT5" i="3"/>
  <c r="G29" i="6"/>
  <c r="BH5" i="3"/>
  <c r="BD5" i="3"/>
  <c r="A4" i="52"/>
  <c r="B41" i="72" s="1"/>
  <c r="A118" i="9"/>
  <c r="AB37" i="39"/>
  <c r="U37" i="39"/>
  <c r="AZ314" i="3"/>
  <c r="AZ556" i="3"/>
  <c r="J45" i="21"/>
  <c r="F45" i="21"/>
  <c r="AB26" i="37"/>
  <c r="U26" i="37"/>
  <c r="BL558" i="3"/>
  <c r="AA17" i="33"/>
  <c r="S37" i="21"/>
  <c r="D68" i="9"/>
  <c r="F30" i="69"/>
  <c r="F48" i="69" s="1"/>
  <c r="F31" i="12"/>
  <c r="S35" i="21"/>
  <c r="U28" i="21"/>
  <c r="AB47" i="34"/>
  <c r="AB37" i="37"/>
  <c r="U24" i="35"/>
  <c r="AB20" i="35"/>
  <c r="U32" i="40"/>
  <c r="W43" i="21"/>
  <c r="S13" i="34"/>
  <c r="AC13" i="37"/>
  <c r="AC15" i="40"/>
  <c r="AC34" i="33"/>
  <c r="U12" i="40"/>
  <c r="AC11" i="39"/>
  <c r="AZ345" i="3"/>
  <c r="AZ334" i="3"/>
  <c r="AZ372" i="3"/>
  <c r="AZ337" i="3"/>
  <c r="AZ376" i="3"/>
  <c r="AZ309" i="3"/>
  <c r="AZ527" i="3"/>
  <c r="AZ508" i="3"/>
  <c r="BA558" i="3"/>
  <c r="AZ558" i="3" s="1"/>
  <c r="AB30" i="21"/>
  <c r="U33" i="40"/>
  <c r="AB33" i="40"/>
  <c r="U45" i="33"/>
  <c r="AB45" i="33"/>
  <c r="AC38" i="34"/>
  <c r="S41" i="33"/>
  <c r="W28" i="34"/>
  <c r="AC28" i="34"/>
  <c r="U17" i="34"/>
  <c r="AB17" i="34"/>
  <c r="G585" i="3"/>
  <c r="BL587" i="3"/>
  <c r="AZ587" i="3" s="1"/>
  <c r="BL586" i="3"/>
  <c r="AZ586" i="3" s="1"/>
  <c r="BA585" i="3"/>
  <c r="AC8" i="34"/>
  <c r="W8" i="34"/>
  <c r="AA35" i="34"/>
  <c r="S35" i="34"/>
  <c r="J12" i="34"/>
  <c r="H12" i="34"/>
  <c r="J11" i="35"/>
  <c r="F11" i="35"/>
  <c r="F25" i="35"/>
  <c r="J25" i="35"/>
  <c r="J24" i="36"/>
  <c r="H24" i="36"/>
  <c r="F24" i="36"/>
  <c r="F32" i="36"/>
  <c r="H32" i="36"/>
  <c r="AB30" i="37"/>
  <c r="U30" i="37"/>
  <c r="AC40" i="39"/>
  <c r="W40" i="39"/>
  <c r="J37" i="39"/>
  <c r="F37" i="39"/>
  <c r="AC9" i="21"/>
  <c r="D6" i="52"/>
  <c r="AB27" i="33"/>
  <c r="AA23" i="37"/>
  <c r="F28" i="15"/>
  <c r="C28" i="15" s="1"/>
  <c r="F32" i="67"/>
  <c r="F60" i="67" s="1"/>
  <c r="F28" i="67"/>
  <c r="AA15" i="21"/>
  <c r="H45" i="21"/>
  <c r="AA46" i="34"/>
  <c r="W23" i="36"/>
  <c r="AB28" i="36"/>
  <c r="S13" i="40"/>
  <c r="W27" i="40"/>
  <c r="AB28" i="40"/>
  <c r="AB14" i="33"/>
  <c r="S37" i="37"/>
  <c r="S22" i="35"/>
  <c r="AB16" i="35"/>
  <c r="U13" i="36"/>
  <c r="AA19" i="40"/>
  <c r="W38" i="40"/>
  <c r="BC5" i="3"/>
  <c r="AZ387" i="3"/>
  <c r="AZ362" i="3"/>
  <c r="AZ338" i="3"/>
  <c r="AZ390" i="3"/>
  <c r="AZ371" i="3"/>
  <c r="AZ351" i="3"/>
  <c r="AZ336" i="3"/>
  <c r="AZ305" i="3"/>
  <c r="AZ360" i="3"/>
  <c r="AZ571" i="3"/>
  <c r="AZ510" i="3"/>
  <c r="AZ552" i="3"/>
  <c r="S14" i="34"/>
  <c r="AA14" i="34"/>
  <c r="AA44" i="34"/>
  <c r="S44" i="34"/>
  <c r="U34" i="37"/>
  <c r="S29" i="35"/>
  <c r="AA29" i="35"/>
  <c r="S38" i="39"/>
  <c r="AB36" i="39"/>
  <c r="U36" i="39"/>
  <c r="F28" i="21"/>
  <c r="J28" i="21"/>
  <c r="W39" i="33"/>
  <c r="AC39" i="33"/>
  <c r="J23" i="35"/>
  <c r="H23" i="35"/>
  <c r="H9" i="36"/>
  <c r="AB9" i="36" s="1"/>
  <c r="J9" i="36"/>
  <c r="H38" i="37"/>
  <c r="J38" i="37"/>
  <c r="AA34" i="39"/>
  <c r="S34" i="39"/>
  <c r="AC8" i="40"/>
  <c r="W8" i="40"/>
  <c r="BA569" i="3"/>
  <c r="BA568" i="3"/>
  <c r="AZ568" i="3" s="1"/>
  <c r="BL566" i="3"/>
  <c r="AZ566" i="3" s="1"/>
  <c r="BL564" i="3"/>
  <c r="AZ564" i="3" s="1"/>
  <c r="BA561" i="3"/>
  <c r="AZ561" i="3" s="1"/>
  <c r="BA560" i="3"/>
  <c r="AZ560" i="3" s="1"/>
  <c r="BL556" i="3"/>
  <c r="S13" i="21"/>
  <c r="AC17" i="37"/>
  <c r="W30" i="40"/>
  <c r="AA30" i="34"/>
  <c r="U29" i="34"/>
  <c r="W19" i="33"/>
  <c r="S27" i="33"/>
  <c r="U32" i="37"/>
  <c r="AC13" i="34"/>
  <c r="S14" i="35"/>
  <c r="BM5" i="3"/>
  <c r="F29" i="6" s="1"/>
  <c r="AZ318" i="3"/>
  <c r="AZ306" i="3"/>
  <c r="W35" i="40"/>
  <c r="U40" i="39"/>
  <c r="H5" i="3"/>
  <c r="AC45" i="33"/>
  <c r="BL569" i="3"/>
  <c r="AZ503" i="3"/>
  <c r="AZ520" i="3"/>
  <c r="S14" i="37"/>
  <c r="AA14" i="37"/>
  <c r="H25" i="35"/>
  <c r="J32" i="36"/>
  <c r="W32" i="36" s="1"/>
  <c r="W31" i="33"/>
  <c r="AC31" i="33"/>
  <c r="AB23" i="34"/>
  <c r="W36" i="34"/>
  <c r="AC36" i="34"/>
  <c r="S38" i="33"/>
  <c r="S40" i="21"/>
  <c r="W31" i="37"/>
  <c r="U38" i="21"/>
  <c r="AB38" i="21"/>
  <c r="BL585" i="3"/>
  <c r="B97" i="43"/>
  <c r="B75" i="43"/>
  <c r="AC9" i="34"/>
  <c r="W9" i="34"/>
  <c r="H29" i="33"/>
  <c r="F29" i="33"/>
  <c r="H32" i="34"/>
  <c r="J32" i="34"/>
  <c r="F12" i="35"/>
  <c r="J12" i="35"/>
  <c r="H12" i="35"/>
  <c r="H36" i="35"/>
  <c r="F36" i="35"/>
  <c r="AC31" i="40"/>
  <c r="W31" i="40"/>
  <c r="AZ217" i="3"/>
  <c r="AZ531" i="3"/>
  <c r="BL559" i="3"/>
  <c r="AZ559" i="3" s="1"/>
  <c r="AZ583" i="3"/>
  <c r="AZ576" i="3"/>
  <c r="G587" i="3"/>
  <c r="G570" i="3"/>
  <c r="AZ487" i="3"/>
  <c r="AZ228" i="3"/>
  <c r="AZ539" i="3"/>
  <c r="BL565" i="3"/>
  <c r="AZ565" i="3" s="1"/>
  <c r="G557" i="3"/>
  <c r="AZ529" i="3"/>
  <c r="AZ537" i="3"/>
  <c r="AZ518" i="3"/>
  <c r="AZ526" i="3"/>
  <c r="AZ546" i="3"/>
  <c r="AZ580" i="3"/>
  <c r="H25" i="37"/>
  <c r="F25" i="37"/>
  <c r="AZ458" i="3"/>
  <c r="AZ462" i="3"/>
  <c r="AZ398" i="3"/>
  <c r="AZ425" i="3"/>
  <c r="AZ451" i="3"/>
  <c r="AZ454" i="3"/>
  <c r="AZ459" i="3"/>
  <c r="AZ469" i="3"/>
  <c r="AZ483" i="3"/>
  <c r="BA551" i="3"/>
  <c r="AZ551" i="3" s="1"/>
  <c r="BA550" i="3"/>
  <c r="AZ550" i="3" s="1"/>
  <c r="BL548" i="3"/>
  <c r="AZ548" i="3" s="1"/>
  <c r="BL16" i="3"/>
  <c r="AZ16" i="3" s="1"/>
  <c r="BA401" i="3"/>
  <c r="AZ401" i="3" s="1"/>
  <c r="BA403" i="3"/>
  <c r="AZ403" i="3" s="1"/>
  <c r="BA404" i="3"/>
  <c r="AZ404" i="3" s="1"/>
  <c r="BA405" i="3"/>
  <c r="AZ405" i="3" s="1"/>
  <c r="G409" i="3"/>
  <c r="BL410" i="3"/>
  <c r="G412" i="3"/>
  <c r="G418" i="3"/>
  <c r="G419" i="3"/>
  <c r="BA422" i="3"/>
  <c r="AZ422" i="3" s="1"/>
  <c r="G429" i="3"/>
  <c r="G430" i="3"/>
  <c r="BL431" i="3"/>
  <c r="G433" i="3"/>
  <c r="BL434" i="3"/>
  <c r="G436" i="3"/>
  <c r="G437" i="3"/>
  <c r="BL438" i="3"/>
  <c r="BL439" i="3"/>
  <c r="BA441" i="3"/>
  <c r="AZ441" i="3" s="1"/>
  <c r="BL445" i="3"/>
  <c r="BL446" i="3"/>
  <c r="AZ446" i="3" s="1"/>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G315" i="3"/>
  <c r="BA332" i="3"/>
  <c r="AZ332" i="3" s="1"/>
  <c r="BL332" i="3"/>
  <c r="G339" i="3"/>
  <c r="G364" i="3"/>
  <c r="BA367" i="3"/>
  <c r="AZ367" i="3" s="1"/>
  <c r="BA370" i="3"/>
  <c r="AZ370" i="3" s="1"/>
  <c r="BL385" i="3"/>
  <c r="BA212" i="3"/>
  <c r="BA218" i="3"/>
  <c r="AZ218" i="3" s="1"/>
  <c r="BL218" i="3"/>
  <c r="BA225" i="3"/>
  <c r="BA227" i="3"/>
  <c r="AZ227" i="3" s="1"/>
  <c r="BL230" i="3"/>
  <c r="BL231" i="3"/>
  <c r="BA251" i="3"/>
  <c r="BL251" i="3"/>
  <c r="BL275" i="3"/>
  <c r="AZ275" i="3" s="1"/>
  <c r="BL285" i="3"/>
  <c r="BL400" i="3"/>
  <c r="AZ400" i="3" s="1"/>
  <c r="BL408" i="3"/>
  <c r="BL411" i="3"/>
  <c r="BL413" i="3"/>
  <c r="AZ413" i="3" s="1"/>
  <c r="BL417" i="3"/>
  <c r="BL418" i="3"/>
  <c r="AZ418" i="3" s="1"/>
  <c r="BL420" i="3"/>
  <c r="BL424" i="3"/>
  <c r="BL428" i="3"/>
  <c r="BL429" i="3"/>
  <c r="BL432" i="3"/>
  <c r="BL435" i="3"/>
  <c r="AZ435" i="3" s="1"/>
  <c r="BL436" i="3"/>
  <c r="BA439" i="3"/>
  <c r="BA440" i="3"/>
  <c r="AZ440" i="3" s="1"/>
  <c r="BA442" i="3"/>
  <c r="BA445" i="3"/>
  <c r="BA447" i="3"/>
  <c r="AZ447" i="3" s="1"/>
  <c r="BA449" i="3"/>
  <c r="BL453" i="3"/>
  <c r="BL454" i="3"/>
  <c r="BL459" i="3"/>
  <c r="BA465" i="3"/>
  <c r="AZ465" i="3" s="1"/>
  <c r="BA467" i="3"/>
  <c r="BA468" i="3"/>
  <c r="BL471" i="3"/>
  <c r="BL475" i="3"/>
  <c r="BA477" i="3"/>
  <c r="BA478" i="3"/>
  <c r="BA481" i="3"/>
  <c r="BA488" i="3"/>
  <c r="AZ488" i="3" s="1"/>
  <c r="BA491" i="3"/>
  <c r="AZ491" i="3" s="1"/>
  <c r="BL324" i="3"/>
  <c r="AZ324" i="3" s="1"/>
  <c r="BL328" i="3"/>
  <c r="AZ328" i="3" s="1"/>
  <c r="BA335" i="3"/>
  <c r="AZ335" i="3" s="1"/>
  <c r="BA339" i="3"/>
  <c r="AZ339" i="3" s="1"/>
  <c r="BA348" i="3"/>
  <c r="BA350" i="3"/>
  <c r="AZ350" i="3" s="1"/>
  <c r="BA354" i="3"/>
  <c r="BA366" i="3"/>
  <c r="AZ366" i="3" s="1"/>
  <c r="BL375" i="3"/>
  <c r="AZ375" i="3" s="1"/>
  <c r="BA392" i="3"/>
  <c r="AZ392" i="3" s="1"/>
  <c r="BA395" i="3"/>
  <c r="AZ395" i="3" s="1"/>
  <c r="BA208" i="3"/>
  <c r="AZ208" i="3" s="1"/>
  <c r="BA249" i="3"/>
  <c r="BL249" i="3"/>
  <c r="BL299" i="3"/>
  <c r="G551" i="3"/>
  <c r="BL550" i="3"/>
  <c r="G542" i="3"/>
  <c r="BL398" i="3"/>
  <c r="G402" i="3"/>
  <c r="BL403" i="3"/>
  <c r="G405" i="3"/>
  <c r="G406" i="3"/>
  <c r="BA408" i="3"/>
  <c r="AZ408" i="3" s="1"/>
  <c r="BA409" i="3"/>
  <c r="AZ409" i="3" s="1"/>
  <c r="BA411" i="3"/>
  <c r="AZ411" i="3" s="1"/>
  <c r="BL414" i="3"/>
  <c r="AZ414" i="3" s="1"/>
  <c r="BL415" i="3"/>
  <c r="AZ415" i="3" s="1"/>
  <c r="BA417" i="3"/>
  <c r="AZ417" i="3" s="1"/>
  <c r="BL421" i="3"/>
  <c r="AZ421" i="3" s="1"/>
  <c r="BL422" i="3"/>
  <c r="BL425" i="3"/>
  <c r="BL426" i="3"/>
  <c r="BA428" i="3"/>
  <c r="AZ428" i="3" s="1"/>
  <c r="BA429" i="3"/>
  <c r="AZ429" i="3" s="1"/>
  <c r="BA430" i="3"/>
  <c r="AZ430" i="3" s="1"/>
  <c r="BA432" i="3"/>
  <c r="BA434" i="3"/>
  <c r="BA436" i="3"/>
  <c r="BA438" i="3"/>
  <c r="G442" i="3"/>
  <c r="G443" i="3"/>
  <c r="BA446" i="3"/>
  <c r="BA450" i="3"/>
  <c r="BA453" i="3"/>
  <c r="BA455" i="3"/>
  <c r="AZ455" i="3" s="1"/>
  <c r="BL457" i="3"/>
  <c r="AZ457" i="3" s="1"/>
  <c r="BL460" i="3"/>
  <c r="AZ460" i="3" s="1"/>
  <c r="BL461" i="3"/>
  <c r="AZ461" i="3" s="1"/>
  <c r="BL463" i="3"/>
  <c r="G465" i="3"/>
  <c r="BA471" i="3"/>
  <c r="AZ471" i="3" s="1"/>
  <c r="G486" i="3"/>
  <c r="G488" i="3"/>
  <c r="BL317" i="3"/>
  <c r="G318" i="3"/>
  <c r="BA349" i="3"/>
  <c r="AZ349" i="3" s="1"/>
  <c r="BA353" i="3"/>
  <c r="AZ353" i="3" s="1"/>
  <c r="BL353" i="3"/>
  <c r="BA358" i="3"/>
  <c r="AZ358" i="3" s="1"/>
  <c r="G362" i="3"/>
  <c r="BL365" i="3"/>
  <c r="AZ365" i="3" s="1"/>
  <c r="G366" i="3"/>
  <c r="BA385" i="3"/>
  <c r="G397" i="3"/>
  <c r="G210" i="3"/>
  <c r="BA214" i="3"/>
  <c r="BA216" i="3"/>
  <c r="AZ216" i="3" s="1"/>
  <c r="BL219" i="3"/>
  <c r="BL220" i="3"/>
  <c r="BL221" i="3"/>
  <c r="BL223" i="3"/>
  <c r="BA229" i="3"/>
  <c r="BL229" i="3"/>
  <c r="BA233" i="3"/>
  <c r="AZ233" i="3" s="1"/>
  <c r="BL235" i="3"/>
  <c r="AZ235" i="3" s="1"/>
  <c r="BL236" i="3"/>
  <c r="BL238" i="3"/>
  <c r="BL243" i="3"/>
  <c r="BA247" i="3"/>
  <c r="BL247" i="3"/>
  <c r="BL252" i="3"/>
  <c r="BA253" i="3"/>
  <c r="BL259" i="3"/>
  <c r="BL260" i="3"/>
  <c r="BL263" i="3"/>
  <c r="BA270" i="3"/>
  <c r="AZ270" i="3" s="1"/>
  <c r="BA272" i="3"/>
  <c r="AZ272" i="3" s="1"/>
  <c r="G287" i="3"/>
  <c r="BA290" i="3"/>
  <c r="BA293" i="3"/>
  <c r="BL113" i="3"/>
  <c r="BL115" i="3"/>
  <c r="AZ115" i="3" s="1"/>
  <c r="BA118" i="3"/>
  <c r="AZ118" i="3" s="1"/>
  <c r="BL118" i="3"/>
  <c r="BA122" i="3"/>
  <c r="AZ122" i="3" s="1"/>
  <c r="BL125" i="3"/>
  <c r="AZ125" i="3" s="1"/>
  <c r="BL126" i="3"/>
  <c r="BA178" i="3"/>
  <c r="AZ178" i="3" s="1"/>
  <c r="AZ25" i="3"/>
  <c r="F40" i="68"/>
  <c r="C21" i="68"/>
  <c r="C40" i="68"/>
  <c r="U76" i="71"/>
  <c r="E75" i="71"/>
  <c r="E74" i="71" s="1"/>
  <c r="BA210" i="3"/>
  <c r="BL210" i="3"/>
  <c r="BL212" i="3"/>
  <c r="BL214" i="3"/>
  <c r="BL225" i="3"/>
  <c r="BL226" i="3"/>
  <c r="BA239" i="3"/>
  <c r="AZ239" i="3" s="1"/>
  <c r="BL239" i="3"/>
  <c r="BA241" i="3"/>
  <c r="BL241" i="3"/>
  <c r="BA244" i="3"/>
  <c r="AZ244" i="3" s="1"/>
  <c r="BL244" i="3"/>
  <c r="BA246" i="3"/>
  <c r="BA252" i="3"/>
  <c r="BA254" i="3"/>
  <c r="AZ254" i="3" s="1"/>
  <c r="BA256" i="3"/>
  <c r="AZ256" i="3" s="1"/>
  <c r="BL256" i="3"/>
  <c r="BA258" i="3"/>
  <c r="BL264" i="3"/>
  <c r="BL266" i="3"/>
  <c r="BA268" i="3"/>
  <c r="BL273" i="3"/>
  <c r="AZ273" i="3" s="1"/>
  <c r="BA277" i="3"/>
  <c r="AZ277" i="3" s="1"/>
  <c r="BL277" i="3"/>
  <c r="BA282" i="3"/>
  <c r="BL282" i="3"/>
  <c r="BA284" i="3"/>
  <c r="AZ284" i="3" s="1"/>
  <c r="BL290" i="3"/>
  <c r="BL291" i="3"/>
  <c r="AZ291" i="3" s="1"/>
  <c r="BL293" i="3"/>
  <c r="BL294" i="3"/>
  <c r="AZ294" i="3" s="1"/>
  <c r="BA297" i="3"/>
  <c r="AZ297" i="3" s="1"/>
  <c r="BL297" i="3"/>
  <c r="BL300" i="3"/>
  <c r="BA302" i="3"/>
  <c r="AZ302" i="3" s="1"/>
  <c r="G115" i="3"/>
  <c r="BA117" i="3"/>
  <c r="G134" i="3"/>
  <c r="BL134" i="3"/>
  <c r="BL137" i="3"/>
  <c r="G143" i="3"/>
  <c r="BA144" i="3"/>
  <c r="AZ144" i="3" s="1"/>
  <c r="BA149" i="3"/>
  <c r="AZ149" i="3" s="1"/>
  <c r="BA153" i="3"/>
  <c r="G158" i="3"/>
  <c r="BL163" i="3"/>
  <c r="AZ163" i="3" s="1"/>
  <c r="BA164" i="3"/>
  <c r="AZ164" i="3" s="1"/>
  <c r="BA166" i="3"/>
  <c r="AZ166" i="3" s="1"/>
  <c r="G175" i="3"/>
  <c r="BA176" i="3"/>
  <c r="AZ176" i="3" s="1"/>
  <c r="BA188" i="3"/>
  <c r="AZ188" i="3" s="1"/>
  <c r="BL189" i="3"/>
  <c r="AZ189" i="3" s="1"/>
  <c r="BL190" i="3"/>
  <c r="G31" i="3"/>
  <c r="BA368" i="3"/>
  <c r="AZ368" i="3" s="1"/>
  <c r="BL368" i="3"/>
  <c r="BA374" i="3"/>
  <c r="AZ374" i="3" s="1"/>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AZ271" i="3" s="1"/>
  <c r="BL271" i="3"/>
  <c r="BA274" i="3"/>
  <c r="BL274" i="3"/>
  <c r="BA276" i="3"/>
  <c r="BA279" i="3"/>
  <c r="BA281" i="3"/>
  <c r="G286" i="3"/>
  <c r="BL286" i="3"/>
  <c r="AZ286" i="3" s="1"/>
  <c r="G289" i="3"/>
  <c r="G290" i="3"/>
  <c r="G291" i="3"/>
  <c r="BA296" i="3"/>
  <c r="BA116" i="3"/>
  <c r="AZ116" i="3" s="1"/>
  <c r="BA128" i="3"/>
  <c r="AZ128" i="3" s="1"/>
  <c r="BA148" i="3"/>
  <c r="AZ148" i="3" s="1"/>
  <c r="G155" i="3"/>
  <c r="BA168" i="3"/>
  <c r="AZ168" i="3" s="1"/>
  <c r="G184" i="3"/>
  <c r="BA185" i="3"/>
  <c r="AZ38" i="3"/>
  <c r="E28" i="71"/>
  <c r="AA27" i="71"/>
  <c r="AA28" i="71"/>
  <c r="AA3" i="71"/>
  <c r="C28" i="71"/>
  <c r="Y28" i="71"/>
  <c r="Z28" i="71" s="1"/>
  <c r="Y25" i="71"/>
  <c r="Z25" i="71" s="1"/>
  <c r="Y27" i="71"/>
  <c r="Z27" i="71" s="1"/>
  <c r="D34" i="71"/>
  <c r="C35" i="71"/>
  <c r="C44" i="71"/>
  <c r="D43" i="71"/>
  <c r="BA192" i="3"/>
  <c r="AZ192" i="3" s="1"/>
  <c r="BL197" i="3"/>
  <c r="BL199" i="3"/>
  <c r="AZ199" i="3" s="1"/>
  <c r="BA200" i="3"/>
  <c r="AZ200" i="3" s="1"/>
  <c r="BA202" i="3"/>
  <c r="BL207" i="3"/>
  <c r="BL18" i="3"/>
  <c r="BL19" i="3"/>
  <c r="BA20" i="3"/>
  <c r="AZ20" i="3" s="1"/>
  <c r="BL25" i="3"/>
  <c r="BL27" i="3"/>
  <c r="BA28" i="3"/>
  <c r="AZ28" i="3" s="1"/>
  <c r="BA31" i="3"/>
  <c r="BA32" i="3"/>
  <c r="G38" i="3"/>
  <c r="BA38" i="3"/>
  <c r="BL47" i="3"/>
  <c r="AZ47" i="3" s="1"/>
  <c r="G50" i="3"/>
  <c r="G52" i="3"/>
  <c r="BA52" i="3"/>
  <c r="BL62" i="3"/>
  <c r="AZ62" i="3" s="1"/>
  <c r="BL63" i="3"/>
  <c r="AZ63" i="3" s="1"/>
  <c r="BL72" i="3"/>
  <c r="BL75" i="3"/>
  <c r="BA102" i="3"/>
  <c r="AC29" i="39"/>
  <c r="W29" i="39"/>
  <c r="P27" i="6"/>
  <c r="AA39" i="71"/>
  <c r="AA37" i="71"/>
  <c r="D56" i="71"/>
  <c r="T56" i="71"/>
  <c r="T80" i="71"/>
  <c r="C79" i="71"/>
  <c r="BA130" i="3"/>
  <c r="AZ130" i="3" s="1"/>
  <c r="BL130" i="3"/>
  <c r="BA137" i="3"/>
  <c r="BL138" i="3"/>
  <c r="BA140" i="3"/>
  <c r="AZ140" i="3" s="1"/>
  <c r="BA142" i="3"/>
  <c r="BL149" i="3"/>
  <c r="BL150" i="3"/>
  <c r="AZ150" i="3" s="1"/>
  <c r="BA152" i="3"/>
  <c r="AZ152" i="3" s="1"/>
  <c r="BA154" i="3"/>
  <c r="AZ154" i="3" s="1"/>
  <c r="BA160" i="3"/>
  <c r="AZ160" i="3" s="1"/>
  <c r="BL162" i="3"/>
  <c r="AZ162" i="3" s="1"/>
  <c r="BL165" i="3"/>
  <c r="BL170" i="3"/>
  <c r="BA173" i="3"/>
  <c r="AZ173" i="3" s="1"/>
  <c r="BA174" i="3"/>
  <c r="BL179" i="3"/>
  <c r="AZ179" i="3" s="1"/>
  <c r="BA181" i="3"/>
  <c r="AZ181" i="3" s="1"/>
  <c r="BA182" i="3"/>
  <c r="AZ182" i="3" s="1"/>
  <c r="BL185" i="3"/>
  <c r="BL193" i="3"/>
  <c r="BL194" i="3"/>
  <c r="AZ194" i="3" s="1"/>
  <c r="BA198" i="3"/>
  <c r="AZ198" i="3" s="1"/>
  <c r="G199" i="3"/>
  <c r="G205" i="3"/>
  <c r="BL206" i="3"/>
  <c r="BA19" i="3"/>
  <c r="G22" i="3"/>
  <c r="G24" i="3"/>
  <c r="G25" i="3"/>
  <c r="G27" i="3"/>
  <c r="BA27" i="3"/>
  <c r="G30" i="3"/>
  <c r="BL30" i="3"/>
  <c r="BL31" i="3"/>
  <c r="G35" i="3"/>
  <c r="G36" i="3"/>
  <c r="G37" i="3"/>
  <c r="G40" i="3"/>
  <c r="BL40" i="3"/>
  <c r="AZ40" i="3" s="1"/>
  <c r="G41" i="3"/>
  <c r="BA55" i="3"/>
  <c r="BL57" i="3"/>
  <c r="AZ57" i="3" s="1"/>
  <c r="G59" i="3"/>
  <c r="BL70" i="3"/>
  <c r="AZ70" i="3" s="1"/>
  <c r="BL71" i="3"/>
  <c r="AZ71" i="3" s="1"/>
  <c r="BA79" i="3"/>
  <c r="AZ79" i="3" s="1"/>
  <c r="G82" i="3"/>
  <c r="BL83" i="3"/>
  <c r="G88" i="3"/>
  <c r="BA90" i="3"/>
  <c r="G98" i="3"/>
  <c r="BA105" i="3"/>
  <c r="AZ105" i="3" s="1"/>
  <c r="D55" i="71"/>
  <c r="C31" i="71"/>
  <c r="F34" i="71"/>
  <c r="F35" i="71" s="1"/>
  <c r="F36" i="71" s="1"/>
  <c r="V36" i="71" s="1"/>
  <c r="AB33" i="71"/>
  <c r="AB32" i="71"/>
  <c r="AB27" i="71"/>
  <c r="X38" i="71"/>
  <c r="X26" i="71"/>
  <c r="C64" i="71"/>
  <c r="D63" i="71"/>
  <c r="BA121" i="3"/>
  <c r="AZ121" i="3" s="1"/>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2" i="3"/>
  <c r="BL52" i="3"/>
  <c r="G53" i="3"/>
  <c r="BL53" i="3"/>
  <c r="AZ53" i="3" s="1"/>
  <c r="BA65" i="3"/>
  <c r="AZ65" i="3" s="1"/>
  <c r="BA66" i="3"/>
  <c r="AZ66" i="3" s="1"/>
  <c r="BA72" i="3"/>
  <c r="AZ72" i="3" s="1"/>
  <c r="BL76" i="3"/>
  <c r="BL77" i="3"/>
  <c r="AZ77" i="3" s="1"/>
  <c r="BL91" i="3"/>
  <c r="G92" i="3"/>
  <c r="BL92" i="3"/>
  <c r="AZ100" i="3"/>
  <c r="G102" i="3"/>
  <c r="G108" i="3"/>
  <c r="AA18" i="36"/>
  <c r="S18" i="36"/>
  <c r="D38" i="71"/>
  <c r="C39" i="71"/>
  <c r="B27" i="71"/>
  <c r="B26" i="71" s="1"/>
  <c r="S28" i="71"/>
  <c r="Y30" i="71"/>
  <c r="Z30" i="71" s="1"/>
  <c r="Y29" i="71"/>
  <c r="Z29" i="71" s="1"/>
  <c r="D50" i="71"/>
  <c r="C51" i="71"/>
  <c r="D67" i="71"/>
  <c r="C66" i="71"/>
  <c r="O67" i="71"/>
  <c r="T72" i="71"/>
  <c r="C71" i="71"/>
  <c r="D84" i="71"/>
  <c r="C83" i="71"/>
  <c r="V24" i="71"/>
  <c r="E23" i="71"/>
  <c r="E22" i="71" s="1"/>
  <c r="E21" i="71" s="1"/>
  <c r="E20" i="71" s="1"/>
  <c r="E19" i="71" s="1"/>
  <c r="E18" i="71" s="1"/>
  <c r="E17" i="71" s="1"/>
  <c r="E16" i="71" s="1"/>
  <c r="G47" i="3"/>
  <c r="BL48" i="3"/>
  <c r="BL54" i="3"/>
  <c r="BL55" i="3"/>
  <c r="G58" i="3"/>
  <c r="BA59" i="3"/>
  <c r="BL61" i="3"/>
  <c r="G64" i="3"/>
  <c r="BA64" i="3"/>
  <c r="AZ64" i="3" s="1"/>
  <c r="G67" i="3"/>
  <c r="BL68" i="3"/>
  <c r="BA69" i="3"/>
  <c r="AZ69" i="3" s="1"/>
  <c r="G72" i="3"/>
  <c r="BL73" i="3"/>
  <c r="BA74" i="3"/>
  <c r="AZ74" i="3" s="1"/>
  <c r="BA75" i="3"/>
  <c r="AZ75" i="3" s="1"/>
  <c r="G81" i="3"/>
  <c r="G85" i="3"/>
  <c r="BL85" i="3"/>
  <c r="BA86" i="3"/>
  <c r="AZ86" i="3" s="1"/>
  <c r="BA87" i="3"/>
  <c r="BA91" i="3"/>
  <c r="G96" i="3"/>
  <c r="BL97" i="3"/>
  <c r="AZ97" i="3" s="1"/>
  <c r="BL101" i="3"/>
  <c r="AZ101" i="3" s="1"/>
  <c r="BL102" i="3"/>
  <c r="G104" i="3"/>
  <c r="G105" i="3"/>
  <c r="BL106" i="3"/>
  <c r="BA108" i="3"/>
  <c r="BA110" i="3"/>
  <c r="AZ110" i="3" s="1"/>
  <c r="F3" i="35"/>
  <c r="S21" i="33"/>
  <c r="S21" i="37"/>
  <c r="B77" i="43"/>
  <c r="AB25" i="71"/>
  <c r="X33" i="71"/>
  <c r="BL41" i="3"/>
  <c r="AZ41" i="3" s="1"/>
  <c r="G45" i="3"/>
  <c r="BL45" i="3"/>
  <c r="AZ45" i="3" s="1"/>
  <c r="BA48" i="3"/>
  <c r="BA49" i="3"/>
  <c r="AZ49" i="3" s="1"/>
  <c r="BA51" i="3"/>
  <c r="AZ51" i="3" s="1"/>
  <c r="G54" i="3"/>
  <c r="G55" i="3"/>
  <c r="BL56" i="3"/>
  <c r="BA58" i="3"/>
  <c r="AZ58" i="3" s="1"/>
  <c r="BL59" i="3"/>
  <c r="BL60" i="3"/>
  <c r="BA61" i="3"/>
  <c r="AZ61" i="3" s="1"/>
  <c r="BA68" i="3"/>
  <c r="BA73" i="3"/>
  <c r="AZ73" i="3" s="1"/>
  <c r="BA80" i="3"/>
  <c r="G84" i="3"/>
  <c r="BL84" i="3"/>
  <c r="AZ84" i="3" s="1"/>
  <c r="BA89" i="3"/>
  <c r="G99" i="3"/>
  <c r="BA103" i="3"/>
  <c r="AZ103" i="3" s="1"/>
  <c r="BA104" i="3"/>
  <c r="BA106" i="3"/>
  <c r="AZ106" i="3" s="1"/>
  <c r="BL108" i="3"/>
  <c r="G110" i="3"/>
  <c r="BL111" i="3"/>
  <c r="C5" i="68"/>
  <c r="P66" i="71"/>
  <c r="AB26" i="71"/>
  <c r="X35" i="71"/>
  <c r="X28" i="71"/>
  <c r="X32" i="71"/>
  <c r="F38" i="71"/>
  <c r="F39" i="71" s="1"/>
  <c r="F40" i="71" s="1"/>
  <c r="V40" i="71" s="1"/>
  <c r="B79" i="71"/>
  <c r="B78" i="71" s="1"/>
  <c r="BA111" i="3"/>
  <c r="AZ111" i="3" s="1"/>
  <c r="D87" i="71"/>
  <c r="AB28" i="71"/>
  <c r="Q67"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C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50" i="3"/>
  <c r="G28" i="6"/>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BL145" i="3"/>
  <c r="AZ145" i="3" s="1"/>
  <c r="BL147" i="3"/>
  <c r="AZ147" i="3" s="1"/>
  <c r="G148" i="3"/>
  <c r="BL151" i="3"/>
  <c r="AZ151" i="3" s="1"/>
  <c r="BA165" i="3"/>
  <c r="AZ165" i="3" s="1"/>
  <c r="G168" i="3"/>
  <c r="BA170" i="3"/>
  <c r="AZ170" i="3" s="1"/>
  <c r="BL174" i="3"/>
  <c r="AZ174" i="3" s="1"/>
  <c r="AZ185" i="3"/>
  <c r="AZ193" i="3"/>
  <c r="BL202" i="3"/>
  <c r="AZ202" i="3" s="1"/>
  <c r="AZ30" i="3"/>
  <c r="BL36" i="3"/>
  <c r="AZ36" i="3" s="1"/>
  <c r="AZ48" i="3"/>
  <c r="AZ68"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K14" i="1" s="1"/>
  <c r="K16" i="1" s="1"/>
  <c r="L19" i="6"/>
  <c r="L27" i="6" s="1"/>
  <c r="M6" i="1"/>
  <c r="O6" i="1" s="1"/>
  <c r="P6" i="1" s="1"/>
  <c r="C13" i="12"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I1" i="73"/>
  <c r="B39" i="1" s="1"/>
  <c r="F65" i="67"/>
  <c r="M7" i="15"/>
  <c r="J6" i="15" s="1"/>
  <c r="F50" i="15"/>
  <c r="F51" i="15"/>
  <c r="F71" i="15"/>
  <c r="C6" i="15"/>
  <c r="F66" i="67"/>
  <c r="L59" i="15"/>
  <c r="N59" i="15"/>
  <c r="L58" i="15"/>
  <c r="M59" i="15"/>
  <c r="F66" i="15"/>
  <c r="Q71" i="67"/>
  <c r="F64" i="15"/>
  <c r="C27" i="15"/>
  <c r="F65" i="15"/>
  <c r="B13" i="70"/>
  <c r="F64" i="67"/>
  <c r="F68" i="15"/>
  <c r="D9" i="68"/>
  <c r="C36" i="69"/>
  <c r="F7" i="67"/>
  <c r="F40" i="67"/>
  <c r="D5" i="73"/>
  <c r="F27" i="69"/>
  <c r="F43" i="67"/>
  <c r="M22" i="67"/>
  <c r="F9" i="67"/>
  <c r="L47" i="67"/>
  <c r="D9" i="69"/>
  <c r="D7" i="73"/>
  <c r="F26" i="67"/>
  <c r="L48" i="67"/>
  <c r="F42" i="67"/>
  <c r="F6" i="67"/>
  <c r="D3" i="73"/>
  <c r="F13" i="67"/>
  <c r="C16" i="15"/>
  <c r="D4" i="73"/>
  <c r="F8" i="67"/>
  <c r="M23" i="67"/>
  <c r="AA27" i="21" l="1"/>
  <c r="S27" i="21"/>
  <c r="AB27" i="21"/>
  <c r="U27" i="21"/>
  <c r="AC37" i="21"/>
  <c r="G89" i="21"/>
  <c r="H89" i="21" s="1"/>
  <c r="I89" i="21" s="1"/>
  <c r="F26" i="21" s="1"/>
  <c r="AA26" i="21" s="1"/>
  <c r="J26" i="21"/>
  <c r="C36" i="68"/>
  <c r="G26" i="43"/>
  <c r="J26" i="43"/>
  <c r="E59" i="40"/>
  <c r="N94" i="46"/>
  <c r="F26" i="43"/>
  <c r="E26" i="43"/>
  <c r="J53" i="67"/>
  <c r="F1" i="67" s="1"/>
  <c r="J57" i="67"/>
  <c r="J55" i="67" s="1"/>
  <c r="J58" i="67" s="1"/>
  <c r="Q50" i="67" s="1"/>
  <c r="L56" i="67"/>
  <c r="I54" i="67"/>
  <c r="F68" i="67"/>
  <c r="N59" i="67"/>
  <c r="L59" i="67"/>
  <c r="Q74" i="67" s="1"/>
  <c r="L58" i="67"/>
  <c r="Q73" i="67" s="1"/>
  <c r="M59" i="67"/>
  <c r="C27" i="67"/>
  <c r="F71" i="67"/>
  <c r="M7" i="67"/>
  <c r="J6" i="67" s="1"/>
  <c r="J18" i="67" s="1"/>
  <c r="F50" i="67"/>
  <c r="C6" i="67"/>
  <c r="C32" i="67" s="1"/>
  <c r="F31" i="67"/>
  <c r="F51" i="67"/>
  <c r="C70" i="71"/>
  <c r="D70" i="71" s="1"/>
  <c r="D71" i="71"/>
  <c r="C78" i="71"/>
  <c r="D78" i="71" s="1"/>
  <c r="D79" i="71"/>
  <c r="AZ27" i="3"/>
  <c r="D44" i="71"/>
  <c r="T44" i="71"/>
  <c r="AA25" i="37"/>
  <c r="S25" i="37"/>
  <c r="AB36" i="35"/>
  <c r="U36" i="35"/>
  <c r="W32" i="34"/>
  <c r="AC32" i="34"/>
  <c r="AB25" i="35"/>
  <c r="U25" i="35"/>
  <c r="AA37" i="39"/>
  <c r="S37" i="39"/>
  <c r="AA24" i="36"/>
  <c r="S24" i="36"/>
  <c r="S25" i="35"/>
  <c r="AA25" i="35"/>
  <c r="W12" i="34"/>
  <c r="AC12" i="34"/>
  <c r="AZ141" i="3"/>
  <c r="C52" i="71"/>
  <c r="D51" i="71"/>
  <c r="AZ126" i="3"/>
  <c r="D31" i="71"/>
  <c r="C32" i="71"/>
  <c r="AZ19" i="3"/>
  <c r="AZ137" i="3"/>
  <c r="AZ102" i="3"/>
  <c r="C36" i="71"/>
  <c r="D35" i="71"/>
  <c r="AZ252" i="3"/>
  <c r="AZ229" i="3"/>
  <c r="AZ453" i="3"/>
  <c r="AZ432" i="3"/>
  <c r="AB25" i="37"/>
  <c r="U25" i="37"/>
  <c r="U12" i="35"/>
  <c r="AB12" i="35"/>
  <c r="U32" i="34"/>
  <c r="AB32" i="34"/>
  <c r="AZ569" i="3"/>
  <c r="AC38" i="37"/>
  <c r="W38" i="37"/>
  <c r="U23" i="35"/>
  <c r="AB23" i="35"/>
  <c r="W28" i="21"/>
  <c r="AC28" i="21"/>
  <c r="AC37" i="39"/>
  <c r="W37" i="39"/>
  <c r="AB24" i="36"/>
  <c r="U24" i="36"/>
  <c r="S11" i="35"/>
  <c r="AA11" i="35"/>
  <c r="AZ585" i="3"/>
  <c r="V20" i="71"/>
  <c r="AZ108" i="3"/>
  <c r="AZ91" i="3"/>
  <c r="AZ59" i="3"/>
  <c r="C82" i="71"/>
  <c r="D82" i="71" s="1"/>
  <c r="D83" i="71"/>
  <c r="AZ55" i="3"/>
  <c r="AZ31" i="3"/>
  <c r="T28" i="71"/>
  <c r="D28" i="71"/>
  <c r="U28" i="71" s="1"/>
  <c r="C27" i="71"/>
  <c r="AZ274" i="3"/>
  <c r="AZ282" i="3"/>
  <c r="AZ241" i="3"/>
  <c r="AZ210" i="3"/>
  <c r="AZ247" i="3"/>
  <c r="AZ249" i="3"/>
  <c r="AZ251" i="3"/>
  <c r="W12" i="35"/>
  <c r="AC12" i="35"/>
  <c r="S29" i="33"/>
  <c r="AA29" i="33"/>
  <c r="U38" i="37"/>
  <c r="AB38" i="37"/>
  <c r="AC23" i="35"/>
  <c r="W23" i="35"/>
  <c r="AA28" i="21"/>
  <c r="S28" i="21"/>
  <c r="AB32" i="36"/>
  <c r="U32" i="36"/>
  <c r="AC24" i="36"/>
  <c r="W24" i="36"/>
  <c r="W11" i="35"/>
  <c r="AC11" i="35"/>
  <c r="AA45" i="21"/>
  <c r="S45" i="21"/>
  <c r="J7" i="36"/>
  <c r="J7" i="37"/>
  <c r="G5" i="3"/>
  <c r="B3" i="3" s="1"/>
  <c r="E212" i="3" s="1"/>
  <c r="O65" i="71"/>
  <c r="D66" i="71"/>
  <c r="O66" i="71"/>
  <c r="C40" i="71"/>
  <c r="D39" i="71"/>
  <c r="AZ52" i="3"/>
  <c r="AZ263" i="3"/>
  <c r="AZ214" i="3"/>
  <c r="S36" i="35"/>
  <c r="AA36" i="35"/>
  <c r="U29" i="33"/>
  <c r="AB29" i="33"/>
  <c r="AC9" i="36"/>
  <c r="W9" i="36"/>
  <c r="U45" i="21"/>
  <c r="AB45" i="21"/>
  <c r="AA32" i="36"/>
  <c r="S32" i="36"/>
  <c r="W25" i="35"/>
  <c r="AC25" i="35"/>
  <c r="U12" i="34"/>
  <c r="AB12" i="34"/>
  <c r="W45" i="21"/>
  <c r="AC45" i="21"/>
  <c r="K1" i="73"/>
  <c r="E510" i="3"/>
  <c r="E536" i="3"/>
  <c r="E199" i="3"/>
  <c r="E286" i="3"/>
  <c r="R6" i="3"/>
  <c r="E502" i="3"/>
  <c r="E442" i="3"/>
  <c r="E430" i="3"/>
  <c r="E449" i="3"/>
  <c r="I3" i="6"/>
  <c r="E554" i="3"/>
  <c r="E435" i="3"/>
  <c r="E491" i="3"/>
  <c r="E56" i="3"/>
  <c r="E37" i="3"/>
  <c r="E95" i="3"/>
  <c r="E258" i="3"/>
  <c r="E241" i="3"/>
  <c r="E363" i="3"/>
  <c r="E389" i="3"/>
  <c r="E76" i="3"/>
  <c r="E59" i="3"/>
  <c r="E425" i="3"/>
  <c r="E467" i="3"/>
  <c r="E64" i="3"/>
  <c r="E160" i="3"/>
  <c r="E267" i="3"/>
  <c r="E300" i="3"/>
  <c r="E310" i="3"/>
  <c r="E23" i="3"/>
  <c r="E84" i="3"/>
  <c r="E144" i="3"/>
  <c r="E184" i="3"/>
  <c r="E233" i="3"/>
  <c r="E68" i="3"/>
  <c r="E63" i="3"/>
  <c r="E264" i="3"/>
  <c r="E309" i="3"/>
  <c r="E21" i="3"/>
  <c r="E494" i="3"/>
  <c r="E332" i="3"/>
  <c r="E391" i="3"/>
  <c r="AL6" i="3"/>
  <c r="E482" i="3"/>
  <c r="E18" i="3"/>
  <c r="E129" i="3"/>
  <c r="E235" i="3"/>
  <c r="E522" i="3"/>
  <c r="E86" i="3"/>
  <c r="E206" i="3"/>
  <c r="E251" i="3"/>
  <c r="AF6" i="3"/>
  <c r="E113" i="3"/>
  <c r="E287" i="3"/>
  <c r="E308" i="3"/>
  <c r="E205" i="3"/>
  <c r="E140" i="3"/>
  <c r="E197" i="3"/>
  <c r="E525" i="3"/>
  <c r="E534" i="3"/>
  <c r="T6" i="3"/>
  <c r="E456" i="3"/>
  <c r="E469" i="3"/>
  <c r="E512" i="3"/>
  <c r="E451" i="3"/>
  <c r="E360" i="3"/>
  <c r="E556" i="3"/>
  <c r="E13" i="3"/>
  <c r="E452" i="3"/>
  <c r="E470" i="3"/>
  <c r="E26" i="3"/>
  <c r="E104" i="3"/>
  <c r="E41" i="3"/>
  <c r="E225" i="3"/>
  <c r="E243" i="3"/>
  <c r="E356"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H7" i="37"/>
  <c r="AB7" i="37" s="1"/>
  <c r="T42" i="37" s="1"/>
  <c r="G42" i="37" s="1"/>
  <c r="S10" i="39"/>
  <c r="AA10" i="39"/>
  <c r="H7" i="33"/>
  <c r="J7" i="33"/>
  <c r="D65" i="40"/>
  <c r="E63" i="40"/>
  <c r="F48" i="35"/>
  <c r="S7" i="36"/>
  <c r="AC7" i="37"/>
  <c r="W7" i="37"/>
  <c r="AB7" i="36"/>
  <c r="T36" i="36" s="1"/>
  <c r="G36" i="36" s="1"/>
  <c r="F7" i="33"/>
  <c r="E58" i="21"/>
  <c r="AC7" i="36"/>
  <c r="V36" i="36" s="1"/>
  <c r="I36" i="36" s="1"/>
  <c r="W7" i="36"/>
  <c r="F7" i="3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AE6" i="1"/>
  <c r="C16" i="67"/>
  <c r="G1" i="73"/>
  <c r="D26" i="43" l="1"/>
  <c r="S26" i="21"/>
  <c r="J89" i="21"/>
  <c r="K89" i="21" s="1"/>
  <c r="L89" i="21" s="1"/>
  <c r="M89" i="21" s="1"/>
  <c r="H26" i="21"/>
  <c r="W26" i="21"/>
  <c r="AC26" i="21"/>
  <c r="C28" i="43"/>
  <c r="T9" i="43" s="1"/>
  <c r="V9" i="43" s="1"/>
  <c r="Q61" i="67"/>
  <c r="Q52" i="67"/>
  <c r="E428" i="3"/>
  <c r="E115" i="3"/>
  <c r="E420" i="3"/>
  <c r="E497" i="3"/>
  <c r="E408" i="3"/>
  <c r="E405" i="3"/>
  <c r="E173" i="3"/>
  <c r="E22" i="3"/>
  <c r="E102" i="3"/>
  <c r="E34" i="3"/>
  <c r="E174" i="3"/>
  <c r="E75" i="3"/>
  <c r="E198" i="3"/>
  <c r="E283" i="3"/>
  <c r="E381" i="3"/>
  <c r="E67" i="3"/>
  <c r="E371" i="3"/>
  <c r="E103" i="3"/>
  <c r="E409" i="3"/>
  <c r="E349" i="3"/>
  <c r="E192" i="3"/>
  <c r="E417" i="3"/>
  <c r="AP6" i="3"/>
  <c r="AC6" i="3" s="1"/>
  <c r="E6" i="3" s="1"/>
  <c r="E541" i="3"/>
  <c r="E575" i="3"/>
  <c r="E539" i="3"/>
  <c r="C49" i="67"/>
  <c r="E3" i="6"/>
  <c r="M17" i="67"/>
  <c r="Q60" i="67"/>
  <c r="J5" i="67"/>
  <c r="J24" i="67" s="1"/>
  <c r="F59" i="67"/>
  <c r="E383" i="3"/>
  <c r="E96" i="3"/>
  <c r="E42" i="3"/>
  <c r="E281" i="3"/>
  <c r="E513" i="3"/>
  <c r="E81" i="3"/>
  <c r="E355" i="3"/>
  <c r="E33" i="3"/>
  <c r="E492" i="3"/>
  <c r="E249" i="3"/>
  <c r="E46" i="3"/>
  <c r="E484" i="3"/>
  <c r="E544" i="3"/>
  <c r="E292" i="3"/>
  <c r="E152" i="3"/>
  <c r="E479" i="3"/>
  <c r="E517" i="3"/>
  <c r="E255" i="3"/>
  <c r="E466" i="3"/>
  <c r="E499" i="3"/>
  <c r="T40" i="71"/>
  <c r="D40" i="71"/>
  <c r="C26" i="71"/>
  <c r="D26" i="71" s="1"/>
  <c r="D27" i="71"/>
  <c r="D36" i="71"/>
  <c r="T36" i="71"/>
  <c r="T32" i="71"/>
  <c r="D32" i="71"/>
  <c r="T52" i="71"/>
  <c r="D52"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C53" i="67"/>
  <c r="C10" i="67"/>
  <c r="C5" i="67" s="1"/>
  <c r="C38" i="67" s="1"/>
  <c r="C53" i="15"/>
  <c r="C48" i="15" s="1"/>
  <c r="C66" i="15" s="1"/>
  <c r="C10" i="15"/>
  <c r="C5" i="15" s="1"/>
  <c r="C38" i="15" s="1"/>
  <c r="F41" i="15"/>
  <c r="M27" i="15"/>
  <c r="M27" i="67"/>
  <c r="F41" i="67"/>
  <c r="G54" i="34" l="1"/>
  <c r="H54" i="34" s="1"/>
  <c r="F69" i="67"/>
  <c r="AB26" i="21"/>
  <c r="U26" i="21"/>
  <c r="C42" i="43"/>
  <c r="E42" i="43" s="1"/>
  <c r="C39" i="43"/>
  <c r="T4" i="43"/>
  <c r="V4" i="43" s="1"/>
  <c r="C38" i="43"/>
  <c r="G38" i="43" s="1"/>
  <c r="I38" i="43" s="1"/>
  <c r="T7" i="43"/>
  <c r="V7" i="43" s="1"/>
  <c r="C41" i="43"/>
  <c r="T11" i="43"/>
  <c r="V11" i="43" s="1"/>
  <c r="T2" i="43"/>
  <c r="V2" i="43" s="1"/>
  <c r="C40" i="43"/>
  <c r="T10" i="43"/>
  <c r="V10" i="43" s="1"/>
  <c r="T15" i="43"/>
  <c r="V15" i="43" s="1"/>
  <c r="T5" i="43"/>
  <c r="V5" i="43" s="1"/>
  <c r="T14" i="43"/>
  <c r="V14" i="43" s="1"/>
  <c r="C37" i="43"/>
  <c r="G37" i="43" s="1"/>
  <c r="I37" i="43" s="1"/>
  <c r="T6" i="43"/>
  <c r="V6" i="43" s="1"/>
  <c r="T8" i="43"/>
  <c r="V8" i="43" s="1"/>
  <c r="T16" i="43"/>
  <c r="V16" i="43" s="1"/>
  <c r="T13" i="43"/>
  <c r="V13" i="43" s="1"/>
  <c r="C33" i="43"/>
  <c r="C6" i="69" s="1"/>
  <c r="C7" i="69" s="1"/>
  <c r="T3" i="43"/>
  <c r="V3" i="43" s="1"/>
  <c r="T12" i="43"/>
  <c r="V12" i="43" s="1"/>
  <c r="F22" i="11"/>
  <c r="F24" i="67"/>
  <c r="C24" i="67" s="1"/>
  <c r="C48" i="67"/>
  <c r="C66" i="67" s="1"/>
  <c r="F24" i="15"/>
  <c r="C24" i="15" s="1"/>
  <c r="F22" i="69"/>
  <c r="F41" i="69" s="1"/>
  <c r="F22" i="68"/>
  <c r="C26" i="68" s="1"/>
  <c r="D22" i="68" s="1"/>
  <c r="F25" i="12"/>
  <c r="C26" i="12" s="1"/>
  <c r="D25" i="12" s="1"/>
  <c r="D116" i="43"/>
  <c r="O36" i="43"/>
  <c r="Q36" i="43"/>
  <c r="N36" i="43"/>
  <c r="M36" i="43"/>
  <c r="P36" i="43"/>
  <c r="C17" i="71"/>
  <c r="D18" i="71"/>
  <c r="P37" i="43"/>
  <c r="M37" i="43"/>
  <c r="Q37" i="43"/>
  <c r="O37" i="43"/>
  <c r="N37" i="43"/>
  <c r="M21" i="6"/>
  <c r="I21" i="6" s="1"/>
  <c r="S21" i="6" s="1"/>
  <c r="E6" i="70"/>
  <c r="C34" i="43"/>
  <c r="E34" i="43" s="1"/>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D10" i="68"/>
  <c r="C17" i="15"/>
  <c r="C14" i="67"/>
  <c r="C34" i="69"/>
  <c r="C17" i="67"/>
  <c r="D10" i="69"/>
  <c r="C25" i="11" l="1"/>
  <c r="E33" i="43"/>
  <c r="C23" i="11"/>
  <c r="E38" i="43"/>
  <c r="C30" i="43" s="1"/>
  <c r="B2" i="43" s="1"/>
  <c r="B3" i="43" s="1"/>
  <c r="F41" i="68"/>
  <c r="C44" i="11"/>
  <c r="D41" i="11" s="1"/>
  <c r="C26" i="11"/>
  <c r="D22" i="11" s="1"/>
  <c r="C24" i="11"/>
  <c r="C44" i="69"/>
  <c r="D41" i="69" s="1"/>
  <c r="C60" i="67"/>
  <c r="C23" i="68"/>
  <c r="C44" i="68"/>
  <c r="D41" i="68" s="1"/>
  <c r="C26" i="69"/>
  <c r="D22" i="69" s="1"/>
  <c r="C16" i="71"/>
  <c r="D17" i="71"/>
  <c r="C18" i="67"/>
  <c r="C15" i="67"/>
  <c r="H23" i="6"/>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J48" i="35"/>
  <c r="H7" i="21" l="1"/>
  <c r="U7" i="21" s="1"/>
  <c r="P58" i="21"/>
  <c r="Q58" i="21" s="1"/>
  <c r="R58" i="21" s="1"/>
  <c r="S58" i="21" s="1"/>
  <c r="T58" i="21" s="1"/>
  <c r="U58" i="21" s="1"/>
  <c r="V58" i="21"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J63" i="40"/>
  <c r="I65" i="40"/>
  <c r="K48" i="35"/>
  <c r="L48" i="35" s="1"/>
  <c r="M48" i="35" s="1"/>
  <c r="N48" i="35" s="1"/>
  <c r="O48" i="35" s="1"/>
  <c r="H7" i="35" s="1"/>
  <c r="AB7" i="21" l="1"/>
  <c r="T48" i="21" s="1"/>
  <c r="G48" i="21" s="1"/>
  <c r="D14" i="7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M21" i="67"/>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C19" i="9"/>
  <c r="L51" i="67"/>
  <c r="C102" i="9" l="1"/>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C20" i="9"/>
  <c r="D2" i="35"/>
  <c r="D2" i="34"/>
  <c r="D2" i="37"/>
  <c r="D19" i="9"/>
  <c r="L51" i="15"/>
  <c r="C103" i="9" l="1"/>
  <c r="D22" i="9"/>
  <c r="G19" i="9"/>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9" i="1"/>
  <c r="AO11" i="1"/>
  <c r="AO8" i="1"/>
  <c r="AO12" i="1"/>
  <c r="AO10" i="1"/>
  <c r="AO6" i="1"/>
  <c r="D20" i="9"/>
  <c r="G21" i="9" l="1"/>
  <c r="D14" i="74"/>
  <c r="G20" i="9"/>
  <c r="R24" i="31" s="1"/>
  <c r="T24" i="31" s="1"/>
  <c r="U24" i="31"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S24" i="31" l="1"/>
  <c r="R25" i="31"/>
  <c r="C32" i="9"/>
  <c r="C35" i="9" s="1"/>
  <c r="C34" i="9" s="1"/>
  <c r="E14" i="74"/>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S25" i="31" l="1"/>
  <c r="S22" i="31" s="1"/>
  <c r="T25" i="31"/>
  <c r="U25" i="31" s="1"/>
  <c r="D6" i="71"/>
  <c r="C5" i="71"/>
  <c r="D5" i="71" s="1"/>
  <c r="M24" i="43" s="1"/>
  <c r="C42" i="40"/>
  <c r="C43" i="40"/>
  <c r="E47" i="40"/>
  <c r="F47" i="40" s="1"/>
  <c r="E46" i="40"/>
  <c r="F46" i="40" s="1"/>
  <c r="I47" i="40"/>
  <c r="J47" i="40" s="1"/>
  <c r="R22" i="31" l="1"/>
  <c r="B20" i="31"/>
  <c r="B21" i="31" s="1"/>
  <c r="B58" i="40"/>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20" i="72"/>
  <c r="H4" i="52"/>
  <c r="C104" i="9"/>
  <c r="M55" i="9"/>
  <c r="D52" i="9"/>
  <c r="D53" i="9"/>
  <c r="C6" i="74"/>
  <c r="D9" i="52"/>
  <c r="D59" i="9"/>
  <c r="B21" i="72"/>
  <c r="M48" i="9"/>
  <c r="C105" i="9"/>
  <c r="I4" i="52"/>
  <c r="D5" i="53"/>
  <c r="D6" i="53"/>
  <c r="B22" i="72"/>
  <c r="D8" i="52"/>
  <c r="D123" i="9"/>
  <c r="C5" i="74"/>
  <c r="H102" i="9"/>
  <c r="D7" i="53"/>
  <c r="D122" i="9"/>
  <c r="P57" i="9"/>
  <c r="N58" i="9"/>
  <c r="M54" i="9"/>
  <c r="B30" i="72"/>
  <c r="N61" i="9"/>
  <c r="N59" i="9"/>
  <c r="N60" i="9"/>
  <c r="C81" i="9"/>
  <c r="H119" i="9"/>
  <c r="H5" i="52"/>
  <c r="H108" i="9"/>
  <c r="D15" i="53"/>
  <c r="B31" i="72"/>
  <c r="C96" i="9"/>
  <c r="E96" i="9"/>
  <c r="E97" i="9"/>
  <c r="C78" i="9"/>
  <c r="C73" i="9"/>
  <c r="B49" i="72"/>
  <c r="C67" i="9"/>
  <c r="C68" i="9"/>
  <c r="D54" i="9"/>
  <c r="D55" i="9"/>
  <c r="M53" i="9"/>
  <c r="N57" i="9"/>
  <c r="D119" i="9"/>
  <c r="D5" i="52"/>
  <c r="C80" i="9"/>
  <c r="E80" i="9"/>
  <c r="E81" i="9"/>
  <c r="E4" i="52"/>
  <c r="B48" i="72"/>
  <c r="F4" i="52"/>
  <c r="B51" i="72"/>
  <c r="C85" i="9"/>
  <c r="C95" i="9"/>
  <c r="C97" i="9"/>
  <c r="D58" i="9"/>
  <c r="D56" i="9"/>
  <c r="F119" i="9"/>
  <c r="F5" i="52"/>
  <c r="B53" i="72"/>
  <c r="C72" i="9"/>
  <c r="C79" i="9"/>
  <c r="E118" i="9"/>
  <c r="D118" i="9"/>
  <c r="D4" i="52"/>
  <c r="B47" i="72"/>
  <c r="F118" i="9"/>
  <c r="G118" i="9"/>
  <c r="G4" i="52"/>
  <c r="B52" i="72"/>
  <c r="H107" i="9"/>
  <c r="D13" i="53"/>
  <c r="D14" i="53"/>
  <c r="B32" i="72"/>
  <c r="C64" i="9"/>
  <c r="C63" i="9"/>
  <c r="I118" i="9"/>
  <c r="H118" i="9"/>
  <c r="H101" i="9"/>
  <c r="D45" i="9"/>
  <c r="C93" i="9"/>
  <c r="C86"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<sst xmlns="http://schemas.openxmlformats.org/spreadsheetml/2006/main" count="8453" uniqueCount="3560">
  <si>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</si>
  <si>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</si>
  <si>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</si>
  <si>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</si>
  <si>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</si>
  <si>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</si>
  <si>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</si>
  <si>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</si>
  <si>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</si>
  <si>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</si>
  <si>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</si>
  <si>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</si>
  <si>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</si>
  <si>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</si>
  <si>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</si>
  <si>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</si>
  <si>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</si>
  <si>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</si>
  <si>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</si>
  <si>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</si>
  <si>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</si>
  <si>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</si>
  <si>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</si>
  <si>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</si>
  <si>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</si>
  <si>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</si>
  <si>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</si>
  <si>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</si>
  <si>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</si>
  <si>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</si>
  <si>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</si>
  <si>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</si>
  <si>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</si>
  <si>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</si>
  <si>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</si>
  <si>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</si>
  <si>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</si>
  <si>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</si>
  <si>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</si>
  <si>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</si>
  <si>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</si>
  <si>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</si>
  <si>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</si>
  <si>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</si>
  <si>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</si>
  <si>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</si>
  <si>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</si>
  <si>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</si>
  <si>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</si>
  <si>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</si>
  <si>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</si>
  <si>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</si>
  <si>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</si>
  <si>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</si>
  <si>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</si>
  <si>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</si>
  <si>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</si>
  <si>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</si>
  <si>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</si>
  <si>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</si>
  <si>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</si>
  <si>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</si>
  <si>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</si>
  <si>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</si>
  <si>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</si>
  <si>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</si>
  <si>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</si>
  <si>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</si>
  <si>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</si>
  <si>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</si>
  <si>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</si>
  <si>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</si>
  <si>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</si>
  <si>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</si>
  <si>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</si>
  <si>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</si>
  <si>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</si>
  <si>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</si>
  <si>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</si>
  <si>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</si>
  <si>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</si>
  <si>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</si>
  <si>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</si>
  <si>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</si>
  <si>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</si>
  <si>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</si>
  <si>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</si>
  <si>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</si>
  <si>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</si>
  <si>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</si>
  <si>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</si>
  <si>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</si>
  <si>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</si>
  <si>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</si>
  <si>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</si>
  <si>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</si>
  <si>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</si>
  <si>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</si>
  <si>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</si>
  <si>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</si>
  <si>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</si>
  <si>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</si>
  <si>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</si>
  <si>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</si>
  <si>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</si>
  <si>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</si>
  <si>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</si>
  <si>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</si>
  <si>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</si>
  <si>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</si>
  <si>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</si>
  <si>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</si>
  <si>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</si>
  <si>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</si>
  <si>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</si>
  <si>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</si>
  <si>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</si>
  <si>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</si>
  <si>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</si>
  <si>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</si>
  <si>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</si>
  <si>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</si>
  <si>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</si>
  <si>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</si>
  <si>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</si>
  <si>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</si>
  <si>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</si>
  <si>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</si>
  <si>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</si>
  <si>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</si>
  <si>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</si>
  <si>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</si>
  <si>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</si>
  <si>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</si>
  <si>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</si>
  <si>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</si>
  <si>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</si>
  <si>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</si>
  <si>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</si>
  <si>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</si>
  <si>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</si>
  <si>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</si>
  <si>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</si>
  <si>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</si>
  <si>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</si>
  <si>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</si>
  <si>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</si>
  <si>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</si>
  <si>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</si>
  <si>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</si>
  <si>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</si>
  <si>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</si>
  <si>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</si>
  <si>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</si>
  <si>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</si>
  <si>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</si>
  <si>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</si>
  <si>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</si>
  <si>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</si>
  <si>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</si>
  <si>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</si>
  <si>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</si>
  <si>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</si>
  <si>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</si>
  <si>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</si>
  <si>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</si>
  <si>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</si>
  <si>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</si>
  <si>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</si>
  <si>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</si>
  <si>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</si>
  <si>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</si>
  <si>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</si>
  <si>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</si>
  <si>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</si>
  <si>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</si>
  <si>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</si>
  <si>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</si>
  <si>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</si>
  <si>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</si>
  <si>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</si>
  <si>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</si>
  <si>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</si>
  <si>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</si>
  <si>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</si>
  <si>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</si>
  <si>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</si>
  <si>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</si>
  <si>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</si>
  <si>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</si>
  <si>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</si>
  <si>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</si>
  <si>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</si>
  <si>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</si>
  <si>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</si>
  <si>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</si>
  <si>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</si>
  <si>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</si>
  <si>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</si>
  <si>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</si>
  <si>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</si>
  <si>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</si>
  <si>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</si>
  <si>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</si>
  <si>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</si>
  <si>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</si>
  <si>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</si>
  <si>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</si>
  <si>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</si>
  <si>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</si>
  <si>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</si>
  <si>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</si>
  <si>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</si>
  <si>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</si>
  <si>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</si>
  <si>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</si>
  <si>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</si>
  <si>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</si>
  <si>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</si>
  <si>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</si>
  <si>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</si>
  <si>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</si>
  <si>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</si>
  <si>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</si>
  <si>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</si>
  <si>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</si>
  <si>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</si>
  <si>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</si>
  <si>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</si>
  <si>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</si>
  <si>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</si>
  <si>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</si>
  <si>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</si>
  <si>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</si>
  <si>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</si>
  <si>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</si>
  <si>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</si>
  <si>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</si>
  <si>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</si>
  <si>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</si>
  <si>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</si>
  <si>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</si>
  <si>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</si>
  <si>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</si>
  <si>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</si>
  <si>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</si>
  <si>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</si>
  <si>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</si>
  <si>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</si>
  <si>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</si>
  <si>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</si>
  <si>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</si>
  <si>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</si>
  <si>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</si>
  <si>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</si>
  <si>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</si>
  <si>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</si>
  <si>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</si>
  <si>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</si>
  <si>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</si>
  <si>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</si>
  <si>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</si>
  <si>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</si>
  <si>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</si>
  <si>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</si>
  <si>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</si>
  <si>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</si>
  <si>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</si>
  <si>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</si>
  <si>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</si>
  <si>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</si>
  <si>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</si>
  <si>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</si>
  <si>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</si>
  <si>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</si>
  <si>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</si>
  <si>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</si>
  <si>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</si>
  <si>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</si>
  <si>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</si>
  <si>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</si>
  <si>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</si>
  <si>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</si>
  <si>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</si>
  <si>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</si>
  <si>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</si>
  <si>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</si>
  <si>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</si>
  <si>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</si>
  <si>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</si>
  <si>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</si>
  <si>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</si>
  <si>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</si>
  <si>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</si>
  <si>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</si>
  <si>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</si>
  <si>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</si>
  <si>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</si>
  <si>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</si>
  <si>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</si>
  <si>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</si>
  <si>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</si>
  <si>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</si>
  <si>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</si>
  <si>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</si>
  <si>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</si>
  <si>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</si>
  <si>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</si>
  <si>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</si>
  <si>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</si>
  <si>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</si>
  <si>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</si>
  <si>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</si>
  <si>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</si>
  <si>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</si>
  <si>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</si>
  <si>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</si>
  <si>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</si>
  <si>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</si>
  <si>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</si>
  <si>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</si>
  <si>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</si>
  <si>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</si>
  <si>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</si>
  <si>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</si>
  <si>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</si>
  <si>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</si>
  <si>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</si>
  <si>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</si>
  <si>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</si>
  <si>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</si>
  <si>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</si>
  <si>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</si>
  <si>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</si>
  <si>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</si>
  <si>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</si>
  <si>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</si>
  <si>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</si>
  <si>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</si>
  <si>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</si>
  <si>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</si>
  <si>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</si>
  <si>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</si>
  <si>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</si>
  <si>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</si>
  <si>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</si>
  <si>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</si>
  <si>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</si>
  <si>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</si>
  <si>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</si>
  <si>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</si>
  <si>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</si>
  <si>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</si>
  <si>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</si>
  <si>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</si>
  <si>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</si>
  <si>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</si>
  <si>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</si>
  <si>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</si>
  <si>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</si>
  <si>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</si>
  <si>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</si>
  <si>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</si>
  <si>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</si>
  <si>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</si>
  <si>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</si>
  <si>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</si>
  <si>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</si>
  <si>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</si>
  <si>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</si>
  <si>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</si>
  <si>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</si>
  <si>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</si>
  <si>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</si>
  <si>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</si>
  <si>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</si>
  <si>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</si>
  <si>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</si>
  <si>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</si>
  <si>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</si>
  <si>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</si>
  <si>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</si>
  <si>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</si>
  <si>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</si>
  <si>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</si>
  <si>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</si>
  <si>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</si>
  <si>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</si>
  <si>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</si>
  <si>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</si>
  <si>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</si>
  <si>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</si>
  <si>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</si>
  <si>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</si>
  <si>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</si>
  <si>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</si>
  <si>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</si>
  <si>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</si>
  <si>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</si>
  <si>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</si>
  <si>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</si>
  <si>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</si>
  <si>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</si>
  <si>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</si>
  <si>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</si>
  <si>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</si>
  <si>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</si>
  <si>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</si>
  <si>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</si>
  <si>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</si>
  <si>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</si>
  <si>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</si>
  <si>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</si>
  <si>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</si>
  <si>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</si>
  <si>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</si>
  <si>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</si>
  <si>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</si>
  <si>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</si>
  <si>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</si>
  <si>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</si>
  <si>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</si>
  <si>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</si>
  <si>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</si>
  <si>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</si>
  <si>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</si>
  <si>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</si>
  <si>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</si>
  <si>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</si>
  <si>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</si>
  <si>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</si>
  <si>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</si>
  <si>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</si>
  <si>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</si>
  <si>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</si>
  <si>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</si>
  <si>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</si>
  <si>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</si>
  <si>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</si>
  <si>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</si>
  <si>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</si>
  <si>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</si>
  <si>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</si>
  <si>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</si>
  <si>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</si>
  <si>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</si>
  <si>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</si>
  <si>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</si>
  <si>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</si>
  <si>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</si>
  <si>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</si>
  <si>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</si>
  <si>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</si>
  <si>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</si>
  <si>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</si>
  <si>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</si>
  <si>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</si>
  <si>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</si>
  <si>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</si>
  <si>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</si>
  <si>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</si>
  <si>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</si>
  <si>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</si>
  <si>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</si>
  <si>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</si>
  <si>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</si>
  <si>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</si>
  <si>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</si>
  <si>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</si>
  <si>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</si>
  <si>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</si>
  <si>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</si>
  <si>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</si>
  <si>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</si>
  <si>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</si>
  <si>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</si>
  <si>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</si>
  <si>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</si>
  <si>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</si>
  <si>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</si>
  <si>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</si>
  <si>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</si>
  <si>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</si>
  <si>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</si>
  <si>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</si>
  <si>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</si>
  <si>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</si>
  <si>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</si>
  <si>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</si>
  <si>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</si>
  <si>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</si>
  <si>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</si>
  <si>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</si>
  <si>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</si>
  <si>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</si>
  <si>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</si>
  <si>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</si>
  <si>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</si>
  <si>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</si>
  <si>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</si>
  <si>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</si>
  <si>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</si>
  <si>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</si>
  <si>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</si>
  <si>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</si>
  <si>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</si>
  <si>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</si>
  <si>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</si>
  <si>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</si>
  <si>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</si>
  <si>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</si>
  <si>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</si>
  <si>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</si>
  <si>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</si>
  <si>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</si>
  <si>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</si>
  <si>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</si>
  <si>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</si>
  <si>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</si>
  <si>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</si>
  <si>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</si>
  <si>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</si>
  <si>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</si>
  <si>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</si>
  <si>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</si>
  <si>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</si>
  <si>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</si>
  <si>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</si>
  <si>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</si>
  <si>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</si>
  <si>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</si>
  <si>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</si>
  <si>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</si>
  <si>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</si>
  <si>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</si>
  <si>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</si>
  <si>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</si>
  <si>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</si>
  <si>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</si>
  <si>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</si>
  <si>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</si>
  <si>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</si>
  <si>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</si>
  <si>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</si>
  <si>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</si>
  <si>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</si>
  <si>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</si>
  <si>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</si>
  <si>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</si>
  <si>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</si>
  <si>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</si>
  <si>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</si>
  <si>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</si>
  <si>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</si>
  <si>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</si>
  <si>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</si>
  <si>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</si>
  <si>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</si>
  <si>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</si>
  <si>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</si>
  <si>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</si>
  <si>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</si>
  <si>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</si>
  <si>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</si>
  <si>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</si>
  <si>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</si>
  <si>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</si>
  <si>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</si>
  <si>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</si>
  <si>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</si>
  <si>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</si>
  <si>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</si>
  <si>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</si>
  <si>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</si>
  <si>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</si>
  <si>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</si>
  <si>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</si>
  <si>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</si>
  <si>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</si>
  <si>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</si>
  <si>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</si>
  <si>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</si>
  <si>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</si>
  <si>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</si>
  <si>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</si>
  <si>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</si>
  <si>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</si>
  <si>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</si>
  <si>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</si>
  <si>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</si>
  <si>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</si>
  <si>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</si>
  <si>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</si>
  <si>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</si>
  <si>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</si>
  <si>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</si>
  <si>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</si>
  <si>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</si>
  <si>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</si>
  <si>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</si>
  <si>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</si>
  <si>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</si>
  <si>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</si>
  <si>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</si>
  <si>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</si>
  <si>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</si>
  <si>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</si>
  <si>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</si>
  <si>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</si>
  <si>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</si>
  <si>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</si>
  <si>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</si>
  <si>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</si>
  <si>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</si>
  <si>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</si>
  <si>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</si>
  <si>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</si>
  <si>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</si>
  <si>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</si>
  <si>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</si>
  <si>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</si>
  <si>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</si>
  <si>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</si>
  <si>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</si>
  <si>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</si>
  <si>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</si>
  <si>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</si>
  <si>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</si>
  <si>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</si>
  <si>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</si>
  <si>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</si>
  <si>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</si>
  <si>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</si>
  <si>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</si>
  <si>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</si>
  <si>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</si>
  <si>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</si>
  <si>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</si>
  <si>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</si>
  <si>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</si>
  <si>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</si>
  <si>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</si>
  <si>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</si>
  <si>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</si>
  <si>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</si>
  <si>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</si>
  <si>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</si>
  <si>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</si>
  <si>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</si>
  <si>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</si>
  <si>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</si>
  <si>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</si>
  <si>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</si>
  <si>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</si>
  <si>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</si>
  <si>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</si>
  <si>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</si>
  <si>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</si>
  <si>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</si>
  <si>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</si>
  <si>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</si>
  <si>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</si>
  <si>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</si>
  <si>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</si>
  <si>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</si>
  <si>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</si>
  <si>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</si>
  <si>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</si>
  <si>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</si>
  <si>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</si>
  <si>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</si>
  <si>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</si>
  <si>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</si>
  <si>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</si>
  <si>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</si>
  <si>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</si>
  <si>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</si>
  <si>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</si>
  <si>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</si>
  <si>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</si>
  <si>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</si>
  <si>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</si>
  <si>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</si>
  <si>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</si>
  <si>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</si>
  <si>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</si>
  <si>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</si>
  <si>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</si>
  <si>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</si>
  <si>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</si>
  <si>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</si>
  <si>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</si>
  <si>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</si>
  <si>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</si>
  <si>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</si>
  <si>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</si>
  <si>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</si>
  <si>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</si>
  <si>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</si>
  <si>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</si>
  <si>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</si>
  <si>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</si>
  <si>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</si>
  <si>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</si>
  <si>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</si>
  <si>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</si>
  <si>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</si>
  <si>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</si>
  <si>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</si>
  <si>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</si>
  <si>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</si>
  <si>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</si>
  <si>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</si>
  <si>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</si>
  <si>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</si>
  <si>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</si>
  <si>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</si>
  <si>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</si>
  <si>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</si>
  <si>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</si>
  <si>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</si>
  <si>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</si>
  <si>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</si>
  <si>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</si>
  <si>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</si>
  <si>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</si>
  <si>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</si>
  <si>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</si>
  <si>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</si>
  <si>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</si>
  <si>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</si>
  <si>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</si>
  <si>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</si>
  <si>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</si>
  <si>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</si>
  <si>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</si>
  <si>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</si>
  <si>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</si>
  <si>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</si>
  <si>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</si>
  <si>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</si>
  <si>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</si>
  <si>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</si>
  <si>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</si>
  <si>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</si>
  <si>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</si>
  <si>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</si>
  <si>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</si>
  <si>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</si>
  <si>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</si>
  <si>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</si>
  <si>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</si>
  <si>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</si>
  <si>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</si>
  <si>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</si>
  <si>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</si>
  <si>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</si>
  <si>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</si>
  <si>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</si>
  <si>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</si>
  <si>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</si>
  <si>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</si>
  <si>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</si>
  <si>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</si>
  <si>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</si>
  <si>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</si>
  <si>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</si>
  <si>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</si>
  <si>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</si>
  <si>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</si>
  <si>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</si>
  <si>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</si>
  <si>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</si>
  <si>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</si>
  <si>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</si>
  <si>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</si>
  <si>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</si>
  <si>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</si>
  <si>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</si>
  <si>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</si>
  <si>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</si>
  <si>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</si>
  <si>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</si>
  <si>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</si>
  <si>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</si>
  <si>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</si>
  <si>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</si>
  <si>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</si>
  <si>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</si>
  <si>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</si>
  <si>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</si>
  <si>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</si>
  <si>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</si>
  <si>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</si>
  <si>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</si>
  <si>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</si>
  <si>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</si>
  <si>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</si>
  <si>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</si>
  <si>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</si>
  <si>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</si>
  <si>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</si>
  <si>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</si>
  <si>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</si>
  <si>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</si>
  <si>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</si>
  <si>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</si>
  <si>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</si>
  <si>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</si>
  <si>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</si>
  <si>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</si>
  <si>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</si>
  <si>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</si>
  <si>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</si>
  <si>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</si>
  <si>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</si>
  <si>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</si>
  <si>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</si>
  <si>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</si>
  <si>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</si>
  <si>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</si>
  <si>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</si>
  <si>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</si>
  <si>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</si>
  <si>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</si>
  <si>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</si>
  <si>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</si>
  <si>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</si>
  <si>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</si>
  <si>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</si>
  <si>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</si>
  <si>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</si>
  <si>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</si>
  <si>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</si>
  <si>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</si>
  <si>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</si>
  <si>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</si>
  <si>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</si>
  <si>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</si>
  <si>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</si>
  <si>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</si>
  <si>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</si>
  <si>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</si>
  <si>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</si>
  <si>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</si>
  <si>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</si>
  <si>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</si>
  <si>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</si>
  <si>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</si>
  <si>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</si>
  <si>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</si>
  <si>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</si>
  <si>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</si>
  <si>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</si>
  <si>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</si>
  <si>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</si>
  <si>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</si>
  <si>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</si>
  <si>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</si>
  <si>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</si>
  <si>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</si>
  <si>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</si>
  <si>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</si>
  <si>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</si>
  <si>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</si>
  <si>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</si>
  <si>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</si>
  <si>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</si>
  <si>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</si>
  <si>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</si>
  <si>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</si>
  <si>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</si>
  <si>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</si>
  <si>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</si>
  <si>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</si>
  <si>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</si>
  <si>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</si>
  <si>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</si>
  <si>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</si>
  <si>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</si>
  <si>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</si>
  <si>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</si>
  <si>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</si>
  <si>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</si>
  <si>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</si>
  <si>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</si>
  <si>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</si>
  <si>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</si>
  <si>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</si>
  <si>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</si>
  <si>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</si>
  <si>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</si>
  <si>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</si>
  <si>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</si>
  <si>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</si>
  <si>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</si>
  <si>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</si>
  <si>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</si>
  <si>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</si>
  <si>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</si>
  <si>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</si>
  <si>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</si>
  <si>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</si>
  <si>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</si>
  <si>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</si>
  <si>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</si>
  <si>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</si>
  <si>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</si>
  <si>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</si>
  <si>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</si>
  <si>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</si>
  <si>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</si>
  <si>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</si>
  <si>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</si>
  <si>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</si>
  <si>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</si>
  <si>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</si>
  <si>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</si>
  <si>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</si>
  <si>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</si>
  <si>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</si>
  <si>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</si>
  <si>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</si>
  <si>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</si>
  <si>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</si>
  <si>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</si>
  <si>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</si>
  <si>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</si>
  <si>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</si>
  <si>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</si>
  <si>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</si>
  <si>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</si>
  <si>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</si>
  <si>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</si>
  <si>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</si>
  <si>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</si>
  <si>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</si>
  <si>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</si>
  <si>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</si>
  <si>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</si>
  <si>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</si>
  <si>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</si>
  <si>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</si>
  <si>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</si>
  <si>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</si>
  <si>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</si>
  <si>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</si>
  <si>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</si>
  <si>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</si>
  <si>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</si>
  <si>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</si>
  <si>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</si>
  <si>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</si>
  <si>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</si>
  <si>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</si>
  <si>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</si>
  <si>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</si>
  <si>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</si>
  <si>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</si>
  <si>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</si>
  <si>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</si>
  <si>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</si>
  <si>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</si>
  <si>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</si>
  <si>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</si>
  <si>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</si>
  <si>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</si>
  <si>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</si>
  <si>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</si>
  <si>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</si>
  <si>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</si>
  <si>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</si>
  <si>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</si>
  <si>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</si>
  <si>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</si>
  <si>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</si>
  <si>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</si>
  <si>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</si>
  <si>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</si>
  <si>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</si>
  <si>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</si>
  <si>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</si>
  <si>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</si>
  <si>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</si>
  <si>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</si>
  <si>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</si>
  <si>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</si>
  <si>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</si>
  <si>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</si>
  <si>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</si>
  <si>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</si>
  <si>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</si>
  <si>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</si>
  <si>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</si>
  <si>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</si>
  <si>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</si>
  <si>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</si>
  <si>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</si>
  <si>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</si>
  <si>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</si>
  <si>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</si>
  <si>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</si>
  <si>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</si>
  <si>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</si>
  <si>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</si>
  <si>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</si>
  <si>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</si>
  <si>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</si>
  <si>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</si>
  <si>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</si>
  <si>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</si>
  <si>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</si>
  <si>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</si>
  <si>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</si>
  <si>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</si>
  <si>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</si>
  <si>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</si>
  <si>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</si>
  <si>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</si>
  <si>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</si>
  <si>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</si>
  <si>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</si>
  <si>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</si>
  <si>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</si>
  <si>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</si>
  <si>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</si>
  <si>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</si>
  <si>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</si>
  <si>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</si>
  <si>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</si>
  <si>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</si>
  <si>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</si>
  <si>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</si>
  <si>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</si>
  <si>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</si>
  <si>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</si>
  <si>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</si>
  <si>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</si>
  <si>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</si>
  <si>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</si>
  <si>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</si>
  <si>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</si>
  <si>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</si>
  <si>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</si>
  <si>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</si>
  <si>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</si>
  <si>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</si>
  <si>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</si>
  <si>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</si>
  <si>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</si>
  <si>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</si>
  <si>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</si>
  <si>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</si>
  <si>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</si>
  <si>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</si>
  <si>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</si>
  <si>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</si>
  <si>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</si>
  <si>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</si>
  <si>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</si>
  <si>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</si>
  <si>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</si>
  <si>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</si>
  <si>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</si>
  <si>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</si>
  <si>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</si>
  <si>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</si>
  <si>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</si>
  <si>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</si>
  <si>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</si>
  <si>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</si>
  <si>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</si>
  <si>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</si>
  <si>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</si>
  <si>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</si>
  <si>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</si>
  <si>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</si>
  <si>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</si>
  <si>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</si>
  <si>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</si>
  <si>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</si>
  <si>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</si>
  <si>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</si>
  <si>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</si>
  <si>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</si>
  <si>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</si>
  <si>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</si>
  <si>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</si>
  <si>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</si>
  <si>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</si>
  <si>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</si>
  <si>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</si>
  <si>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</si>
  <si>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</si>
  <si>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</si>
  <si>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</si>
  <si>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</si>
  <si>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</si>
  <si>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</si>
  <si>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</si>
  <si>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</si>
  <si>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</si>
  <si>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</si>
  <si>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</si>
  <si>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</si>
  <si>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</si>
  <si>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</si>
  <si>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</si>
  <si>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</si>
  <si>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</si>
  <si>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</si>
  <si>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</si>
  <si>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</si>
  <si>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</si>
  <si>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</si>
  <si>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</si>
  <si>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</si>
  <si>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</si>
  <si>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</si>
  <si>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</si>
  <si>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</si>
  <si>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</si>
  <si>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</si>
  <si>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</si>
  <si>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</si>
  <si>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</si>
  <si>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</si>
  <si>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</si>
  <si>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</si>
  <si>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</si>
  <si>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</si>
  <si>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</si>
  <si>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</si>
  <si>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</si>
  <si>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</si>
  <si>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</si>
  <si>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</si>
  <si>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</si>
  <si>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</si>
  <si>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</si>
  <si>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</si>
  <si>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</si>
  <si>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</si>
  <si>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</si>
  <si>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</si>
  <si>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</si>
  <si>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</si>
  <si>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</si>
  <si>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</si>
  <si>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</si>
  <si>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</si>
  <si>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</si>
  <si>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</si>
  <si>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</si>
  <si>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</si>
  <si>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</si>
  <si>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</si>
  <si>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</si>
  <si>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</si>
  <si>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</si>
  <si>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</si>
  <si>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</si>
  <si>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</si>
  <si>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</si>
  <si>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</si>
  <si>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</si>
  <si>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</si>
  <si>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</si>
  <si>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</si>
  <si>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</si>
  <si>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</si>
  <si>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</si>
  <si>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</si>
  <si>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</si>
  <si>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</si>
  <si>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</si>
  <si>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</si>
  <si>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</si>
  <si>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</si>
  <si>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</si>
  <si>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</si>
  <si>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</si>
  <si>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</si>
  <si>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</si>
  <si>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</si>
  <si>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</si>
  <si>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</si>
  <si>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</si>
  <si>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</si>
  <si>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</si>
  <si>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</si>
  <si>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</si>
  <si>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</si>
  <si>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</si>
  <si>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</si>
  <si>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</si>
  <si>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</si>
  <si>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</si>
  <si>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</si>
  <si>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</si>
  <si>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</si>
  <si>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</si>
  <si>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</si>
  <si>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</si>
  <si>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</si>
  <si>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</si>
  <si>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</si>
  <si>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</si>
  <si>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</si>
  <si>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</si>
  <si>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</si>
  <si>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</si>
  <si>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</si>
  <si>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</si>
  <si>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</si>
  <si>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</si>
  <si>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</si>
  <si>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</si>
  <si>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</si>
  <si>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</si>
  <si>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</si>
  <si>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</si>
  <si>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</si>
  <si>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</si>
  <si>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</si>
  <si>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</si>
  <si>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</si>
  <si>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</si>
  <si>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</si>
  <si>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</si>
  <si>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</si>
  <si>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</si>
  <si>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</si>
  <si>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</si>
  <si>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</si>
  <si>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</si>
  <si>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</si>
  <si>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</si>
  <si>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</si>
  <si>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</si>
  <si>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</si>
  <si>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</si>
  <si>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</si>
  <si>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</si>
  <si>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</si>
  <si>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</si>
  <si>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</si>
  <si>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</si>
  <si>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</si>
  <si>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</si>
  <si>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</si>
  <si>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</si>
  <si>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</si>
  <si>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</si>
  <si>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</si>
  <si>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</si>
  <si>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</si>
  <si>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</si>
  <si>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</si>
  <si>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</si>
  <si>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</si>
  <si>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</si>
  <si>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</si>
  <si>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</si>
  <si>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</si>
  <si>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</si>
  <si>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</si>
  <si>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</si>
  <si>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</si>
  <si>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</si>
  <si>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</si>
  <si>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</si>
  <si>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</si>
  <si>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</si>
  <si>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</si>
  <si>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</si>
  <si>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</si>
  <si>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</si>
  <si>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</si>
  <si>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</si>
  <si>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</si>
  <si>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</si>
  <si>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</si>
  <si>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</si>
  <si>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</si>
  <si>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</si>
  <si>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</si>
  <si>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</si>
  <si>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</si>
  <si>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</si>
  <si>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</si>
  <si>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</si>
  <si>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</si>
  <si>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</si>
  <si>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</si>
  <si>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</si>
  <si>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</si>
  <si>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</si>
  <si>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</si>
  <si>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</si>
  <si>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</si>
  <si>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</si>
  <si>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</si>
  <si>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</si>
  <si>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</si>
  <si>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</si>
  <si>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</si>
  <si>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</si>
  <si>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</si>
  <si>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</si>
  <si>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</si>
  <si>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</si>
  <si>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</si>
  <si>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</si>
  <si>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</si>
  <si>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</si>
  <si>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</si>
  <si>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</si>
  <si>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</si>
  <si>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</si>
  <si>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</si>
  <si>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</si>
  <si>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</si>
  <si>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</si>
  <si>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</si>
  <si>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</si>
  <si>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</si>
  <si>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</si>
  <si>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</si>
  <si>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</si>
  <si>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</si>
  <si>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</si>
  <si>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</si>
  <si>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</si>
  <si>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</si>
  <si>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</si>
  <si>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</si>
  <si>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</si>
  <si>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</si>
  <si>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</si>
  <si>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</si>
  <si>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</si>
  <si>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</si>
  <si>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</si>
  <si>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</si>
  <si>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</si>
  <si>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</si>
  <si>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</si>
  <si>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</si>
  <si>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</si>
  <si>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</si>
  <si>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</si>
  <si>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</si>
  <si>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</si>
  <si>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</si>
  <si>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</si>
  <si>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</si>
  <si>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</si>
  <si>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</si>
  <si>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</si>
  <si>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</si>
  <si>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</si>
  <si>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</si>
  <si>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</si>
  <si>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</si>
  <si>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</si>
  <si>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</si>
  <si>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</si>
  <si>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</si>
  <si>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</si>
  <si>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</si>
  <si>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</si>
  <si>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</si>
  <si>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</si>
  <si>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</si>
  <si>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</si>
  <si>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</si>
  <si>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</si>
  <si>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</si>
  <si>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</si>
  <si>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</si>
  <si>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</si>
  <si>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</si>
  <si>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</si>
  <si>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</si>
  <si>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</si>
  <si>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</si>
  <si>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</si>
  <si>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</si>
  <si>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</si>
  <si>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</si>
  <si>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</si>
  <si>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</si>
  <si>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</si>
  <si>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</si>
  <si>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</si>
  <si>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</si>
  <si>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</si>
  <si>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</si>
  <si>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</si>
  <si>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</si>
  <si>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</si>
  <si>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</si>
  <si>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</si>
  <si>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</si>
  <si>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</si>
  <si>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</si>
  <si>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</si>
  <si>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</si>
  <si>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</si>
  <si>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</si>
  <si>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</si>
  <si>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</si>
  <si>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</si>
  <si>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</si>
  <si>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</si>
  <si>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</si>
  <si>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</si>
  <si>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</si>
  <si>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</si>
  <si>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</si>
  <si>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</si>
  <si>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</si>
  <si>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</si>
  <si>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</si>
  <si>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</si>
  <si>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</si>
  <si>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</si>
  <si>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</si>
  <si>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</si>
  <si>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</si>
  <si>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</si>
  <si>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</si>
  <si>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</si>
  <si>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</si>
  <si>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</si>
  <si>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</si>
  <si>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</si>
  <si>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</si>
  <si>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</si>
  <si>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</si>
  <si>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</si>
  <si>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</si>
  <si>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</si>
  <si>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</si>
  <si>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</si>
  <si>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</si>
  <si>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</si>
  <si>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</si>
  <si>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</si>
  <si>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</si>
  <si>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</si>
  <si>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</si>
  <si>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</si>
  <si>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</si>
  <si>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</si>
  <si>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</si>
  <si>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</si>
  <si>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</si>
  <si>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</si>
  <si>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</si>
  <si>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</si>
  <si>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</si>
  <si>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</si>
  <si>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</si>
  <si>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</si>
  <si>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</si>
  <si>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</si>
  <si>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</si>
  <si>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</si>
  <si>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</si>
  <si>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</si>
  <si>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</si>
  <si>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</si>
  <si>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</si>
  <si>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</si>
  <si>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</si>
  <si>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</si>
  <si>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</si>
  <si>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</si>
  <si>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</si>
  <si>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</si>
  <si>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</si>
  <si>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</si>
  <si>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</si>
  <si>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</si>
  <si>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</si>
  <si>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</si>
  <si>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</si>
  <si>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</si>
  <si>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</si>
  <si>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</si>
  <si>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</si>
  <si>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</si>
  <si>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</si>
  <si>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</si>
  <si>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</si>
  <si>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</si>
  <si>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</si>
  <si>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</si>
  <si>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</si>
  <si>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</si>
  <si>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</si>
  <si>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</si>
  <si>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</si>
  <si>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</si>
  <si>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</si>
  <si>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</si>
  <si>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</si>
  <si>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</si>
  <si>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</si>
  <si>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</si>
  <si>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</si>
  <si>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</si>
  <si>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</si>
  <si>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</si>
  <si>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</si>
  <si>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</si>
  <si>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</si>
  <si>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</si>
  <si>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</si>
  <si>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</si>
  <si>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</si>
  <si>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</si>
  <si>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</si>
  <si>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</si>
  <si>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</si>
  <si>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</si>
  <si>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</si>
  <si>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</si>
  <si>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</si>
  <si>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</si>
  <si>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</si>
  <si>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</si>
  <si>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</si>
  <si>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</si>
  <si>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</si>
  <si>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</si>
  <si>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</si>
  <si>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</si>
  <si>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</si>
  <si>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</si>
  <si>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</si>
  <si>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</si>
  <si>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</si>
  <si>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</si>
  <si>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</si>
  <si>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</si>
  <si>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</si>
  <si>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</si>
  <si>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</si>
  <si>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</si>
  <si>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</si>
  <si>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</si>
  <si>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</si>
  <si>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</si>
  <si>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</si>
  <si>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</si>
  <si>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</si>
  <si>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</si>
  <si>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</si>
  <si>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</si>
  <si>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</si>
  <si>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</si>
  <si>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</si>
  <si>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</si>
  <si>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</si>
  <si>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</si>
  <si>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</si>
  <si>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</si>
  <si>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</si>
  <si>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</si>
  <si>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</si>
  <si>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</si>
  <si>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</si>
  <si>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</si>
  <si>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</si>
  <si>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</si>
  <si>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</si>
  <si>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</si>
  <si>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</si>
  <si>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</si>
  <si>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</si>
  <si>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</si>
  <si>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</si>
  <si>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</si>
  <si>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</si>
  <si>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</si>
  <si>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</si>
  <si>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</si>
  <si>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</si>
  <si>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</si>
  <si>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</si>
  <si>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</si>
  <si>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</si>
  <si>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</si>
  <si>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</si>
  <si>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</si>
  <si>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</si>
  <si>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</si>
  <si>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</si>
  <si>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</si>
  <si>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</si>
  <si>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</si>
  <si>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</si>
  <si>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</si>
  <si>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</si>
  <si>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</si>
  <si>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</si>
  <si>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</si>
  <si>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</si>
  <si>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</si>
  <si>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</si>
  <si>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</si>
  <si>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</si>
  <si>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</si>
  <si>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</si>
  <si>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</si>
  <si>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</si>
  <si>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</si>
  <si>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</si>
  <si>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</si>
  <si>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</si>
  <si>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</si>
  <si>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</si>
  <si>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</si>
  <si>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</si>
  <si>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</si>
  <si>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</si>
  <si>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</si>
  <si>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</si>
  <si>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</si>
  <si>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</si>
  <si>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</si>
  <si>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</si>
  <si>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</si>
  <si>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</si>
  <si>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</si>
  <si>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</si>
  <si>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</si>
  <si>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</si>
  <si>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</si>
  <si>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</si>
  <si>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</si>
  <si>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</si>
  <si>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</si>
  <si>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</si>
  <si>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</si>
  <si>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</si>
  <si>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</si>
  <si>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</si>
  <si>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</si>
  <si>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</si>
  <si>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</si>
  <si>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</si>
  <si>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</si>
  <si>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</si>
  <si>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</si>
  <si>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</si>
  <si>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</si>
  <si>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</si>
  <si>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</si>
  <si>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</si>
  <si>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</si>
  <si>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</si>
  <si>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</si>
  <si>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</si>
  <si>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</si>
  <si>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</si>
  <si>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</si>
  <si>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</si>
  <si>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</si>
  <si>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</si>
  <si>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</si>
  <si>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</si>
  <si>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</si>
  <si>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</si>
  <si>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</si>
  <si>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</si>
  <si>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</si>
  <si>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</si>
  <si>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</si>
  <si>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</si>
  <si>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</si>
  <si>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</si>
  <si>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</si>
  <si>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</si>
  <si>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</si>
  <si>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</si>
  <si>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</si>
  <si>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</si>
  <si>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</si>
  <si>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</si>
  <si>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</si>
  <si>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</si>
  <si>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</si>
  <si>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</si>
  <si>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</si>
  <si>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</si>
  <si>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</si>
  <si>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</si>
  <si>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</si>
  <si>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</si>
  <si>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</si>
  <si>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</si>
  <si>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</si>
  <si>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</si>
  <si>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</si>
  <si>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</si>
  <si>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</si>
  <si>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</si>
  <si>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</si>
  <si>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</si>
  <si>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</si>
  <si>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</si>
  <si>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</si>
  <si>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</si>
  <si>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</si>
  <si>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</si>
  <si>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</si>
  <si>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</si>
  <si>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</si>
  <si>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</si>
  <si>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</si>
  <si>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</si>
  <si>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</si>
  <si>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</si>
  <si>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</si>
  <si>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</si>
  <si>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</si>
  <si>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</si>
  <si>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</si>
  <si>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</si>
  <si>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</si>
  <si>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</si>
  <si>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</si>
  <si>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</si>
  <si>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</si>
  <si>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</si>
  <si>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</si>
  <si>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</si>
  <si>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</si>
  <si>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</si>
  <si>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</si>
  <si>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</si>
  <si>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</si>
  <si>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</si>
  <si>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</si>
  <si>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</si>
  <si>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</si>
  <si>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</si>
  <si>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</si>
  <si>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</si>
  <si>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</si>
  <si>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</si>
  <si>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</si>
  <si>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</si>
  <si>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</si>
  <si>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</si>
  <si>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</si>
  <si>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</si>
  <si>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</si>
  <si>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</si>
  <si>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</si>
  <si>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</si>
  <si>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</si>
  <si>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</si>
  <si>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</si>
  <si>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</si>
  <si>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</si>
  <si>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</si>
  <si>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</si>
  <si>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</si>
  <si>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</si>
  <si>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</si>
  <si>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</si>
  <si>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</si>
  <si>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</si>
  <si>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</si>
  <si>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</si>
  <si>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</si>
  <si>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</si>
  <si>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</si>
  <si>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</si>
  <si>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</si>
  <si>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</si>
  <si>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</si>
  <si>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</si>
  <si>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</si>
  <si>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</si>
  <si>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</si>
  <si>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</si>
  <si>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</si>
  <si>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</si>
  <si>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</si>
  <si>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</si>
  <si>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</si>
  <si>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</si>
  <si>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</si>
  <si>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</si>
  <si>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</si>
  <si>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</si>
  <si>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</si>
  <si>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</si>
  <si>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</si>
  <si>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</si>
  <si>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</si>
  <si>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</si>
  <si>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</si>
  <si>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</si>
  <si>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</si>
  <si>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</si>
  <si>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</si>
  <si>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</si>
  <si>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</si>
  <si>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</si>
  <si>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</si>
  <si>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</si>
  <si>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</si>
  <si>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</si>
  <si>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</si>
  <si>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</si>
  <si>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</si>
  <si>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</si>
  <si>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</si>
  <si>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</si>
  <si>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</si>
  <si>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</si>
  <si>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</si>
  <si>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</si>
  <si>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</si>
  <si>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</si>
  <si>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</si>
  <si>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</si>
  <si>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</si>
  <si>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</si>
  <si>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</si>
  <si>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</si>
  <si>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</si>
  <si>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</si>
  <si>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</si>
  <si>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</si>
  <si>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</si>
  <si>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</si>
  <si>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</si>
  <si>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</si>
  <si>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</si>
  <si>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</si>
  <si>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</si>
  <si>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</si>
  <si>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</si>
  <si>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</si>
  <si>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</si>
  <si>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</si>
  <si>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</si>
  <si>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</si>
  <si>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</si>
  <si>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</si>
  <si>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</si>
  <si>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</si>
  <si>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</si>
  <si>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</si>
  <si>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</si>
  <si>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</si>
  <si>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</si>
  <si>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</si>
  <si>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</si>
  <si>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</si>
  <si>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</si>
  <si>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</si>
  <si>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</si>
  <si>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</si>
  <si>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</si>
  <si>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</si>
  <si>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</si>
  <si>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</si>
  <si>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</si>
  <si>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</si>
  <si>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</si>
  <si>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</si>
  <si>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</si>
  <si>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</si>
  <si>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</si>
  <si>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</si>
  <si>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</si>
  <si>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</si>
  <si>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</si>
  <si>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</si>
  <si>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</si>
  <si>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</si>
  <si>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</si>
  <si>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</si>
  <si>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</si>
  <si>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</si>
  <si>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</si>
  <si>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</si>
  <si>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</si>
  <si>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</si>
  <si>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</si>
  <si>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</si>
  <si>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</si>
  <si>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</si>
  <si>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</si>
  <si>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</si>
  <si>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</si>
  <si>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</si>
  <si>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</si>
  <si>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</si>
  <si>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</si>
  <si>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</si>
  <si>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</si>
  <si>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</si>
  <si>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</si>
  <si>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</si>
  <si>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</si>
  <si>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</si>
  <si>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</si>
  <si>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</si>
  <si>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</si>
  <si>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</si>
  <si>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</si>
  <si>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</si>
  <si>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</si>
  <si>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</si>
  <si>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</si>
  <si>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</si>
  <si>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</si>
  <si>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</si>
  <si>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</si>
  <si>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</si>
  <si>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</si>
  <si>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</si>
  <si>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</si>
  <si>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</si>
  <si>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</si>
  <si>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</si>
  <si>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</si>
  <si>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</si>
  <si>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</si>
  <si>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</si>
  <si>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</si>
  <si>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</si>
  <si>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</si>
  <si>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</si>
  <si>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</si>
  <si>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</si>
  <si>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</si>
  <si>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</si>
  <si>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</si>
  <si>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</si>
  <si>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</si>
  <si>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</si>
  <si>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</si>
  <si>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</si>
  <si>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</si>
  <si>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</si>
  <si>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</si>
  <si>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</si>
  <si>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</si>
  <si>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</si>
  <si>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</si>
  <si>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</si>
  <si>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</si>
  <si>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</si>
  <si>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</si>
  <si>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</si>
  <si>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</si>
  <si>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</si>
  <si>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</si>
  <si>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</si>
  <si>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</si>
  <si>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</si>
  <si>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</si>
  <si>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</si>
  <si>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</si>
  <si>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</si>
  <si>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</si>
  <si>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</si>
  <si>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</si>
  <si>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</si>
  <si>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</si>
  <si>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</si>
  <si>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</si>
  <si>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</si>
  <si>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</si>
  <si>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</si>
  <si>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</si>
  <si>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</si>
  <si>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</si>
  <si>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</si>
  <si>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</si>
  <si>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</si>
  <si>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</si>
  <si>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</si>
  <si>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</si>
  <si>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</si>
  <si>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</si>
  <si>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</si>
  <si>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</si>
  <si>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</si>
  <si>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</si>
  <si>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</si>
  <si>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</si>
  <si>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</si>
  <si>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</si>
  <si>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</si>
  <si>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</si>
  <si>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</si>
  <si>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</si>
  <si>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</si>
  <si>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</si>
  <si>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</si>
  <si>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</si>
  <si>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</si>
  <si>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</si>
  <si>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</si>
  <si>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</si>
  <si>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</si>
  <si>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</si>
  <si>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</si>
  <si>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</si>
  <si>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</si>
  <si>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</si>
  <si>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</si>
  <si>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</si>
  <si>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</si>
  <si>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</si>
  <si>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</si>
  <si>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</si>
  <si>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</si>
  <si>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</si>
  <si>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</si>
  <si>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</si>
  <si>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</si>
  <si>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</si>
  <si>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</si>
  <si>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</si>
  <si>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</si>
  <si>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</si>
  <si>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</si>
  <si>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</si>
  <si>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</si>
  <si>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</si>
  <si>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</si>
  <si>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</si>
  <si>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</si>
  <si>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</si>
  <si>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</si>
  <si>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</si>
  <si>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</si>
  <si>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</si>
  <si>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</si>
  <si>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</si>
  <si>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</si>
  <si>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</si>
  <si>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</si>
  <si>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</si>
  <si>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</si>
  <si>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</si>
  <si>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</si>
  <si>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</si>
  <si>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</si>
  <si>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</si>
  <si>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</si>
  <si>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</si>
  <si>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</si>
  <si>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</si>
  <si>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</si>
  <si>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</si>
  <si>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</si>
  <si>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</si>
  <si>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</si>
  <si>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</si>
  <si>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</si>
  <si>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</si>
  <si>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</si>
  <si>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</si>
  <si>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</si>
  <si>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</si>
  <si>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</si>
  <si>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</si>
  <si>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</si>
  <si>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</si>
  <si>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</si>
  <si>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</si>
  <si>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</si>
  <si>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</si>
  <si>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</si>
  <si>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</si>
  <si>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</si>
  <si>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</si>
  <si>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</si>
  <si>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</si>
  <si>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</si>
  <si>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</si>
  <si>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</si>
  <si>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</si>
  <si>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</si>
  <si>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</si>
  <si>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</si>
  <si>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</si>
  <si>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</si>
  <si>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</si>
  <si>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</si>
  <si>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</si>
  <si>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</si>
  <si>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</si>
  <si>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</si>
  <si>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</si>
  <si>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</si>
  <si>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</si>
  <si>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</si>
  <si>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</si>
  <si>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</si>
  <si>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</si>
  <si>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</si>
  <si>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</si>
  <si>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</si>
  <si>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</si>
  <si>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</si>
  <si>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</si>
  <si>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</si>
  <si>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</si>
  <si>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</si>
  <si>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</si>
  <si>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</si>
  <si>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</si>
  <si>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</si>
  <si>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</si>
  <si>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</si>
  <si>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</si>
  <si>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</si>
  <si>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</si>
  <si>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</si>
  <si>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</si>
  <si>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</si>
  <si>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</si>
  <si>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</si>
  <si>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</si>
  <si>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</si>
  <si>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</si>
  <si>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</si>
  <si>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</si>
  <si>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</si>
  <si>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</si>
  <si>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</si>
  <si>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</si>
  <si>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</si>
  <si>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</si>
  <si>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</si>
  <si>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</si>
  <si>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</si>
  <si>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</si>
  <si>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</si>
  <si>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</si>
  <si>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</si>
  <si>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</si>
  <si>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</si>
  <si>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</si>
  <si>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</si>
  <si>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</si>
  <si>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</si>
  <si>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</si>
  <si>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</si>
  <si>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</si>
  <si>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</si>
  <si>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</si>
  <si>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</si>
  <si>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</si>
  <si>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</si>
  <si>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</si>
  <si>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</si>
  <si>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</si>
  <si>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</si>
  <si>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</si>
  <si>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</si>
  <si>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</si>
  <si>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</si>
  <si>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</si>
  <si>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</si>
  <si>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</si>
  <si>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</si>
  <si>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</si>
  <si>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</si>
  <si>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</si>
  <si>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</si>
  <si>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</si>
  <si>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</si>
  <si>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</si>
  <si>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</si>
  <si>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</si>
  <si>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</si>
  <si>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</si>
  <si>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</si>
  <si>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</si>
  <si>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</si>
  <si>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</si>
  <si>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</si>
  <si>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</si>
  <si>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</si>
  <si>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</si>
  <si>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</si>
  <si>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</si>
  <si>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</si>
  <si>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</si>
  <si>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</si>
  <si>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</si>
  <si>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</si>
  <si>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</si>
  <si>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</si>
  <si>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</si>
  <si>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</si>
  <si>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</si>
  <si>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</si>
  <si>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</si>
  <si>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</si>
  <si>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</si>
  <si>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</si>
  <si>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</si>
  <si>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</si>
  <si>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</si>
  <si>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</si>
  <si>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</si>
  <si>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</si>
  <si>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</si>
  <si>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</si>
  <si>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</si>
  <si>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</si>
  <si>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</si>
  <si>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</si>
  <si>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</si>
  <si>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</si>
  <si>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</si>
  <si>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</si>
  <si>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</si>
  <si>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</si>
  <si>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</si>
  <si>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</si>
  <si>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</si>
  <si>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</si>
  <si>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</si>
  <si>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</si>
  <si>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</si>
  <si>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</si>
  <si>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</si>
  <si>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</si>
  <si>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</si>
  <si>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</si>
  <si>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</si>
  <si>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</si>
  <si>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</si>
  <si>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</si>
  <si>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</si>
  <si>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</si>
  <si>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</si>
  <si>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</si>
  <si>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</si>
  <si>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</si>
  <si>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</si>
  <si>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</si>
  <si>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</si>
  <si>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</si>
  <si>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</si>
  <si>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</si>
  <si>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</si>
  <si>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</si>
  <si>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</si>
  <si>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</si>
  <si>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</si>
  <si>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</si>
  <si>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</si>
  <si>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</si>
  <si>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</si>
  <si>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</si>
  <si>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</si>
  <si>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</si>
  <si>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</si>
  <si>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</si>
  <si>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</si>
  <si>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</si>
  <si>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</si>
  <si>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</si>
  <si>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</si>
  <si>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</si>
  <si>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</si>
  <si>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</si>
  <si>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</si>
  <si>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</si>
  <si>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</si>
  <si>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</si>
  <si>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</si>
  <si>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</si>
  <si>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</si>
  <si>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</si>
  <si>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</si>
  <si>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</si>
  <si>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</si>
  <si>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</si>
  <si>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</si>
  <si>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</si>
  <si>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</si>
  <si>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</si>
  <si>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</si>
  <si>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</si>
  <si>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</si>
  <si>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</si>
  <si>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</si>
  <si>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</si>
  <si>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</si>
  <si>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</si>
  <si>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</si>
  <si>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</si>
  <si>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</si>
  <si>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</si>
  <si>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</si>
  <si>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</si>
  <si>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</si>
  <si>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</si>
  <si>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</si>
  <si>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</si>
  <si>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</si>
  <si>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</si>
  <si>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</si>
  <si>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</si>
  <si>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</si>
  <si>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</si>
  <si>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</si>
  <si>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</si>
  <si>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</si>
  <si>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</si>
  <si>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</si>
  <si>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</si>
  <si>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</si>
  <si>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</si>
  <si>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</si>
  <si>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</si>
  <si>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</si>
  <si>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</si>
  <si>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</si>
  <si>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</si>
  <si>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</si>
  <si>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</si>
  <si>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</si>
  <si>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</si>
  <si>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</si>
  <si>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</si>
  <si>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</si>
  <si>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</si>
  <si>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</si>
  <si>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</si>
  <si>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</si>
  <si>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</si>
  <si>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</si>
  <si>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</si>
  <si>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</si>
  <si>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</si>
  <si>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</si>
  <si>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</si>
  <si>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</si>
  <si>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</si>
  <si>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</si>
  <si>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</si>
  <si>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</si>
  <si>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</si>
  <si>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</si>
  <si>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</si>
  <si>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</si>
  <si>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</si>
  <si>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</si>
  <si>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</si>
  <si>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</si>
  <si>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</si>
  <si>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</si>
  <si>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</si>
  <si>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</si>
  <si>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</si>
  <si>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</si>
  <si>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</si>
  <si>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</si>
  <si>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</si>
  <si>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</si>
  <si>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</si>
  <si>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</si>
  <si>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</si>
  <si>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</si>
  <si>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</si>
  <si>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</si>
  <si>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</si>
  <si>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</si>
  <si>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</si>
  <si>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</si>
  <si>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</si>
  <si>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</si>
  <si>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</si>
  <si>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</si>
  <si>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</si>
  <si>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</si>
  <si>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</si>
  <si>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</si>
  <si>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</si>
  <si>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</si>
  <si>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</si>
  <si>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</si>
  <si>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</si>
  <si>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</si>
  <si>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</si>
  <si>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</si>
  <si>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</si>
  <si>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</si>
  <si>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</si>
  <si>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</si>
  <si>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</si>
  <si>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</si>
  <si>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</si>
  <si>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</si>
  <si>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</si>
  <si>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</si>
  <si>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</si>
  <si>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</si>
  <si>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</si>
  <si>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</si>
  <si>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</si>
  <si>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</si>
  <si>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</si>
  <si>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</si>
  <si>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</si>
  <si>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</si>
  <si>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</si>
  <si>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</si>
  <si>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</si>
  <si>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</si>
  <si>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</si>
  <si>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</si>
  <si>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</si>
  <si>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</si>
  <si>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</si>
  <si>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</si>
  <si>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</si>
  <si>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</si>
  <si>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</si>
  <si>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</si>
  <si>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</si>
  <si>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</si>
  <si>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</si>
  <si>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</si>
  <si>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</si>
  <si>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</si>
  <si>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</si>
  <si>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</si>
  <si>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</si>
  <si>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</si>
  <si>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</si>
  <si>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</si>
  <si>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</si>
  <si>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</si>
  <si>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</si>
  <si>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</si>
  <si>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</si>
  <si>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</si>
  <si>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</si>
  <si>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</si>
  <si>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</si>
  <si>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</si>
  <si>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</si>
  <si>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</si>
  <si>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</si>
  <si>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</si>
  <si>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</si>
  <si>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</si>
  <si>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</si>
  <si>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</si>
  <si>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</si>
  <si>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</si>
  <si>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</si>
  <si>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</si>
  <si>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</si>
  <si>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</si>
  <si>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</si>
  <si>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</si>
  <si>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</si>
  <si>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</si>
  <si>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</si>
  <si>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</si>
  <si>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</si>
  <si>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</si>
  <si>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</si>
  <si>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</si>
  <si>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</si>
  <si>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</si>
  <si>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</si>
  <si>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</si>
  <si>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</si>
  <si>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</si>
  <si>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</si>
  <si>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</si>
  <si>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</si>
  <si>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</si>
  <si>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</si>
  <si>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</si>
  <si>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</si>
  <si>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</si>
  <si>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</si>
  <si>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</si>
  <si>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</si>
  <si>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</si>
  <si>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</si>
  <si>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</si>
  <si>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</si>
  <si>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</si>
  <si>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</si>
  <si>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</si>
  <si>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</si>
  <si>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</si>
  <si>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</si>
  <si>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</si>
  <si>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</si>
  <si>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</si>
  <si>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</si>
  <si>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</si>
  <si>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</si>
  <si>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</si>
  <si>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</si>
  <si>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</si>
  <si>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</si>
  <si>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</si>
  <si>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</si>
  <si>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</si>
  <si>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</si>
  <si>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</si>
  <si>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</si>
  <si>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</si>
  <si>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</si>
  <si>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</si>
  <si>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</si>
  <si>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</si>
  <si>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</si>
  <si>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</si>
  <si>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</si>
  <si>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</si>
  <si>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</si>
  <si>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</si>
  <si>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</si>
  <si>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</si>
  <si>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</si>
  <si>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</si>
  <si>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</si>
  <si>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</si>
  <si>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</si>
  <si>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</si>
  <si>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</si>
  <si>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</si>
  <si>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</si>
  <si>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</si>
  <si>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</si>
  <si>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</si>
  <si>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</si>
  <si>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</si>
  <si>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</si>
  <si>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</si>
  <si>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</si>
  <si>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</si>
  <si>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</si>
  <si>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</si>
  <si>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</si>
  <si>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</si>
  <si>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</si>
  <si>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</si>
  <si>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</si>
  <si>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</si>
  <si>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</si>
  <si>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</si>
  <si>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</si>
  <si>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</si>
  <si>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</si>
  <si>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</si>
  <si>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</si>
  <si>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</si>
  <si>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</si>
  <si>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</si>
  <si>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</si>
  <si>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</si>
  <si>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</si>
  <si>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</si>
  <si>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</si>
  <si>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</si>
  <si>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</si>
  <si>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</si>
  <si>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</si>
  <si>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</si>
  <si>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</si>
  <si>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</si>
  <si>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</si>
  <si>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</si>
  <si>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</si>
  <si>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</si>
  <si>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</si>
  <si>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</si>
  <si>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</si>
  <si>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</si>
  <si>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</si>
  <si>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</si>
  <si>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</si>
  <si>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</si>
  <si>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</si>
  <si>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</si>
  <si>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</si>
  <si>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</si>
  <si>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</si>
  <si>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</si>
  <si>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</si>
  <si>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</si>
  <si>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</si>
  <si>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</si>
  <si>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</si>
  <si>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</si>
  <si>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</si>
  <si>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</si>
  <si>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</si>
  <si>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</si>
  <si>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</si>
  <si>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</si>
  <si>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</si>
  <si>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</si>
  <si>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</si>
  <si>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</si>
  <si>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</si>
  <si>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</si>
  <si>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</si>
  <si>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</si>
  <si>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</si>
  <si>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</si>
  <si>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</si>
  <si>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</si>
  <si>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</si>
  <si>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</si>
  <si>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</si>
  <si>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</si>
  <si>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</si>
  <si>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</si>
  <si>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</si>
  <si>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</si>
  <si>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</si>
  <si>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</si>
  <si>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</si>
  <si>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</si>
  <si>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</si>
  <si>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</si>
  <si>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</si>
  <si>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</si>
  <si>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</si>
  <si>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</si>
  <si>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</si>
  <si>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</si>
  <si>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</si>
  <si>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</si>
  <si>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</si>
  <si>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</si>
  <si>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</si>
  <si>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</si>
  <si>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</si>
  <si>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</si>
  <si>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</si>
  <si>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</si>
  <si>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</si>
  <si>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</si>
  <si>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</si>
  <si>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</si>
  <si>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</si>
  <si>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</si>
  <si>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</si>
  <si>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</si>
  <si>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</si>
  <si>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</si>
  <si>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</si>
  <si>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</si>
  <si>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</si>
  <si>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</si>
  <si>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</si>
  <si>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</si>
  <si>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</si>
  <si>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</si>
  <si>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</si>
  <si>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</si>
  <si>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</si>
  <si>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</si>
  <si>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</si>
  <si>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</si>
  <si>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</si>
  <si>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</si>
  <si>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</si>
  <si>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</si>
  <si>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</si>
  <si>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</si>
  <si>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</si>
  <si>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</si>
  <si>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</si>
  <si>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</si>
  <si>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</si>
  <si>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</si>
  <si>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</si>
  <si>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</si>
  <si>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</si>
  <si>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</si>
  <si>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</si>
  <si>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</si>
  <si>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</si>
  <si>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</si>
  <si>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</si>
  <si>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</si>
  <si>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</si>
  <si>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</si>
  <si>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</si>
  <si>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</si>
  <si>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</si>
  <si>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</si>
  <si>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</si>
  <si>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</si>
  <si>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</si>
  <si>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</si>
  <si>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</si>
  <si>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</si>
  <si>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</si>
  <si>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</si>
  <si>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</si>
  <si>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</si>
  <si>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</si>
  <si>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</si>
  <si>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</si>
  <si>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</si>
  <si>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</si>
  <si>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</si>
  <si>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</si>
  <si>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</si>
  <si>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</si>
  <si>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</si>
  <si>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</si>
  <si>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</si>
  <si>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</si>
  <si>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</si>
  <si>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</si>
  <si>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</si>
  <si>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</si>
  <si>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</si>
  <si>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</si>
  <si>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</si>
  <si>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</si>
  <si>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</si>
  <si>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</si>
  <si>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</si>
  <si>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</si>
  <si>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</si>
  <si>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</si>
  <si>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</si>
  <si>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</si>
  <si>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</si>
  <si>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</si>
  <si>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</si>
  <si>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</si>
  <si>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</si>
  <si>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</si>
  <si>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</si>
  <si>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</si>
  <si>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</si>
  <si>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</si>
  <si>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</si>
  <si>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</si>
  <si>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</si>
  <si>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</si>
  <si>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</si>
  <si>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</si>
  <si>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</si>
  <si>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</si>
  <si>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</si>
  <si>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</si>
  <si>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</si>
  <si>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</si>
  <si>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</si>
  <si>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</si>
  <si>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</si>
  <si>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</si>
  <si>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</si>
  <si>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</si>
  <si>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</si>
  <si>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</si>
  <si>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</si>
  <si>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</si>
  <si>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</si>
  <si>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</si>
  <si>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</si>
  <si>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</si>
  <si>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</si>
  <si>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</si>
  <si>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</si>
  <si>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</si>
  <si>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</si>
  <si>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</si>
  <si>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</si>
  <si>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</si>
  <si>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</si>
  <si>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</si>
  <si>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</si>
  <si>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</si>
  <si>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</si>
  <si>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</si>
  <si>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</si>
  <si>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</si>
  <si>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</si>
  <si>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</si>
  <si>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</si>
  <si>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</si>
  <si>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</si>
  <si>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</si>
  <si>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</si>
  <si>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</si>
  <si>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</si>
  <si>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</si>
  <si>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</si>
  <si>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</si>
  <si>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</si>
  <si>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</si>
  <si>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</si>
  <si>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</si>
  <si>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</si>
  <si>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</si>
  <si>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</si>
  <si>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</si>
  <si>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</si>
  <si>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</si>
  <si>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</si>
  <si>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</si>
  <si>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</si>
  <si>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</si>
  <si>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</si>
  <si>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</si>
  <si>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</si>
  <si>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</si>
  <si>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</si>
  <si>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</si>
  <si>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</si>
  <si>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</si>
  <si>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</si>
  <si>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</si>
  <si>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</si>
  <si>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</si>
  <si>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</si>
  <si>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</si>
  <si>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</si>
  <si>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</si>
  <si>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</si>
  <si>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</si>
  <si>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</si>
  <si>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</si>
  <si>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</si>
  <si>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</si>
  <si>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</si>
  <si>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</si>
  <si>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</si>
  <si>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</si>
  <si>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</si>
  <si>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</si>
  <si>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</si>
  <si>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</si>
  <si>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</si>
  <si>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</si>
  <si>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</si>
  <si>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</si>
  <si>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</si>
  <si>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</si>
  <si>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</si>
  <si>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</si>
  <si>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</si>
  <si>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</si>
  <si>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</si>
  <si>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</si>
  <si>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</si>
  <si>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</si>
  <si>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</si>
  <si>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</si>
  <si>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</si>
  <si>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</si>
  <si>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</si>
  <si>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</si>
  <si>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</si>
  <si>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</si>
  <si>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</si>
  <si>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</si>
  <si>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</si>
  <si>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</si>
  <si>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</si>
  <si>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</si>
  <si>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</si>
  <si>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</si>
  <si>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</si>
  <si>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</si>
  <si>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</si>
  <si>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</si>
  <si>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</si>
  <si>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</si>
  <si>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</si>
  <si>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</si>
  <si>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</si>
  <si>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</si>
  <si>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</si>
  <si>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</si>
  <si>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</si>
  <si>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</si>
  <si>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</si>
  <si>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</si>
  <si>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</si>
  <si>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</si>
  <si>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</si>
  <si>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</si>
  <si>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</si>
  <si>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</si>
  <si>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</si>
  <si>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</si>
  <si>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</si>
  <si>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</si>
  <si>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</si>
  <si>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</si>
  <si>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</si>
  <si>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</si>
  <si>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</si>
  <si>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</si>
  <si>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</si>
  <si>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</si>
  <si>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</si>
  <si>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</si>
  <si>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</si>
  <si>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</si>
  <si>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</si>
  <si>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</si>
  <si>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</si>
  <si>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</si>
  <si>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</si>
  <si>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</si>
  <si>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</si>
  <si>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</si>
  <si>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</si>
  <si>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</si>
  <si>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</si>
  <si>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</si>
  <si>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</si>
  <si>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</si>
  <si>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</si>
  <si>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</si>
  <si>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</si>
  <si>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</si>
  <si>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</si>
  <si>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</si>
  <si>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</si>
  <si>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</si>
  <si>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</si>
  <si>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</si>
  <si>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</si>
  <si>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</si>
  <si>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</si>
  <si>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</si>
  <si>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</si>
  <si>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</si>
  <si>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</si>
  <si>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</si>
  <si>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</si>
  <si>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</si>
  <si>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</si>
  <si>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</si>
  <si>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</si>
  <si>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</si>
  <si>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</si>
  <si>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</si>
  <si>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</si>
  <si>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</si>
  <si>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</si>
  <si>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</si>
  <si>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</si>
  <si>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</si>
  <si>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</si>
  <si>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</si>
  <si>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</si>
  <si>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</si>
  <si>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</si>
  <si>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</si>
  <si>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</si>
  <si>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</si>
  <si>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</si>
  <si>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</si>
  <si>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</si>
  <si>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</si>
  <si>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</si>
  <si>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</si>
  <si>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</si>
  <si>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</si>
  <si>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</si>
  <si>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</si>
  <si>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</si>
  <si>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</si>
  <si>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</si>
  <si>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</si>
  <si>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</si>
  <si>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</si>
  <si>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</si>
  <si>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</si>
  <si>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</si>
  <si>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</si>
  <si>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</si>
  <si>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</si>
  <si>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</si>
  <si>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</si>
  <si>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</si>
  <si>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</si>
  <si>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</si>
  <si>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</si>
  <si>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</si>
  <si>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</si>
  <si>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</si>
  <si>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</si>
  <si>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</si>
  <si>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</si>
  <si>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</si>
  <si>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</si>
  <si>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</si>
  <si>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</si>
  <si>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</si>
  <si>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</si>
  <si>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</si>
  <si>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</si>
  <si>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</si>
  <si>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</si>
  <si>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</si>
  <si>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</si>
  <si>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</si>
  <si>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</si>
  <si>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</si>
  <si>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</si>
  <si>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</si>
  <si>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</si>
  <si>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</si>
  <si>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</si>
  <si>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</si>
  <si>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</si>
  <si>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</si>
  <si>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</si>
  <si>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</si>
  <si>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</si>
  <si>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</si>
  <si>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</si>
  <si>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</si>
  <si>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</si>
  <si>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</si>
  <si>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</si>
  <si>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</si>
  <si>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</si>
  <si>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</si>
  <si>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</si>
  <si>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</si>
  <si>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</si>
  <si>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</si>
  <si>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</si>
  <si>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</si>
  <si>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</si>
  <si>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</si>
  <si>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</si>
  <si>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</si>
  <si>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</si>
  <si>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</si>
  <si>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</si>
  <si>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</si>
  <si>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</si>
  <si>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</si>
  <si>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</si>
  <si>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</si>
  <si>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</si>
  <si>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</si>
  <si>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</si>
  <si>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</si>
  <si>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</si>
  <si>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</si>
  <si>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</si>
  <si>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</si>
  <si>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</si>
  <si>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</si>
  <si>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</si>
  <si>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</si>
  <si>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</si>
  <si>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</si>
  <si>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</si>
  <si>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</si>
  <si>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</si>
  <si>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</si>
  <si>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</si>
  <si>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</si>
  <si>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</si>
  <si>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</si>
  <si>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</si>
  <si>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</si>
  <si>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</si>
  <si>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</si>
  <si>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</si>
  <si>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</si>
  <si>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</si>
  <si>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</si>
  <si>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</si>
  <si>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</si>
  <si>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</si>
  <si>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</si>
  <si>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</si>
  <si>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</si>
  <si>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</si>
  <si>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</si>
  <si>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</si>
  <si>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</si>
  <si>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</si>
  <si>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</si>
  <si>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</si>
  <si>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</si>
  <si>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</si>
  <si>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</si>
  <si>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</si>
  <si>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</si>
  <si>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</si>
  <si>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</si>
  <si>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</si>
  <si>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</si>
  <si>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</si>
  <si>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</si>
  <si>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</si>
  <si>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</si>
  <si>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</si>
  <si>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</si>
  <si>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</si>
  <si>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</si>
  <si>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</si>
  <si>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</si>
  <si>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</si>
  <si>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</si>
  <si>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</si>
  <si>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</si>
  <si>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</si>
  <si>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</si>
  <si>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</si>
  <si>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</si>
  <si>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</si>
  <si>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</si>
  <si>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</si>
  <si>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</si>
  <si>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</si>
  <si>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</si>
  <si>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</si>
  <si>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</si>
  <si>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</si>
  <si>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</si>
  <si>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</si>
  <si>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</si>
  <si>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</si>
  <si>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</si>
  <si>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</si>
  <si>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</si>
  <si>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</si>
  <si>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</si>
  <si>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</si>
  <si>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</si>
  <si>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</si>
  <si>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</si>
  <si>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</si>
  <si>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</si>
  <si>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</si>
  <si>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</si>
  <si>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</si>
  <si>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</si>
  <si>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</si>
  <si>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</si>
  <si>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</si>
  <si>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</si>
  <si>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</si>
  <si>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</si>
  <si>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</si>
  <si>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</si>
  <si>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</si>
  <si>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</si>
  <si>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</si>
  <si>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</si>
  <si>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</si>
  <si>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</si>
  <si>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</si>
  <si>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</si>
  <si>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</si>
  <si>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</si>
  <si>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</si>
  <si>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</si>
  <si>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</si>
  <si>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</si>
  <si>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</si>
  <si>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</si>
  <si>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</si>
  <si>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</si>
  <si>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</si>
  <si>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</si>
  <si>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</si>
  <si>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</si>
  <si>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</si>
  <si>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</si>
  <si>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</si>
  <si>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</si>
  <si>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</si>
  <si>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</si>
  <si>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</si>
  <si>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</si>
  <si>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</si>
  <si>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</si>
  <si>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</si>
  <si>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</si>
  <si>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</si>
  <si>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</si>
  <si>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</si>
  <si>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</si>
  <si>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</si>
  <si>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</si>
  <si>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</si>
  <si>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</si>
  <si>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</si>
  <si>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</si>
  <si>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</si>
  <si>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</si>
  <si>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</si>
  <si>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</si>
  <si>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</si>
  <si>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</si>
  <si>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</si>
  <si>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</si>
  <si>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</si>
  <si>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</si>
  <si>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</si>
  <si>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</si>
  <si>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</si>
  <si>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</si>
  <si>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</si>
  <si>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</si>
  <si>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</si>
  <si>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</si>
  <si>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</si>
  <si>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</si>
  <si>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</si>
  <si>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</si>
  <si>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</si>
  <si>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</si>
  <si>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</si>
  <si>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</si>
  <si>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</si>
  <si>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</si>
  <si>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</si>
  <si>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</si>
  <si>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</si>
  <si>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</si>
  <si>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</si>
  <si>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</si>
  <si>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</si>
  <si>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</si>
  <si>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</si>
  <si>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</si>
  <si>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</si>
  <si>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</si>
  <si>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</si>
  <si>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</si>
  <si>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</si>
  <si>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</si>
  <si>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</si>
  <si>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</si>
  <si>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</si>
  <si>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</si>
  <si>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</si>
  <si>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</si>
  <si>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</si>
  <si>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</si>
  <si>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</si>
  <si>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</si>
  <si>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</si>
  <si>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</si>
  <si>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</si>
  <si>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</si>
  <si>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</si>
  <si>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</si>
  <si>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</si>
  <si>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</si>
  <si>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</si>
  <si>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</si>
  <si>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</si>
  <si>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</si>
  <si>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</si>
  <si>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</si>
  <si>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</si>
  <si>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</si>
  <si>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</si>
  <si>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</si>
  <si>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</si>
  <si>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</si>
  <si>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</si>
  <si>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</si>
  <si>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</si>
  <si>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</si>
  <si>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</si>
  <si>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</si>
  <si>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</si>
  <si>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</si>
  <si>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</si>
  <si>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</si>
  <si>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</si>
  <si>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</si>
  <si>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</si>
  <si>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</si>
  <si>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</si>
  <si>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</si>
  <si>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</si>
  <si>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</si>
  <si>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</si>
  <si>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</si>
  <si>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</si>
  <si>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</si>
  <si>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</si>
  <si>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</si>
  <si>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</si>
  <si>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</si>
  <si>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</si>
  <si>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</si>
  <si>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</si>
  <si>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</si>
  <si>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</si>
  <si>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</si>
  <si>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</si>
  <si>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</si>
  <si>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</si>
  <si>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</si>
  <si>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</si>
  <si>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</si>
  <si>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</si>
  <si>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</si>
  <si>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</si>
  <si>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</si>
  <si>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</si>
  <si>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</si>
  <si>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</si>
  <si>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</si>
  <si>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</si>
  <si>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</si>
  <si>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</si>
  <si>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</si>
  <si>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</si>
  <si>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</si>
  <si>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</si>
  <si>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</si>
  <si>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</si>
  <si>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</si>
  <si>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</si>
  <si>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</si>
  <si>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</si>
  <si>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</si>
  <si>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</si>
  <si>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</si>
  <si>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</si>
  <si>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</si>
  <si>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</si>
  <si>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</si>
  <si>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</si>
  <si>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</si>
  <si>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</si>
  <si>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</si>
  <si>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</si>
  <si>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</si>
  <si>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</si>
  <si>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</si>
  <si>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</si>
  <si>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</si>
  <si>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</si>
  <si>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</si>
  <si>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</si>
  <si>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</si>
  <si>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</si>
  <si>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</si>
  <si>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</si>
  <si>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</si>
  <si>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</si>
  <si>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</si>
  <si>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</si>
  <si>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</si>
  <si>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</si>
  <si>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</si>
  <si>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核定资产</t>
  </si>
  <si>
    <t>房地产市场价值</t>
  </si>
  <si>
    <t>北京市</t>
  </si>
  <si>
    <t>https://paimai.jd.com/293884109</t>
    <phoneticPr fontId="134" type="noConversion"/>
  </si>
  <si>
    <t>企业</t>
  </si>
  <si>
    <t>地上</t>
  </si>
  <si>
    <t>是</t>
  </si>
  <si>
    <t>住宅</t>
  </si>
  <si>
    <t>住宅</t>
    <phoneticPr fontId="7" type="noConversion"/>
  </si>
  <si>
    <t>利息：取LPR加浮动点数</t>
  </si>
  <si>
    <t>成新度</t>
  </si>
  <si>
    <t>城镇住宅用地</t>
  </si>
  <si>
    <t>自定义容积率</t>
  </si>
  <si>
    <t>时间</t>
  </si>
  <si>
    <t>成交套数(套)</t>
  </si>
  <si>
    <t>成交面积(㎡)</t>
  </si>
  <si>
    <t>成交价格(元/㎡)</t>
  </si>
  <si>
    <t>成交金额(万元)</t>
  </si>
  <si>
    <t>可售套数(套)</t>
  </si>
  <si>
    <t>可售面积(㎡)</t>
  </si>
  <si>
    <t>全量汇总</t>
  </si>
  <si>
    <t>当页汇总</t>
  </si>
  <si>
    <t>2024-09</t>
  </si>
  <si>
    <t>2024-08</t>
  </si>
  <si>
    <t>2024-07</t>
  </si>
  <si>
    <t>2024-06</t>
  </si>
  <si>
    <t>2024-05</t>
  </si>
  <si>
    <t>2024-04</t>
  </si>
  <si>
    <t>2024-03</t>
  </si>
  <si>
    <t>2024-02</t>
  </si>
  <si>
    <t>2024-01</t>
  </si>
  <si>
    <t>2023-12</t>
  </si>
  <si>
    <t>2023-11</t>
  </si>
  <si>
    <t>2023-10</t>
  </si>
  <si>
    <t>2023-09</t>
  </si>
  <si>
    <t>2023-08</t>
  </si>
  <si>
    <t>2023-07</t>
  </si>
  <si>
    <t>2023-06</t>
  </si>
  <si>
    <t>2023-05</t>
  </si>
  <si>
    <t>2023-04</t>
  </si>
  <si>
    <t>2023-03</t>
  </si>
  <si>
    <t>2023-02</t>
  </si>
  <si>
    <t>2023-01</t>
  </si>
  <si>
    <t>2022-12</t>
  </si>
  <si>
    <t>2022-11</t>
  </si>
  <si>
    <t>2022-10</t>
  </si>
  <si>
    <t>2022-09</t>
  </si>
  <si>
    <t>2022-08</t>
  </si>
  <si>
    <t>2022-07</t>
  </si>
  <si>
    <t>2022-03</t>
  </si>
  <si>
    <t>2022-01</t>
  </si>
  <si>
    <t>2021-12</t>
  </si>
  <si>
    <t>2021-11</t>
  </si>
  <si>
    <t>2021-09</t>
  </si>
  <si>
    <t>2021-08</t>
  </si>
  <si>
    <t>2021-07</t>
  </si>
  <si>
    <t>2021-06</t>
  </si>
  <si>
    <t>2021-05</t>
  </si>
  <si>
    <t>2021-04</t>
  </si>
  <si>
    <t>2021-03</t>
  </si>
  <si>
    <t>2021-02</t>
  </si>
  <si>
    <t>2021-01</t>
  </si>
  <si>
    <t>2020-12</t>
  </si>
  <si>
    <t>2020-11</t>
  </si>
  <si>
    <t>2020-10</t>
  </si>
  <si>
    <t>2020-09</t>
  </si>
  <si>
    <t>2020-08</t>
  </si>
  <si>
    <t>2020-07</t>
  </si>
  <si>
    <t>2020-06</t>
  </si>
  <si>
    <t>2020-05</t>
  </si>
  <si>
    <t>2020-04</t>
  </si>
  <si>
    <t>2020-03</t>
  </si>
  <si>
    <t>2020-02</t>
  </si>
  <si>
    <t>2020-01</t>
  </si>
  <si>
    <t>2019-12</t>
  </si>
  <si>
    <t>2019-11</t>
  </si>
  <si>
    <t>2019-10</t>
  </si>
  <si>
    <t>2019-09</t>
  </si>
  <si>
    <t>2019-08</t>
  </si>
  <si>
    <t>2019-07</t>
  </si>
  <si>
    <t>2019-06</t>
  </si>
  <si>
    <t>2019-05</t>
  </si>
  <si>
    <t>2019-04</t>
  </si>
  <si>
    <t>2019-03</t>
  </si>
  <si>
    <t>2019-02</t>
  </si>
  <si>
    <t>2019-01</t>
  </si>
  <si>
    <t>2018-12</t>
  </si>
  <si>
    <t>2018-11</t>
  </si>
  <si>
    <t>2018-10</t>
  </si>
  <si>
    <t>梵悦万国府</t>
  </si>
  <si>
    <t>正常</t>
  </si>
  <si>
    <t>住宅</t>
    <phoneticPr fontId="24" type="noConversion"/>
  </si>
  <si>
    <t>不临65条商业街</t>
  </si>
  <si>
    <t>有</t>
  </si>
  <si>
    <t>与级别开发程度一致</t>
  </si>
  <si>
    <t>估价对象周边有梵悦108、使馆壹号院、海晟名苑、万国城MOMA等住宅小区，综合评价居住社区成熟度较好</t>
    <phoneticPr fontId="40" type="noConversion"/>
  </si>
  <si>
    <t>七通</t>
    <phoneticPr fontId="24" type="noConversion"/>
  </si>
  <si>
    <t>好</t>
  </si>
  <si>
    <t>较好</t>
  </si>
  <si>
    <t>一般</t>
  </si>
  <si>
    <t>收益法 (元)</t>
  </si>
  <si>
    <t>押一</t>
  </si>
  <si>
    <t>钢混</t>
  </si>
  <si>
    <t>非生产用房</t>
  </si>
  <si>
    <t>小区</t>
  </si>
  <si>
    <t>平米租金(元/㎡·月)</t>
  </si>
  <si>
    <t>评估价(元/㎡)</t>
  </si>
  <si>
    <t>单套模式</t>
  </si>
  <si>
    <t>售价</t>
  </si>
  <si>
    <t>南北</t>
    <phoneticPr fontId="24" type="noConversion"/>
  </si>
  <si>
    <t>东南</t>
  </si>
  <si>
    <t>东南</t>
    <phoneticPr fontId="24" type="noConversion"/>
  </si>
  <si>
    <t>西南</t>
    <phoneticPr fontId="24" type="noConversion"/>
  </si>
  <si>
    <t>塔楼</t>
  </si>
  <si>
    <t>塔楼</t>
    <phoneticPr fontId="24" type="noConversion"/>
  </si>
  <si>
    <t>钢混</t>
    <phoneticPr fontId="24" type="noConversion"/>
  </si>
  <si>
    <t>普通装修</t>
  </si>
  <si>
    <t>普通装修</t>
    <phoneticPr fontId="24" type="noConversion"/>
  </si>
  <si>
    <t>物业公司管理</t>
    <phoneticPr fontId="24" type="noConversion"/>
  </si>
  <si>
    <t>七通</t>
    <phoneticPr fontId="24" type="noConversion"/>
  </si>
  <si>
    <t>平层</t>
    <phoneticPr fontId="24" type="noConversion"/>
  </si>
  <si>
    <t>普通装修</t>
    <phoneticPr fontId="24" type="noConversion"/>
  </si>
  <si>
    <t>景观</t>
    <phoneticPr fontId="24" type="noConversion"/>
  </si>
  <si>
    <t>是</t>
    <phoneticPr fontId="24" type="noConversion"/>
  </si>
  <si>
    <t>否</t>
    <phoneticPr fontId="24" type="noConversion"/>
  </si>
  <si>
    <t>万国城moma</t>
    <phoneticPr fontId="3" type="noConversion"/>
  </si>
  <si>
    <t>东</t>
  </si>
  <si>
    <t>东</t>
    <phoneticPr fontId="24" type="noConversion"/>
  </si>
  <si>
    <t>西</t>
    <phoneticPr fontId="24" type="noConversion"/>
  </si>
  <si>
    <t>东北</t>
    <phoneticPr fontId="24" type="noConversion"/>
  </si>
  <si>
    <t>西北</t>
    <phoneticPr fontId="24" type="noConversion"/>
  </si>
  <si>
    <t>楼层</t>
    <phoneticPr fontId="24" type="noConversion"/>
  </si>
  <si>
    <t>31/35</t>
    <phoneticPr fontId="24" type="noConversion"/>
  </si>
  <si>
    <r>
      <rPr>
        <sz val="11"/>
        <color indexed="8"/>
        <rFont val="宋体"/>
        <family val="3"/>
        <charset val="134"/>
      </rPr>
      <t>高</t>
    </r>
    <r>
      <rPr>
        <sz val="11"/>
        <color indexed="8"/>
        <rFont val="Arial"/>
        <family val="2"/>
      </rPr>
      <t>/26</t>
    </r>
    <phoneticPr fontId="24" type="noConversion"/>
  </si>
  <si>
    <t>24/35</t>
    <phoneticPr fontId="24" type="noConversion"/>
  </si>
  <si>
    <t>西北</t>
  </si>
  <si>
    <t>否</t>
    <phoneticPr fontId="24" type="noConversion"/>
  </si>
  <si>
    <t>梵悦万国府</t>
    <phoneticPr fontId="24" type="noConversion"/>
  </si>
  <si>
    <t>建成年代</t>
    <phoneticPr fontId="24" type="noConversion"/>
  </si>
  <si>
    <t>万国城moma</t>
    <phoneticPr fontId="3" type="noConversion"/>
  </si>
  <si>
    <r>
      <rPr>
        <sz val="11"/>
        <color indexed="8"/>
        <rFont val="宋体"/>
        <family val="3"/>
        <charset val="134"/>
      </rPr>
      <t>中</t>
    </r>
    <r>
      <rPr>
        <sz val="11"/>
        <color indexed="8"/>
        <rFont val="Arial"/>
        <family val="2"/>
      </rPr>
      <t>/26</t>
    </r>
    <phoneticPr fontId="24" type="noConversion"/>
  </si>
  <si>
    <t>否</t>
    <phoneticPr fontId="24" type="noConversion"/>
  </si>
  <si>
    <t>https://bj.lianjia.com/chengjiao/101123131279.html</t>
    <phoneticPr fontId="134" type="noConversion"/>
  </si>
  <si>
    <t>https://bj.lianjia.com/chengjiao/101122180171.html</t>
    <phoneticPr fontId="134" type="noConversion"/>
  </si>
  <si>
    <t>成本法 (元)</t>
  </si>
  <si>
    <t>http://bjjs.zjw.beijing.gov.cn/eportal/ui?pageId=320794&amp;projectID=23777629&amp;systemID=3&amp;srcId=1</t>
    <phoneticPr fontId="134" type="noConversion"/>
  </si>
  <si>
    <t>车位</t>
    <phoneticPr fontId="134" type="noConversion"/>
  </si>
  <si>
    <t>公寓</t>
    <phoneticPr fontId="134" type="noConversion"/>
  </si>
  <si>
    <t>http://bjjs.zjw.beijing.gov.cn/eportal/ui?pageId=320794&amp;projectID=23602840&amp;systemID=3&amp;srcId=1</t>
    <phoneticPr fontId="134" type="noConversion"/>
  </si>
  <si>
    <t>http://bjjs.zjw.beijing.gov.cn/eportal/ui?pageId=320794&amp;projectID=21067604&amp;systemID=3&amp;srcId=1</t>
    <phoneticPr fontId="134" type="noConversion"/>
  </si>
  <si>
    <t>梵悦万国府</t>
    <phoneticPr fontId="3" type="noConversion"/>
  </si>
  <si>
    <t>西南</t>
  </si>
  <si>
    <t>是</t>
    <phoneticPr fontId="24" type="noConversion"/>
  </si>
  <si>
    <t>是</t>
    <phoneticPr fontId="24" type="noConversion"/>
  </si>
  <si>
    <t>比较法-住宅（新）</t>
  </si>
  <si>
    <t>比较法-住宅（新）</t>
    <phoneticPr fontId="16" type="noConversion"/>
  </si>
  <si>
    <t>比较法-住宅（二手）</t>
    <phoneticPr fontId="16" type="noConversion"/>
  </si>
  <si>
    <t>毛坯</t>
  </si>
  <si>
    <t>毛坯</t>
    <phoneticPr fontId="134" type="noConversion"/>
  </si>
  <si>
    <t>毛坯</t>
    <phoneticPr fontId="134" type="noConversion"/>
  </si>
  <si>
    <t>朝向</t>
    <phoneticPr fontId="3" type="noConversion"/>
  </si>
  <si>
    <t>东南</t>
    <phoneticPr fontId="24" type="noConversion"/>
  </si>
  <si>
    <t>西南</t>
    <phoneticPr fontId="24" type="noConversion"/>
  </si>
  <si>
    <t>装修</t>
    <phoneticPr fontId="24" type="noConversion"/>
  </si>
  <si>
    <t>成新度</t>
    <phoneticPr fontId="24" type="noConversion"/>
  </si>
  <si>
    <t>城市次干道——胡家园路</t>
    <phoneticPr fontId="24" type="noConversion"/>
  </si>
  <si>
    <t>区域自然环境：亮马河、东城区亮马河公园；人文环境：工人体育场、东直门外清真寺；综合评价环境状况较好</t>
    <phoneticPr fontId="40" type="noConversion"/>
  </si>
  <si>
    <t>500-1000米</t>
  </si>
  <si>
    <t>估价对象周边有24路、117路、123路、132路、135路、413路、515路等多条公交线路，地铁2号线及13号线换乘站（东直门站），东直门长途汽车站等，综合评价交通便捷度较好</t>
    <phoneticPr fontId="40" type="noConversion"/>
  </si>
  <si>
    <t>未包含在土地购买价格中</t>
  </si>
  <si>
    <t>已包含在土地取得成本中</t>
  </si>
  <si>
    <r>
      <t>31/32</t>
    </r>
    <r>
      <rPr>
        <sz val="11"/>
        <color indexed="8"/>
        <rFont val="宋体"/>
        <family val="3"/>
        <charset val="134"/>
      </rPr>
      <t>（</t>
    </r>
    <r>
      <rPr>
        <sz val="11"/>
        <color indexed="8"/>
        <rFont val="Arial"/>
        <family val="2"/>
      </rPr>
      <t>-3</t>
    </r>
    <r>
      <rPr>
        <sz val="11"/>
        <color indexed="8"/>
        <rFont val="宋体"/>
        <family val="3"/>
        <charset val="134"/>
      </rPr>
      <t>）</t>
    </r>
    <phoneticPr fontId="24" type="noConversion"/>
  </si>
  <si>
    <t>25/32（-3）</t>
    <phoneticPr fontId="24" type="noConversion"/>
  </si>
  <si>
    <r>
      <t>27/32</t>
    </r>
    <r>
      <rPr>
        <sz val="11"/>
        <color indexed="8"/>
        <rFont val="宋体"/>
        <family val="3"/>
        <charset val="134"/>
      </rPr>
      <t>（</t>
    </r>
    <r>
      <rPr>
        <sz val="11"/>
        <color indexed="8"/>
        <rFont val="Arial"/>
        <family val="2"/>
      </rPr>
      <t>-3</t>
    </r>
    <r>
      <rPr>
        <sz val="11"/>
        <color indexed="8"/>
        <rFont val="宋体"/>
        <family val="3"/>
        <charset val="134"/>
      </rPr>
      <t>）</t>
    </r>
    <phoneticPr fontId="24" type="noConversion"/>
  </si>
  <si>
    <t>28/32（-3）</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</si>
</sst>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u/>
      <sz val="11"/>
      <color theme="10"/>
      <name val="宋体"/>
      <family val="3"/>
      <charset val="134"/>
      <scheme val="minor"/>
    </font>
    <font>
      <sz val="12"/>
      <color theme="1"/>
      <name val="宋体"/>
      <family val="2"/>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pplyNumberFormat="0" applyFill="0" applyBorder="0" applyAlignment="0" applyProtection="0">
      <alignment vertical="center"/>
    </xf>
    <xf numFmtId="0" fontId="271" fillId="0" borderId="0"/>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270" fillId="0" borderId="0" xfId="19">
      <alignment vertical="center"/>
    </xf>
    <xf numFmtId="0" fontId="271" fillId="0" borderId="0" xfId="20" applyNumberFormat="1"/>
    <xf numFmtId="0" fontId="128" fillId="0" borderId="51"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49" xfId="0" applyFont="1" applyBorder="1" applyAlignment="1" applyProtection="1">
      <alignment vertical="center"/>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0" fontId="128" fillId="0" borderId="83" xfId="0" applyNumberFormat="1" applyFont="1" applyFill="1" applyBorder="1" applyAlignment="1" applyProtection="1">
      <alignment horizontal="center" vertical="center"/>
      <protection locked="0"/>
    </xf>
    <xf numFmtId="189" fontId="44" fillId="6" borderId="9" xfId="0" applyNumberFormat="1" applyFont="1" applyFill="1" applyBorder="1" applyAlignment="1" applyProtection="1">
      <alignment horizontal="center" vertical="center" wrapText="1"/>
      <protection locked="0"/>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95" fillId="0" borderId="0" xfId="0" applyFont="1">
      <alignment vertical="center"/>
    </xf>
    <xf numFmtId="49" fontId="51" fillId="22" borderId="23" xfId="0" applyNumberFormat="1" applyFont="1" applyFill="1" applyBorder="1" applyAlignment="1" applyProtection="1">
      <alignment horizontal="center" vertical="center" wrapText="1"/>
      <protection locked="0"/>
    </xf>
    <xf numFmtId="49" fontId="128" fillId="0" borderId="41" xfId="0" applyNumberFormat="1" applyFont="1" applyFill="1" applyBorder="1" applyAlignment="1" applyProtection="1">
      <alignment horizontal="center" vertical="center" wrapText="1"/>
      <protection locked="0"/>
    </xf>
    <xf numFmtId="49" fontId="128" fillId="0" borderId="7" xfId="0" applyNumberFormat="1"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4" fontId="271" fillId="0" borderId="0" xfId="20" applyNumberFormat="1"/>
    <xf numFmtId="0" fontId="271" fillId="0" borderId="0" xfId="20" applyNumberFormat="1"/>
  </cellXfs>
  <cellStyles count="21">
    <cellStyle name="百分比" xfId="17" builtinId="5"/>
    <cellStyle name="百分比 2" xfId="14"/>
    <cellStyle name="常规" xfId="0" builtinId="0"/>
    <cellStyle name="常规 10" xfId="2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5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1.jpg"/><Relationship Id="rId13" Type="http://schemas.openxmlformats.org/officeDocument/2006/relationships/image" Target="../media/image26.jpg"/><Relationship Id="rId18" Type="http://schemas.openxmlformats.org/officeDocument/2006/relationships/image" Target="../media/image31.png"/><Relationship Id="rId3" Type="http://schemas.openxmlformats.org/officeDocument/2006/relationships/image" Target="../media/image16.png"/><Relationship Id="rId21" Type="http://schemas.openxmlformats.org/officeDocument/2006/relationships/image" Target="../media/image34.png"/><Relationship Id="rId7" Type="http://schemas.openxmlformats.org/officeDocument/2006/relationships/image" Target="../media/image20.png"/><Relationship Id="rId12" Type="http://schemas.openxmlformats.org/officeDocument/2006/relationships/image" Target="../media/image25.jpg"/><Relationship Id="rId17" Type="http://schemas.openxmlformats.org/officeDocument/2006/relationships/image" Target="../media/image30.png"/><Relationship Id="rId2" Type="http://schemas.openxmlformats.org/officeDocument/2006/relationships/image" Target="../media/image15.png"/><Relationship Id="rId16" Type="http://schemas.openxmlformats.org/officeDocument/2006/relationships/image" Target="../media/image29.png"/><Relationship Id="rId20" Type="http://schemas.openxmlformats.org/officeDocument/2006/relationships/image" Target="../media/image33.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jpg"/><Relationship Id="rId5" Type="http://schemas.openxmlformats.org/officeDocument/2006/relationships/image" Target="../media/image18.png"/><Relationship Id="rId15" Type="http://schemas.openxmlformats.org/officeDocument/2006/relationships/image" Target="../media/image28.png"/><Relationship Id="rId10" Type="http://schemas.openxmlformats.org/officeDocument/2006/relationships/image" Target="../media/image23.jpg"/><Relationship Id="rId19" Type="http://schemas.openxmlformats.org/officeDocument/2006/relationships/image" Target="../media/image32.png"/><Relationship Id="rId4" Type="http://schemas.openxmlformats.org/officeDocument/2006/relationships/image" Target="../media/image17.png"/><Relationship Id="rId9" Type="http://schemas.openxmlformats.org/officeDocument/2006/relationships/image" Target="../media/image22.jpg"/><Relationship Id="rId14" Type="http://schemas.openxmlformats.org/officeDocument/2006/relationships/image" Target="../media/image27.jpg"/><Relationship Id="rId22" Type="http://schemas.openxmlformats.org/officeDocument/2006/relationships/image" Target="../media/image35.png"/></Relationships>
</file>

<file path=xl/drawings/_rels/drawing3.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9</xdr:col>
      <xdr:colOff>550793</xdr:colOff>
      <xdr:row>25</xdr:row>
      <xdr:rowOff>114301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82881"/>
          <a:ext cx="6037193" cy="4503420"/>
        </a:xfrm>
        <a:prstGeom prst="rect">
          <a:avLst/>
        </a:prstGeom>
      </xdr:spPr>
    </xdr:pic>
    <xdr:clientData/>
  </xdr:twoCellAnchor>
  <xdr:twoCellAnchor editAs="oneCell">
    <xdr:from>
      <xdr:col>0</xdr:col>
      <xdr:colOff>0</xdr:colOff>
      <xdr:row>28</xdr:row>
      <xdr:rowOff>38100</xdr:rowOff>
    </xdr:from>
    <xdr:to>
      <xdr:col>9</xdr:col>
      <xdr:colOff>438211</xdr:colOff>
      <xdr:row>52</xdr:row>
      <xdr:rowOff>167640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158740"/>
          <a:ext cx="5924611" cy="4518660"/>
        </a:xfrm>
        <a:prstGeom prst="rect">
          <a:avLst/>
        </a:prstGeom>
      </xdr:spPr>
    </xdr:pic>
    <xdr:clientData/>
  </xdr:twoCellAnchor>
  <xdr:twoCellAnchor editAs="oneCell">
    <xdr:from>
      <xdr:col>0</xdr:col>
      <xdr:colOff>0</xdr:colOff>
      <xdr:row>53</xdr:row>
      <xdr:rowOff>0</xdr:rowOff>
    </xdr:from>
    <xdr:to>
      <xdr:col>9</xdr:col>
      <xdr:colOff>381163</xdr:colOff>
      <xdr:row>77</xdr:row>
      <xdr:rowOff>175260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692640"/>
          <a:ext cx="5867563" cy="4564380"/>
        </a:xfrm>
        <a:prstGeom prst="rect">
          <a:avLst/>
        </a:prstGeom>
      </xdr:spPr>
    </xdr:pic>
    <xdr:clientData/>
  </xdr:twoCellAnchor>
  <xdr:twoCellAnchor editAs="oneCell">
    <xdr:from>
      <xdr:col>9</xdr:col>
      <xdr:colOff>419100</xdr:colOff>
      <xdr:row>28</xdr:row>
      <xdr:rowOff>22861</xdr:rowOff>
    </xdr:from>
    <xdr:to>
      <xdr:col>27</xdr:col>
      <xdr:colOff>246300</xdr:colOff>
      <xdr:row>49</xdr:row>
      <xdr:rowOff>147794</xdr:rowOff>
    </xdr:to>
    <xdr:pic>
      <xdr:nvPicPr>
        <xdr:cNvPr id="5" name="图片 4"/>
        <xdr:cNvPicPr>
          <a:picLocks noChangeAspect="1"/>
        </xdr:cNvPicPr>
      </xdr:nvPicPr>
      <xdr:blipFill>
        <a:blip xmlns:r="http://schemas.openxmlformats.org/officeDocument/2006/relationships" r:embed="rId4"/>
        <a:stretch>
          <a:fillRect/>
        </a:stretch>
      </xdr:blipFill>
      <xdr:spPr>
        <a:xfrm>
          <a:off x="5905500" y="5143501"/>
          <a:ext cx="10800000" cy="3965413"/>
        </a:xfrm>
        <a:prstGeom prst="rect">
          <a:avLst/>
        </a:prstGeom>
      </xdr:spPr>
    </xdr:pic>
    <xdr:clientData/>
  </xdr:twoCellAnchor>
  <xdr:twoCellAnchor editAs="oneCell">
    <xdr:from>
      <xdr:col>9</xdr:col>
      <xdr:colOff>373380</xdr:colOff>
      <xdr:row>52</xdr:row>
      <xdr:rowOff>152400</xdr:rowOff>
    </xdr:from>
    <xdr:to>
      <xdr:col>27</xdr:col>
      <xdr:colOff>200580</xdr:colOff>
      <xdr:row>56</xdr:row>
      <xdr:rowOff>181635</xdr:rowOff>
    </xdr:to>
    <xdr:pic>
      <xdr:nvPicPr>
        <xdr:cNvPr id="6" name="图片 5"/>
        <xdr:cNvPicPr>
          <a:picLocks noChangeAspect="1"/>
        </xdr:cNvPicPr>
      </xdr:nvPicPr>
      <xdr:blipFill>
        <a:blip xmlns:r="http://schemas.openxmlformats.org/officeDocument/2006/relationships" r:embed="rId5"/>
        <a:stretch>
          <a:fillRect/>
        </a:stretch>
      </xdr:blipFill>
      <xdr:spPr>
        <a:xfrm>
          <a:off x="5859780" y="9662160"/>
          <a:ext cx="10800000" cy="760755"/>
        </a:xfrm>
        <a:prstGeom prst="rect">
          <a:avLst/>
        </a:prstGeom>
      </xdr:spPr>
    </xdr:pic>
    <xdr:clientData/>
  </xdr:twoCellAnchor>
  <xdr:twoCellAnchor editAs="oneCell">
    <xdr:from>
      <xdr:col>9</xdr:col>
      <xdr:colOff>411480</xdr:colOff>
      <xdr:row>49</xdr:row>
      <xdr:rowOff>114300</xdr:rowOff>
    </xdr:from>
    <xdr:to>
      <xdr:col>27</xdr:col>
      <xdr:colOff>238680</xdr:colOff>
      <xdr:row>53</xdr:row>
      <xdr:rowOff>37534</xdr:rowOff>
    </xdr:to>
    <xdr:pic>
      <xdr:nvPicPr>
        <xdr:cNvPr id="7" name="图片 6"/>
        <xdr:cNvPicPr>
          <a:picLocks noChangeAspect="1"/>
        </xdr:cNvPicPr>
      </xdr:nvPicPr>
      <xdr:blipFill>
        <a:blip xmlns:r="http://schemas.openxmlformats.org/officeDocument/2006/relationships" r:embed="rId6"/>
        <a:stretch>
          <a:fillRect/>
        </a:stretch>
      </xdr:blipFill>
      <xdr:spPr>
        <a:xfrm>
          <a:off x="5897880" y="9075420"/>
          <a:ext cx="10800000" cy="654754"/>
        </a:xfrm>
        <a:prstGeom prst="rect">
          <a:avLst/>
        </a:prstGeom>
      </xdr:spPr>
    </xdr:pic>
    <xdr:clientData/>
  </xdr:twoCellAnchor>
  <xdr:twoCellAnchor editAs="oneCell">
    <xdr:from>
      <xdr:col>9</xdr:col>
      <xdr:colOff>358140</xdr:colOff>
      <xdr:row>56</xdr:row>
      <xdr:rowOff>144780</xdr:rowOff>
    </xdr:from>
    <xdr:to>
      <xdr:col>27</xdr:col>
      <xdr:colOff>185340</xdr:colOff>
      <xdr:row>62</xdr:row>
      <xdr:rowOff>38</xdr:rowOff>
    </xdr:to>
    <xdr:pic>
      <xdr:nvPicPr>
        <xdr:cNvPr id="8" name="图片 7"/>
        <xdr:cNvPicPr>
          <a:picLocks noChangeAspect="1"/>
        </xdr:cNvPicPr>
      </xdr:nvPicPr>
      <xdr:blipFill>
        <a:blip xmlns:r="http://schemas.openxmlformats.org/officeDocument/2006/relationships" r:embed="rId7"/>
        <a:stretch>
          <a:fillRect/>
        </a:stretch>
      </xdr:blipFill>
      <xdr:spPr>
        <a:xfrm>
          <a:off x="5844540" y="10386060"/>
          <a:ext cx="10800000" cy="952538"/>
        </a:xfrm>
        <a:prstGeom prst="rect">
          <a:avLst/>
        </a:prstGeom>
      </xdr:spPr>
    </xdr:pic>
    <xdr:clientData/>
  </xdr:twoCellAnchor>
  <xdr:twoCellAnchor editAs="oneCell">
    <xdr:from>
      <xdr:col>9</xdr:col>
      <xdr:colOff>335280</xdr:colOff>
      <xdr:row>61</xdr:row>
      <xdr:rowOff>129541</xdr:rowOff>
    </xdr:from>
    <xdr:to>
      <xdr:col>27</xdr:col>
      <xdr:colOff>162480</xdr:colOff>
      <xdr:row>66</xdr:row>
      <xdr:rowOff>156362</xdr:rowOff>
    </xdr:to>
    <xdr:pic>
      <xdr:nvPicPr>
        <xdr:cNvPr id="9" name="图片 8"/>
        <xdr:cNvPicPr>
          <a:picLocks noChangeAspect="1"/>
        </xdr:cNvPicPr>
      </xdr:nvPicPr>
      <xdr:blipFill>
        <a:blip xmlns:r="http://schemas.openxmlformats.org/officeDocument/2006/relationships" r:embed="rId8"/>
        <a:stretch>
          <a:fillRect/>
        </a:stretch>
      </xdr:blipFill>
      <xdr:spPr>
        <a:xfrm>
          <a:off x="5821680" y="11285221"/>
          <a:ext cx="10800000" cy="941221"/>
        </a:xfrm>
        <a:prstGeom prst="rect">
          <a:avLst/>
        </a:prstGeom>
      </xdr:spPr>
    </xdr:pic>
    <xdr:clientData/>
  </xdr:twoCellAnchor>
  <xdr:twoCellAnchor editAs="oneCell">
    <xdr:from>
      <xdr:col>9</xdr:col>
      <xdr:colOff>312420</xdr:colOff>
      <xdr:row>66</xdr:row>
      <xdr:rowOff>121920</xdr:rowOff>
    </xdr:from>
    <xdr:to>
      <xdr:col>27</xdr:col>
      <xdr:colOff>139620</xdr:colOff>
      <xdr:row>74</xdr:row>
      <xdr:rowOff>163630</xdr:rowOff>
    </xdr:to>
    <xdr:pic>
      <xdr:nvPicPr>
        <xdr:cNvPr id="10" name="图片 9"/>
        <xdr:cNvPicPr>
          <a:picLocks noChangeAspect="1"/>
        </xdr:cNvPicPr>
      </xdr:nvPicPr>
      <xdr:blipFill>
        <a:blip xmlns:r="http://schemas.openxmlformats.org/officeDocument/2006/relationships" r:embed="rId9"/>
        <a:stretch>
          <a:fillRect/>
        </a:stretch>
      </xdr:blipFill>
      <xdr:spPr>
        <a:xfrm>
          <a:off x="5798820" y="12192000"/>
          <a:ext cx="10800000" cy="1504750"/>
        </a:xfrm>
        <a:prstGeom prst="rect">
          <a:avLst/>
        </a:prstGeom>
      </xdr:spPr>
    </xdr:pic>
    <xdr:clientData/>
  </xdr:twoCellAnchor>
  <xdr:twoCellAnchor editAs="oneCell">
    <xdr:from>
      <xdr:col>0</xdr:col>
      <xdr:colOff>0</xdr:colOff>
      <xdr:row>78</xdr:row>
      <xdr:rowOff>167641</xdr:rowOff>
    </xdr:from>
    <xdr:to>
      <xdr:col>22</xdr:col>
      <xdr:colOff>205809</xdr:colOff>
      <xdr:row>83</xdr:row>
      <xdr:rowOff>129541</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14432281"/>
          <a:ext cx="13617009" cy="876300"/>
        </a:xfrm>
        <a:prstGeom prst="rect">
          <a:avLst/>
        </a:prstGeom>
      </xdr:spPr>
    </xdr:pic>
    <xdr:clientData/>
  </xdr:twoCellAnchor>
  <xdr:twoCellAnchor editAs="oneCell">
    <xdr:from>
      <xdr:col>0</xdr:col>
      <xdr:colOff>0</xdr:colOff>
      <xdr:row>83</xdr:row>
      <xdr:rowOff>175260</xdr:rowOff>
    </xdr:from>
    <xdr:to>
      <xdr:col>22</xdr:col>
      <xdr:colOff>91440</xdr:colOff>
      <xdr:row>87</xdr:row>
      <xdr:rowOff>112822</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15354300"/>
          <a:ext cx="13502640" cy="6690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17</xdr:col>
      <xdr:colOff>453311</xdr:colOff>
      <xdr:row>27</xdr:row>
      <xdr:rowOff>99060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10816510" cy="5036820"/>
        </a:xfrm>
        <a:prstGeom prst="rect">
          <a:avLst/>
        </a:prstGeom>
      </xdr:spPr>
    </xdr:pic>
    <xdr:clientData/>
  </xdr:twoCellAnchor>
  <xdr:twoCellAnchor editAs="oneCell">
    <xdr:from>
      <xdr:col>0</xdr:col>
      <xdr:colOff>1</xdr:colOff>
      <xdr:row>29</xdr:row>
      <xdr:rowOff>1</xdr:rowOff>
    </xdr:from>
    <xdr:to>
      <xdr:col>11</xdr:col>
      <xdr:colOff>402367</xdr:colOff>
      <xdr:row>57</xdr:row>
      <xdr:rowOff>91441</xdr:rowOff>
    </xdr:to>
    <xdr:pic>
      <xdr:nvPicPr>
        <xdr:cNvPr id="3" name="图片 2"/>
        <xdr:cNvPicPr>
          <a:picLocks noChangeAspect="1"/>
        </xdr:cNvPicPr>
      </xdr:nvPicPr>
      <xdr:blipFill>
        <a:blip xmlns:r="http://schemas.openxmlformats.org/officeDocument/2006/relationships" r:embed="rId2"/>
        <a:stretch>
          <a:fillRect/>
        </a:stretch>
      </xdr:blipFill>
      <xdr:spPr>
        <a:xfrm>
          <a:off x="1" y="5303521"/>
          <a:ext cx="7107966" cy="5212080"/>
        </a:xfrm>
        <a:prstGeom prst="rect">
          <a:avLst/>
        </a:prstGeom>
      </xdr:spPr>
    </xdr:pic>
    <xdr:clientData/>
  </xdr:twoCellAnchor>
  <xdr:twoCellAnchor editAs="oneCell">
    <xdr:from>
      <xdr:col>0</xdr:col>
      <xdr:colOff>0</xdr:colOff>
      <xdr:row>57</xdr:row>
      <xdr:rowOff>83820</xdr:rowOff>
    </xdr:from>
    <xdr:to>
      <xdr:col>9</xdr:col>
      <xdr:colOff>196430</xdr:colOff>
      <xdr:row>74</xdr:row>
      <xdr:rowOff>160020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507980"/>
          <a:ext cx="5682830" cy="3185160"/>
        </a:xfrm>
        <a:prstGeom prst="rect">
          <a:avLst/>
        </a:prstGeom>
      </xdr:spPr>
    </xdr:pic>
    <xdr:clientData/>
  </xdr:twoCellAnchor>
  <xdr:twoCellAnchor editAs="oneCell">
    <xdr:from>
      <xdr:col>0</xdr:col>
      <xdr:colOff>0</xdr:colOff>
      <xdr:row>75</xdr:row>
      <xdr:rowOff>38100</xdr:rowOff>
    </xdr:from>
    <xdr:to>
      <xdr:col>9</xdr:col>
      <xdr:colOff>246933</xdr:colOff>
      <xdr:row>86</xdr:row>
      <xdr:rowOff>178801</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3754100"/>
          <a:ext cx="5733333" cy="2152381"/>
        </a:xfrm>
        <a:prstGeom prst="rect">
          <a:avLst/>
        </a:prstGeom>
      </xdr:spPr>
    </xdr:pic>
    <xdr:clientData/>
  </xdr:twoCellAnchor>
  <xdr:twoCellAnchor editAs="oneCell">
    <xdr:from>
      <xdr:col>0</xdr:col>
      <xdr:colOff>0</xdr:colOff>
      <xdr:row>89</xdr:row>
      <xdr:rowOff>160021</xdr:rowOff>
    </xdr:from>
    <xdr:to>
      <xdr:col>10</xdr:col>
      <xdr:colOff>581800</xdr:colOff>
      <xdr:row>111</xdr:row>
      <xdr:rowOff>15241</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436341"/>
          <a:ext cx="6677800" cy="3878580"/>
        </a:xfrm>
        <a:prstGeom prst="rect">
          <a:avLst/>
        </a:prstGeom>
      </xdr:spPr>
    </xdr:pic>
    <xdr:clientData/>
  </xdr:twoCellAnchor>
  <xdr:twoCellAnchor editAs="oneCell">
    <xdr:from>
      <xdr:col>0</xdr:col>
      <xdr:colOff>0</xdr:colOff>
      <xdr:row>113</xdr:row>
      <xdr:rowOff>38100</xdr:rowOff>
    </xdr:from>
    <xdr:to>
      <xdr:col>9</xdr:col>
      <xdr:colOff>68580</xdr:colOff>
      <xdr:row>137</xdr:row>
      <xdr:rowOff>164060</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0703540"/>
          <a:ext cx="5554980" cy="4515080"/>
        </a:xfrm>
        <a:prstGeom prst="rect">
          <a:avLst/>
        </a:prstGeom>
      </xdr:spPr>
    </xdr:pic>
    <xdr:clientData/>
  </xdr:twoCellAnchor>
  <xdr:twoCellAnchor editAs="oneCell">
    <xdr:from>
      <xdr:col>0</xdr:col>
      <xdr:colOff>1</xdr:colOff>
      <xdr:row>137</xdr:row>
      <xdr:rowOff>137160</xdr:rowOff>
    </xdr:from>
    <xdr:to>
      <xdr:col>9</xdr:col>
      <xdr:colOff>496917</xdr:colOff>
      <xdr:row>145</xdr:row>
      <xdr:rowOff>175260</xdr:rowOff>
    </xdr:to>
    <xdr:pic>
      <xdr:nvPicPr>
        <xdr:cNvPr id="8" name="图片 7"/>
        <xdr:cNvPicPr>
          <a:picLocks noChangeAspect="1"/>
        </xdr:cNvPicPr>
      </xdr:nvPicPr>
      <xdr:blipFill>
        <a:blip xmlns:r="http://schemas.openxmlformats.org/officeDocument/2006/relationships" r:embed="rId7"/>
        <a:stretch>
          <a:fillRect/>
        </a:stretch>
      </xdr:blipFill>
      <xdr:spPr>
        <a:xfrm>
          <a:off x="1" y="25191720"/>
          <a:ext cx="5983316" cy="1501140"/>
        </a:xfrm>
        <a:prstGeom prst="rect">
          <a:avLst/>
        </a:prstGeom>
      </xdr:spPr>
    </xdr:pic>
    <xdr:clientData/>
  </xdr:twoCellAnchor>
  <xdr:twoCellAnchor editAs="oneCell">
    <xdr:from>
      <xdr:col>0</xdr:col>
      <xdr:colOff>0</xdr:colOff>
      <xdr:row>237</xdr:row>
      <xdr:rowOff>99060</xdr:rowOff>
    </xdr:from>
    <xdr:to>
      <xdr:col>7</xdr:col>
      <xdr:colOff>372414</xdr:colOff>
      <xdr:row>292</xdr:row>
      <xdr:rowOff>99060</xdr:rowOff>
    </xdr:to>
    <xdr:pic>
      <xdr:nvPicPr>
        <xdr:cNvPr id="9" name="图片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0" y="43441620"/>
          <a:ext cx="4639614" cy="10058400"/>
        </a:xfrm>
        <a:prstGeom prst="rect">
          <a:avLst/>
        </a:prstGeom>
      </xdr:spPr>
    </xdr:pic>
    <xdr:clientData/>
  </xdr:twoCellAnchor>
  <xdr:twoCellAnchor editAs="oneCell">
    <xdr:from>
      <xdr:col>0</xdr:col>
      <xdr:colOff>0</xdr:colOff>
      <xdr:row>284</xdr:row>
      <xdr:rowOff>73800</xdr:rowOff>
    </xdr:from>
    <xdr:to>
      <xdr:col>7</xdr:col>
      <xdr:colOff>372414</xdr:colOff>
      <xdr:row>339</xdr:row>
      <xdr:rowOff>73800</xdr:rowOff>
    </xdr:to>
    <xdr:pic>
      <xdr:nvPicPr>
        <xdr:cNvPr id="10" name="图片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0" y="52011720"/>
          <a:ext cx="4639614" cy="10058400"/>
        </a:xfrm>
        <a:prstGeom prst="rect">
          <a:avLst/>
        </a:prstGeom>
      </xdr:spPr>
    </xdr:pic>
    <xdr:clientData/>
  </xdr:twoCellAnchor>
  <xdr:twoCellAnchor editAs="oneCell">
    <xdr:from>
      <xdr:col>7</xdr:col>
      <xdr:colOff>345720</xdr:colOff>
      <xdr:row>237</xdr:row>
      <xdr:rowOff>101880</xdr:rowOff>
    </xdr:from>
    <xdr:to>
      <xdr:col>15</xdr:col>
      <xdr:colOff>108534</xdr:colOff>
      <xdr:row>292</xdr:row>
      <xdr:rowOff>101880</xdr:rowOff>
    </xdr:to>
    <xdr:pic>
      <xdr:nvPicPr>
        <xdr:cNvPr id="11" name="图片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612920" y="43444440"/>
          <a:ext cx="4639614" cy="10058400"/>
        </a:xfrm>
        <a:prstGeom prst="rect">
          <a:avLst/>
        </a:prstGeom>
      </xdr:spPr>
    </xdr:pic>
    <xdr:clientData/>
  </xdr:twoCellAnchor>
  <xdr:twoCellAnchor editAs="oneCell">
    <xdr:from>
      <xdr:col>7</xdr:col>
      <xdr:colOff>348540</xdr:colOff>
      <xdr:row>145</xdr:row>
      <xdr:rowOff>180900</xdr:rowOff>
    </xdr:from>
    <xdr:to>
      <xdr:col>15</xdr:col>
      <xdr:colOff>111354</xdr:colOff>
      <xdr:row>182</xdr:row>
      <xdr:rowOff>22860</xdr:rowOff>
    </xdr:to>
    <xdr:pic>
      <xdr:nvPicPr>
        <xdr:cNvPr id="13" name="图片 12"/>
        <xdr:cNvPicPr>
          <a:picLocks noChangeAspect="1"/>
        </xdr:cNvPicPr>
      </xdr:nvPicPr>
      <xdr:blipFill rotWithShape="1">
        <a:blip xmlns:r="http://schemas.openxmlformats.org/officeDocument/2006/relationships" r:embed="rId11" cstate="print">
          <a:extLst>
            <a:ext uri="{28A0092B-C50C-407E-A947-70E740481C1C}">
              <a14:useLocalDpi xmlns:a14="http://schemas.microsoft.com/office/drawing/2010/main" val="0"/>
            </a:ext>
          </a:extLst>
        </a:blip>
        <a:srcRect b="34299"/>
        <a:stretch/>
      </xdr:blipFill>
      <xdr:spPr>
        <a:xfrm>
          <a:off x="4615740" y="26698500"/>
          <a:ext cx="4639614" cy="6608520"/>
        </a:xfrm>
        <a:prstGeom prst="rect">
          <a:avLst/>
        </a:prstGeom>
      </xdr:spPr>
    </xdr:pic>
    <xdr:clientData/>
  </xdr:twoCellAnchor>
  <xdr:twoCellAnchor editAs="oneCell">
    <xdr:from>
      <xdr:col>0</xdr:col>
      <xdr:colOff>0</xdr:colOff>
      <xdr:row>146</xdr:row>
      <xdr:rowOff>3240</xdr:rowOff>
    </xdr:from>
    <xdr:to>
      <xdr:col>7</xdr:col>
      <xdr:colOff>388620</xdr:colOff>
      <xdr:row>182</xdr:row>
      <xdr:rowOff>7620</xdr:rowOff>
    </xdr:to>
    <xdr:pic>
      <xdr:nvPicPr>
        <xdr:cNvPr id="14" name="图片 13"/>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b="34730"/>
        <a:stretch/>
      </xdr:blipFill>
      <xdr:spPr>
        <a:xfrm>
          <a:off x="0" y="26703720"/>
          <a:ext cx="4655820" cy="6588060"/>
        </a:xfrm>
        <a:prstGeom prst="rect">
          <a:avLst/>
        </a:prstGeom>
      </xdr:spPr>
    </xdr:pic>
    <xdr:clientData/>
  </xdr:twoCellAnchor>
  <xdr:twoCellAnchor editAs="oneCell">
    <xdr:from>
      <xdr:col>0</xdr:col>
      <xdr:colOff>0</xdr:colOff>
      <xdr:row>182</xdr:row>
      <xdr:rowOff>16080</xdr:rowOff>
    </xdr:from>
    <xdr:to>
      <xdr:col>7</xdr:col>
      <xdr:colOff>372414</xdr:colOff>
      <xdr:row>237</xdr:row>
      <xdr:rowOff>16080</xdr:rowOff>
    </xdr:to>
    <xdr:pic>
      <xdr:nvPicPr>
        <xdr:cNvPr id="15" name="图片 14"/>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0" y="33300240"/>
          <a:ext cx="4639614" cy="10058400"/>
        </a:xfrm>
        <a:prstGeom prst="rect">
          <a:avLst/>
        </a:prstGeom>
      </xdr:spPr>
    </xdr:pic>
    <xdr:clientData/>
  </xdr:twoCellAnchor>
  <xdr:twoCellAnchor editAs="oneCell">
    <xdr:from>
      <xdr:col>7</xdr:col>
      <xdr:colOff>373800</xdr:colOff>
      <xdr:row>182</xdr:row>
      <xdr:rowOff>420</xdr:rowOff>
    </xdr:from>
    <xdr:to>
      <xdr:col>15</xdr:col>
      <xdr:colOff>136614</xdr:colOff>
      <xdr:row>237</xdr:row>
      <xdr:rowOff>420</xdr:rowOff>
    </xdr:to>
    <xdr:pic>
      <xdr:nvPicPr>
        <xdr:cNvPr id="12" name="图片 11"/>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4641000" y="33284580"/>
          <a:ext cx="4639614" cy="10058400"/>
        </a:xfrm>
        <a:prstGeom prst="rect">
          <a:avLst/>
        </a:prstGeom>
      </xdr:spPr>
    </xdr:pic>
    <xdr:clientData/>
  </xdr:twoCellAnchor>
  <xdr:twoCellAnchor editAs="oneCell">
    <xdr:from>
      <xdr:col>0</xdr:col>
      <xdr:colOff>1</xdr:colOff>
      <xdr:row>342</xdr:row>
      <xdr:rowOff>0</xdr:rowOff>
    </xdr:from>
    <xdr:to>
      <xdr:col>13</xdr:col>
      <xdr:colOff>332471</xdr:colOff>
      <xdr:row>363</xdr:row>
      <xdr:rowOff>45720</xdr:rowOff>
    </xdr:to>
    <xdr:pic>
      <xdr:nvPicPr>
        <xdr:cNvPr id="16" name="图片 15"/>
        <xdr:cNvPicPr>
          <a:picLocks noChangeAspect="1"/>
        </xdr:cNvPicPr>
      </xdr:nvPicPr>
      <xdr:blipFill>
        <a:blip xmlns:r="http://schemas.openxmlformats.org/officeDocument/2006/relationships" r:embed="rId15"/>
        <a:stretch>
          <a:fillRect/>
        </a:stretch>
      </xdr:blipFill>
      <xdr:spPr>
        <a:xfrm>
          <a:off x="1" y="62544960"/>
          <a:ext cx="8257270" cy="3886200"/>
        </a:xfrm>
        <a:prstGeom prst="rect">
          <a:avLst/>
        </a:prstGeom>
      </xdr:spPr>
    </xdr:pic>
    <xdr:clientData/>
  </xdr:twoCellAnchor>
  <xdr:twoCellAnchor editAs="oneCell">
    <xdr:from>
      <xdr:col>15</xdr:col>
      <xdr:colOff>312420</xdr:colOff>
      <xdr:row>238</xdr:row>
      <xdr:rowOff>152400</xdr:rowOff>
    </xdr:from>
    <xdr:to>
      <xdr:col>19</xdr:col>
      <xdr:colOff>597829</xdr:colOff>
      <xdr:row>257</xdr:row>
      <xdr:rowOff>11013</xdr:rowOff>
    </xdr:to>
    <xdr:pic>
      <xdr:nvPicPr>
        <xdr:cNvPr id="17" name="图片 16"/>
        <xdr:cNvPicPr>
          <a:picLocks noChangeAspect="1"/>
        </xdr:cNvPicPr>
      </xdr:nvPicPr>
      <xdr:blipFill>
        <a:blip xmlns:r="http://schemas.openxmlformats.org/officeDocument/2006/relationships" r:embed="rId16"/>
        <a:stretch>
          <a:fillRect/>
        </a:stretch>
      </xdr:blipFill>
      <xdr:spPr>
        <a:xfrm>
          <a:off x="9456420" y="43677840"/>
          <a:ext cx="2723809" cy="3333333"/>
        </a:xfrm>
        <a:prstGeom prst="rect">
          <a:avLst/>
        </a:prstGeom>
      </xdr:spPr>
    </xdr:pic>
    <xdr:clientData/>
  </xdr:twoCellAnchor>
  <xdr:twoCellAnchor editAs="oneCell">
    <xdr:from>
      <xdr:col>0</xdr:col>
      <xdr:colOff>0</xdr:colOff>
      <xdr:row>364</xdr:row>
      <xdr:rowOff>121920</xdr:rowOff>
    </xdr:from>
    <xdr:to>
      <xdr:col>16</xdr:col>
      <xdr:colOff>160686</xdr:colOff>
      <xdr:row>413</xdr:row>
      <xdr:rowOff>36990</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66690240"/>
          <a:ext cx="9914286" cy="8876190"/>
        </a:xfrm>
        <a:prstGeom prst="rect">
          <a:avLst/>
        </a:prstGeom>
      </xdr:spPr>
    </xdr:pic>
    <xdr:clientData/>
  </xdr:twoCellAnchor>
  <xdr:twoCellAnchor editAs="oneCell">
    <xdr:from>
      <xdr:col>0</xdr:col>
      <xdr:colOff>0</xdr:colOff>
      <xdr:row>413</xdr:row>
      <xdr:rowOff>106680</xdr:rowOff>
    </xdr:from>
    <xdr:to>
      <xdr:col>20</xdr:col>
      <xdr:colOff>274667</xdr:colOff>
      <xdr:row>444</xdr:row>
      <xdr:rowOff>46924</xdr:rowOff>
    </xdr:to>
    <xdr:pic>
      <xdr:nvPicPr>
        <xdr:cNvPr id="19" name="图片 18"/>
        <xdr:cNvPicPr>
          <a:picLocks noChangeAspect="1"/>
        </xdr:cNvPicPr>
      </xdr:nvPicPr>
      <xdr:blipFill>
        <a:blip xmlns:r="http://schemas.openxmlformats.org/officeDocument/2006/relationships" r:embed="rId18"/>
        <a:stretch>
          <a:fillRect/>
        </a:stretch>
      </xdr:blipFill>
      <xdr:spPr>
        <a:xfrm>
          <a:off x="0" y="75636120"/>
          <a:ext cx="12466667" cy="5609524"/>
        </a:xfrm>
        <a:prstGeom prst="rect">
          <a:avLst/>
        </a:prstGeom>
      </xdr:spPr>
    </xdr:pic>
    <xdr:clientData/>
  </xdr:twoCellAnchor>
  <xdr:twoCellAnchor editAs="oneCell">
    <xdr:from>
      <xdr:col>0</xdr:col>
      <xdr:colOff>0</xdr:colOff>
      <xdr:row>444</xdr:row>
      <xdr:rowOff>1</xdr:rowOff>
    </xdr:from>
    <xdr:to>
      <xdr:col>16</xdr:col>
      <xdr:colOff>148305</xdr:colOff>
      <xdr:row>469</xdr:row>
      <xdr:rowOff>160021</xdr:rowOff>
    </xdr:to>
    <xdr:pic>
      <xdr:nvPicPr>
        <xdr:cNvPr id="20" name="图片 19"/>
        <xdr:cNvPicPr>
          <a:picLocks noChangeAspect="1"/>
        </xdr:cNvPicPr>
      </xdr:nvPicPr>
      <xdr:blipFill>
        <a:blip xmlns:r="http://schemas.openxmlformats.org/officeDocument/2006/relationships" r:embed="rId19"/>
        <a:stretch>
          <a:fillRect/>
        </a:stretch>
      </xdr:blipFill>
      <xdr:spPr>
        <a:xfrm>
          <a:off x="0" y="81198721"/>
          <a:ext cx="9901905" cy="4732020"/>
        </a:xfrm>
        <a:prstGeom prst="rect">
          <a:avLst/>
        </a:prstGeom>
      </xdr:spPr>
    </xdr:pic>
    <xdr:clientData/>
  </xdr:twoCellAnchor>
  <xdr:twoCellAnchor editAs="oneCell">
    <xdr:from>
      <xdr:col>0</xdr:col>
      <xdr:colOff>0</xdr:colOff>
      <xdr:row>469</xdr:row>
      <xdr:rowOff>114300</xdr:rowOff>
    </xdr:from>
    <xdr:to>
      <xdr:col>16</xdr:col>
      <xdr:colOff>259080</xdr:colOff>
      <xdr:row>479</xdr:row>
      <xdr:rowOff>51965</xdr:rowOff>
    </xdr:to>
    <xdr:pic>
      <xdr:nvPicPr>
        <xdr:cNvPr id="21" name="图片 20"/>
        <xdr:cNvPicPr>
          <a:picLocks noChangeAspect="1"/>
        </xdr:cNvPicPr>
      </xdr:nvPicPr>
      <xdr:blipFill>
        <a:blip xmlns:r="http://schemas.openxmlformats.org/officeDocument/2006/relationships" r:embed="rId20"/>
        <a:stretch>
          <a:fillRect/>
        </a:stretch>
      </xdr:blipFill>
      <xdr:spPr>
        <a:xfrm>
          <a:off x="0" y="85885020"/>
          <a:ext cx="10012680" cy="1766465"/>
        </a:xfrm>
        <a:prstGeom prst="rect">
          <a:avLst/>
        </a:prstGeom>
      </xdr:spPr>
    </xdr:pic>
    <xdr:clientData/>
  </xdr:twoCellAnchor>
  <xdr:twoCellAnchor editAs="oneCell">
    <xdr:from>
      <xdr:col>15</xdr:col>
      <xdr:colOff>327660</xdr:colOff>
      <xdr:row>266</xdr:row>
      <xdr:rowOff>121921</xdr:rowOff>
    </xdr:from>
    <xdr:to>
      <xdr:col>24</xdr:col>
      <xdr:colOff>440850</xdr:colOff>
      <xdr:row>304</xdr:row>
      <xdr:rowOff>1</xdr:rowOff>
    </xdr:to>
    <xdr:pic>
      <xdr:nvPicPr>
        <xdr:cNvPr id="22" name="图片 21"/>
        <xdr:cNvPicPr>
          <a:picLocks noChangeAspect="1"/>
        </xdr:cNvPicPr>
      </xdr:nvPicPr>
      <xdr:blipFill>
        <a:blip xmlns:r="http://schemas.openxmlformats.org/officeDocument/2006/relationships" r:embed="rId21"/>
        <a:stretch>
          <a:fillRect/>
        </a:stretch>
      </xdr:blipFill>
      <xdr:spPr>
        <a:xfrm>
          <a:off x="9471660" y="48768001"/>
          <a:ext cx="5599590" cy="6827520"/>
        </a:xfrm>
        <a:prstGeom prst="rect">
          <a:avLst/>
        </a:prstGeom>
      </xdr:spPr>
    </xdr:pic>
    <xdr:clientData/>
  </xdr:twoCellAnchor>
  <xdr:twoCellAnchor editAs="oneCell">
    <xdr:from>
      <xdr:col>24</xdr:col>
      <xdr:colOff>419100</xdr:colOff>
      <xdr:row>266</xdr:row>
      <xdr:rowOff>106681</xdr:rowOff>
    </xdr:from>
    <xdr:to>
      <xdr:col>34</xdr:col>
      <xdr:colOff>40118</xdr:colOff>
      <xdr:row>304</xdr:row>
      <xdr:rowOff>38101</xdr:rowOff>
    </xdr:to>
    <xdr:pic>
      <xdr:nvPicPr>
        <xdr:cNvPr id="23" name="图片 22"/>
        <xdr:cNvPicPr>
          <a:picLocks noChangeAspect="1"/>
        </xdr:cNvPicPr>
      </xdr:nvPicPr>
      <xdr:blipFill>
        <a:blip xmlns:r="http://schemas.openxmlformats.org/officeDocument/2006/relationships" r:embed="rId22"/>
        <a:stretch>
          <a:fillRect/>
        </a:stretch>
      </xdr:blipFill>
      <xdr:spPr>
        <a:xfrm>
          <a:off x="15049500" y="48752761"/>
          <a:ext cx="5717018" cy="68808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76200</xdr:rowOff>
    </xdr:from>
    <xdr:to>
      <xdr:col>8</xdr:col>
      <xdr:colOff>1478280</xdr:colOff>
      <xdr:row>9</xdr:row>
      <xdr:rowOff>152692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670560"/>
          <a:ext cx="13670280" cy="1265212"/>
        </a:xfrm>
        <a:prstGeom prst="rect">
          <a:avLst/>
        </a:prstGeom>
      </xdr:spPr>
    </xdr:pic>
    <xdr:clientData/>
  </xdr:twoCellAnchor>
  <xdr:twoCellAnchor editAs="oneCell">
    <xdr:from>
      <xdr:col>0</xdr:col>
      <xdr:colOff>0</xdr:colOff>
      <xdr:row>7</xdr:row>
      <xdr:rowOff>38101</xdr:rowOff>
    </xdr:from>
    <xdr:to>
      <xdr:col>8</xdr:col>
      <xdr:colOff>1508760</xdr:colOff>
      <xdr:row>11</xdr:row>
      <xdr:rowOff>159005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424941"/>
          <a:ext cx="13700760" cy="913384"/>
        </a:xfrm>
        <a:prstGeom prst="rect">
          <a:avLst/>
        </a:prstGeom>
      </xdr:spPr>
    </xdr:pic>
    <xdr:clientData/>
  </xdr:twoCellAnchor>
  <xdr:twoCellAnchor editAs="oneCell">
    <xdr:from>
      <xdr:col>0</xdr:col>
      <xdr:colOff>0</xdr:colOff>
      <xdr:row>70</xdr:row>
      <xdr:rowOff>0</xdr:rowOff>
    </xdr:from>
    <xdr:to>
      <xdr:col>11</xdr:col>
      <xdr:colOff>340762</xdr:colOff>
      <xdr:row>117</xdr:row>
      <xdr:rowOff>21693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3868400"/>
          <a:ext cx="17104762" cy="93333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hyperlink" Target="http://bjjs.zjw.beijing.gov.cn/eportal/ui?pageId=320794&amp;projectID=21067604&amp;systemID=3&amp;srcId=1" TargetMode="External"/><Relationship Id="rId2" Type="http://schemas.openxmlformats.org/officeDocument/2006/relationships/hyperlink" Target="http://bjjs.zjw.beijing.gov.cn/eportal/ui?pageId=320794&amp;projectID=23602840&amp;systemID=3&amp;srcId=1" TargetMode="External"/><Relationship Id="rId1" Type="http://schemas.openxmlformats.org/officeDocument/2006/relationships/hyperlink" Target="http://bjjs.zjw.beijing.gov.cn/eportal/ui?pageId=320794&amp;projectID=23777629&amp;systemID=3&amp;srcId=1" TargetMode="External"/><Relationship Id="rId4" Type="http://schemas.openxmlformats.org/officeDocument/2006/relationships/drawing" Target="../drawings/drawing1.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hyperlink" Target="https://bj.lianjia.com/chengjiao/101122180171.html" TargetMode="External"/><Relationship Id="rId2" Type="http://schemas.openxmlformats.org/officeDocument/2006/relationships/hyperlink" Target="https://bj.lianjia.com/chengjiao/101123131279.html" TargetMode="External"/><Relationship Id="rId1" Type="http://schemas.openxmlformats.org/officeDocument/2006/relationships/hyperlink" Target="https://paimai.jd.com/293884109" TargetMode="External"/><Relationship Id="rId4"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3" customWidth="1"/>
    <col min="2" max="2" width="81" style="1210" customWidth="1"/>
    <col min="3" max="16384" width="9" style="1208"/>
  </cols>
  <sheetData>
    <row r="1" spans="1:2" s="1196" customFormat="1" ht="16.2" thickBot="1">
      <c r="A1" s="1195" t="s">
        <v>521</v>
      </c>
      <c r="B1" s="1194" t="s">
        <v>600</v>
      </c>
    </row>
    <row r="2" spans="1:2" s="1199" customFormat="1" ht="16.2"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6.2" thickBot="1">
      <c r="A5" s="1203" t="s">
        <v>525</v>
      </c>
      <c r="B5" s="1204" t="str">
        <f>'预评函-封皮'!B49</f>
        <v>康正预评字号</v>
      </c>
    </row>
    <row r="6" spans="1:2" s="1199" customFormat="1" ht="16.2"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估价对象为北京市房地产，为所有。根据《国有土地使用证》[]，估价对象（分摊）出让国有建设用地使用权面积为0平方米，建筑面积为375.87平方米。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估价对象为北京市房地产,属开发建设的，该项目尚在开发建设中。根据《国有土地使用证》[]，估价对象（分摊）出让国有建设用地使用权面积为0平方米，规划建筑面积为375.87平方米。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2024年11月26日</v>
      </c>
    </row>
    <row r="13" spans="1:2" s="1202" customFormat="1">
      <c r="A13" s="1200" t="s">
        <v>529</v>
      </c>
      <c r="B13" s="1201" t="str">
        <f>'预评函-1'!A18</f>
        <v>本次估价的“房地产价值”是指在正常市场情况下，在价值时点2024年11月26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6.2" thickBot="1">
      <c r="A18" s="1203" t="s">
        <v>534</v>
      </c>
      <c r="B18" s="1204" t="str">
        <f>'预评函-1'!A24</f>
        <v>本次评估采用的主估价方法为比较法和成本法。</v>
      </c>
    </row>
    <row r="19" spans="1:2" s="1199" customFormat="1" ht="16.2"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ht="31.2">
      <c r="A42" s="1200" t="s">
        <v>590</v>
      </c>
      <c r="B42" s="1201" t="str">
        <f>'预评函-3'!B2</f>
        <v>建筑面积</v>
      </c>
    </row>
    <row r="43" spans="1:2" s="1202" customFormat="1">
      <c r="A43" s="1200" t="s">
        <v>591</v>
      </c>
      <c r="B43" s="1201">
        <f>'预评函-3'!B4</f>
        <v>375.87</v>
      </c>
    </row>
    <row r="44" spans="1:2" s="1202" customFormat="1" ht="31.2">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6.2" thickBot="1">
      <c r="A57" s="1203" t="s">
        <v>599</v>
      </c>
      <c r="B57" s="1204" t="str">
        <f>'预评函-3'!A6</f>
        <v/>
      </c>
    </row>
    <row r="58" spans="1:2" s="1199" customFormat="1" ht="16.2"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6.2" thickBot="1">
      <c r="A69" s="1203" t="s">
        <v>561</v>
      </c>
      <c r="B69" s="1205">
        <f>'预评函-4'!C31</f>
        <v>42551</v>
      </c>
    </row>
    <row r="70" spans="1:2" ht="16.2" thickTop="1">
      <c r="A70" s="1206" t="s">
        <v>562</v>
      </c>
      <c r="B70" s="1207">
        <f>'预评函-4'!A4</f>
        <v>0</v>
      </c>
    </row>
    <row r="71" spans="1:2">
      <c r="A71" s="1200" t="s">
        <v>563</v>
      </c>
      <c r="B71" s="1201">
        <f>'预评函-4'!B4</f>
        <v>0</v>
      </c>
    </row>
    <row r="72" spans="1:2">
      <c r="A72" s="1200" t="s">
        <v>564</v>
      </c>
      <c r="B72" s="1209">
        <f>'预评函-4'!A5</f>
        <v>0</v>
      </c>
    </row>
    <row r="73" spans="1:2" s="1196" customFormat="1" ht="16.2" thickBot="1">
      <c r="A73" s="1203" t="s">
        <v>565</v>
      </c>
      <c r="B73" s="1204">
        <f>'预评函-4'!B5</f>
        <v>0</v>
      </c>
    </row>
    <row r="74" spans="1:2" ht="16.2"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22" sqref="F22:F23"/>
    </sheetView>
  </sheetViews>
  <sheetFormatPr defaultColWidth="9" defaultRowHeight="14.4"/>
  <cols>
    <col min="1" max="1" width="13.44140625" style="1555" customWidth="1"/>
    <col min="2" max="2" width="23.21875" style="1506" customWidth="1"/>
    <col min="3" max="3" width="13" style="1550" customWidth="1"/>
    <col min="4" max="4" width="5.77734375" style="1547" customWidth="1"/>
    <col min="5" max="5" width="7.109375" style="1547" customWidth="1"/>
    <col min="6" max="6" width="10.6640625" style="1547" customWidth="1"/>
    <col min="7" max="7" width="7.44140625" style="1547" customWidth="1"/>
    <col min="8" max="8" width="11.88671875" style="1550" customWidth="1"/>
    <col min="9" max="9" width="11.6640625" style="1550" customWidth="1"/>
    <col min="10" max="10" width="9" style="1550" customWidth="1"/>
    <col min="11" max="19" width="9" style="1547" customWidth="1"/>
    <col min="20" max="23" width="9" style="1550" customWidth="1"/>
    <col min="24" max="24" width="21.109375" style="1506" customWidth="1"/>
    <col min="25" max="16384" width="9" style="1506"/>
  </cols>
  <sheetData>
    <row r="1" spans="1:23" s="1544" customFormat="1" ht="43.2">
      <c r="A1" s="1538" t="s">
        <v>44</v>
      </c>
      <c r="B1" s="1539" t="s">
        <v>977</v>
      </c>
      <c r="C1" s="1540" t="s">
        <v>314</v>
      </c>
      <c r="D1" s="1542" t="s">
        <v>3348</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3334</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3335</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3336</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3337</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3338</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3339</v>
      </c>
    </row>
    <row r="8" spans="1:23">
      <c r="A8" s="1545" t="s">
        <v>1026</v>
      </c>
      <c r="B8" s="1545" t="s">
        <v>1027</v>
      </c>
      <c r="C8" s="1546" t="s">
        <v>319</v>
      </c>
      <c r="F8" s="1547" t="s">
        <v>1028</v>
      </c>
      <c r="H8" s="1547" t="s">
        <v>2574</v>
      </c>
      <c r="I8" s="1547" t="s">
        <v>3340</v>
      </c>
    </row>
    <row r="9" spans="1:23">
      <c r="A9" s="1545" t="s">
        <v>1029</v>
      </c>
      <c r="B9" s="1545" t="s">
        <v>1030</v>
      </c>
      <c r="C9" s="1546" t="s">
        <v>320</v>
      </c>
      <c r="F9" s="1547" t="s">
        <v>1031</v>
      </c>
      <c r="H9" s="1547"/>
      <c r="I9" s="1550" t="s">
        <v>3341</v>
      </c>
    </row>
    <row r="10" spans="1:23">
      <c r="A10" s="1545" t="s">
        <v>1032</v>
      </c>
      <c r="B10" s="1545" t="s">
        <v>1033</v>
      </c>
      <c r="C10" s="1546" t="s">
        <v>321</v>
      </c>
      <c r="F10" s="1547" t="s">
        <v>2575</v>
      </c>
      <c r="I10" s="1550" t="s">
        <v>3342</v>
      </c>
    </row>
    <row r="11" spans="1:23">
      <c r="A11" s="1545" t="s">
        <v>1034</v>
      </c>
      <c r="B11" s="1545" t="s">
        <v>1035</v>
      </c>
      <c r="C11" s="1546" t="s">
        <v>322</v>
      </c>
      <c r="F11" s="1547" t="s">
        <v>13</v>
      </c>
      <c r="I11" s="1550" t="s">
        <v>3343</v>
      </c>
    </row>
    <row r="12" spans="1:23">
      <c r="A12" s="1545" t="s">
        <v>1036</v>
      </c>
      <c r="B12" s="1545" t="s">
        <v>1037</v>
      </c>
      <c r="C12" s="1546" t="s">
        <v>323</v>
      </c>
      <c r="I12" s="1550" t="s">
        <v>3344</v>
      </c>
    </row>
    <row r="13" spans="1:23">
      <c r="A13" s="1545" t="s">
        <v>1038</v>
      </c>
      <c r="B13" s="1545" t="s">
        <v>1039</v>
      </c>
      <c r="C13" s="1546" t="s">
        <v>324</v>
      </c>
      <c r="I13" s="1550" t="s">
        <v>3345</v>
      </c>
    </row>
    <row r="14" spans="1:23">
      <c r="A14" s="1545" t="s">
        <v>1040</v>
      </c>
      <c r="B14" s="1545" t="s">
        <v>1041</v>
      </c>
      <c r="C14" s="1547" t="s">
        <v>13</v>
      </c>
      <c r="I14" s="1550" t="s">
        <v>3346</v>
      </c>
    </row>
    <row r="15" spans="1:23">
      <c r="A15" s="1545" t="s">
        <v>1042</v>
      </c>
      <c r="B15" s="1545" t="s">
        <v>1043</v>
      </c>
      <c r="C15" s="1546"/>
      <c r="I15" s="1550" t="s">
        <v>3347</v>
      </c>
    </row>
    <row r="16" spans="1:23">
      <c r="A16" s="1545" t="s">
        <v>1044</v>
      </c>
      <c r="B16" s="1545" t="s">
        <v>312</v>
      </c>
      <c r="C16" s="1546"/>
    </row>
    <row r="17" spans="1:3">
      <c r="A17" s="1545" t="s">
        <v>1045</v>
      </c>
      <c r="B17" s="1545" t="s">
        <v>2289</v>
      </c>
      <c r="C17" s="1546"/>
    </row>
    <row r="18" spans="1:3">
      <c r="A18" s="1545" t="s">
        <v>1046</v>
      </c>
      <c r="B18" s="1545" t="s">
        <v>2430</v>
      </c>
      <c r="C18" s="1546"/>
    </row>
    <row r="19" spans="1:3">
      <c r="A19" s="1545" t="s">
        <v>1047</v>
      </c>
      <c r="B19" s="1545" t="s">
        <v>3540</v>
      </c>
      <c r="C19" s="1546"/>
    </row>
    <row r="20" spans="1:3">
      <c r="A20" s="1545" t="s">
        <v>1048</v>
      </c>
      <c r="B20" s="1545" t="s">
        <v>3541</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5"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3" t="s">
        <v>385</v>
      </c>
      <c r="C54" s="1550" t="s">
        <v>583</v>
      </c>
    </row>
    <row r="55" spans="1:4">
      <c r="A55" s="3515"/>
      <c r="B55" s="1553" t="s">
        <v>386</v>
      </c>
      <c r="C55" s="1550" t="s">
        <v>584</v>
      </c>
    </row>
    <row r="56" spans="1:4">
      <c r="A56" s="3515"/>
      <c r="B56" s="1553" t="s">
        <v>387</v>
      </c>
      <c r="C56" s="1550" t="s">
        <v>588</v>
      </c>
    </row>
    <row r="57" spans="1:4">
      <c r="A57" s="3515"/>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1875" defaultRowHeight="14.4"/>
  <cols>
    <col min="1" max="7" width="15.21875" style="3013"/>
    <col min="8" max="8" width="5.44140625" style="3013" customWidth="1"/>
    <col min="9" max="13" width="9.44140625" style="3055" customWidth="1"/>
    <col min="14" max="18" width="9.44140625" style="3013" customWidth="1"/>
    <col min="19" max="16384" width="15.21875" style="3013"/>
  </cols>
  <sheetData>
    <row r="1" spans="1:18">
      <c r="A1" s="3010" t="s">
        <v>2497</v>
      </c>
      <c r="B1" s="3011"/>
      <c r="C1" s="3011"/>
      <c r="D1" s="3011"/>
      <c r="E1" s="3011"/>
      <c r="F1" s="3012"/>
      <c r="I1" s="3434" t="s">
        <v>2590</v>
      </c>
      <c r="J1" s="3223"/>
      <c r="K1" s="3223"/>
      <c r="L1" s="3223"/>
      <c r="M1" s="3223"/>
      <c r="N1" s="3435"/>
      <c r="O1" s="3435"/>
      <c r="P1" s="3435"/>
      <c r="Q1" s="3435"/>
      <c r="R1" s="3435"/>
    </row>
    <row r="2" spans="1:18">
      <c r="A2" s="3014"/>
      <c r="B2" s="3015"/>
      <c r="C2" s="3015"/>
      <c r="D2" s="3015"/>
      <c r="E2" s="3015"/>
      <c r="F2" s="3016"/>
      <c r="I2" s="3516" t="s">
        <v>2577</v>
      </c>
      <c r="J2" s="3516"/>
      <c r="K2" s="3516"/>
      <c r="L2" s="3516"/>
      <c r="M2" s="3516"/>
      <c r="N2" s="3516"/>
      <c r="O2" s="3516"/>
      <c r="P2" s="3516"/>
      <c r="Q2" s="3516"/>
      <c r="R2" s="3516"/>
    </row>
    <row r="3" spans="1:18">
      <c r="A3" s="3017" t="s">
        <v>2498</v>
      </c>
      <c r="B3" s="3018">
        <f>项目基本情况!D3</f>
        <v>45622</v>
      </c>
      <c r="C3" s="3020"/>
      <c r="D3" s="3020"/>
      <c r="E3" s="3020"/>
      <c r="F3" s="3016"/>
      <c r="I3" s="3436"/>
      <c r="J3" s="3436" t="s">
        <v>2581</v>
      </c>
      <c r="K3" s="3436" t="s">
        <v>2582</v>
      </c>
      <c r="L3" s="3436" t="s">
        <v>2583</v>
      </c>
      <c r="M3" s="3436" t="s">
        <v>2584</v>
      </c>
      <c r="N3" s="3437" t="s">
        <v>2585</v>
      </c>
      <c r="O3" s="3437" t="s">
        <v>2586</v>
      </c>
      <c r="P3" s="3437" t="s">
        <v>2587</v>
      </c>
      <c r="Q3" s="3437" t="s">
        <v>2588</v>
      </c>
      <c r="R3" s="3437" t="s">
        <v>2589</v>
      </c>
    </row>
    <row r="4" spans="1:18">
      <c r="A4" s="3017" t="s">
        <v>2499</v>
      </c>
      <c r="B4" s="3020" t="s">
        <v>2500</v>
      </c>
      <c r="C4" s="3020" t="s">
        <v>2501</v>
      </c>
      <c r="D4" s="3020" t="s">
        <v>2502</v>
      </c>
      <c r="E4" s="3020" t="s">
        <v>2503</v>
      </c>
      <c r="F4" s="3016"/>
      <c r="I4" s="3436" t="s">
        <v>2578</v>
      </c>
      <c r="J4" s="3436">
        <v>80</v>
      </c>
      <c r="K4" s="3436">
        <v>70</v>
      </c>
      <c r="L4" s="3436">
        <v>20</v>
      </c>
      <c r="M4" s="3436">
        <v>30</v>
      </c>
      <c r="N4" s="3020">
        <v>45</v>
      </c>
      <c r="O4" s="3020">
        <v>60</v>
      </c>
      <c r="P4" s="3020">
        <v>50</v>
      </c>
      <c r="Q4" s="3020">
        <v>20</v>
      </c>
      <c r="R4" s="3020">
        <v>375</v>
      </c>
    </row>
    <row r="5" spans="1:18">
      <c r="A5" s="3021">
        <v>40</v>
      </c>
      <c r="B5" s="3018">
        <v>46375</v>
      </c>
      <c r="C5" s="3020">
        <f>ROUNDDOWN(MIN((B5-B3)/365,A5),2)</f>
        <v>2.06</v>
      </c>
      <c r="D5" s="3022">
        <f>IF(ISERROR(ROUND(POWER(1+E5,A5-C5)*(POWER(1+E5,C5)-1)/(POWER(1+E5,A5)-1),3)),0,ROUND(POWER(1+E5,A5-C5)*(POWER(1+E5,C5)-1)/(POWER(1+E5,A5)-1),4))</f>
        <v>9.8000000000000004E-2</v>
      </c>
      <c r="E5" s="3023">
        <v>0.04</v>
      </c>
      <c r="F5" s="3016"/>
      <c r="I5" s="3436" t="s">
        <v>2579</v>
      </c>
      <c r="J5" s="3436">
        <v>70</v>
      </c>
      <c r="K5" s="3436">
        <v>60</v>
      </c>
      <c r="L5" s="3436">
        <v>15</v>
      </c>
      <c r="M5" s="3436">
        <v>25</v>
      </c>
      <c r="N5" s="3020">
        <v>40</v>
      </c>
      <c r="O5" s="3020">
        <v>50</v>
      </c>
      <c r="P5" s="3020">
        <v>40</v>
      </c>
      <c r="Q5" s="3020">
        <v>15</v>
      </c>
      <c r="R5" s="3020">
        <v>315</v>
      </c>
    </row>
    <row r="6" spans="1:18">
      <c r="A6" s="3021">
        <v>50</v>
      </c>
      <c r="B6" s="3018">
        <v>50028</v>
      </c>
      <c r="C6" s="3020">
        <f>ROUNDDOWN(MIN((B6-B3)/365,A6),2)</f>
        <v>12.07</v>
      </c>
      <c r="D6" s="3022">
        <f>IF(ISERROR(ROUND(POWER(1+E6,A6-C6)*(POWER(1+E6,C6)-1)/(POWER(1+E6,A6)-1),3)),0,ROUND(POWER(1+E6,A6-C6)*(POWER(1+E6,C6)-1)/(POWER(1+E6,A6)-1),4))</f>
        <v>0.43890000000000001</v>
      </c>
      <c r="E6" s="3023">
        <v>0.04</v>
      </c>
      <c r="F6" s="3016"/>
      <c r="I6" s="3436" t="s">
        <v>2580</v>
      </c>
      <c r="J6" s="3436">
        <v>60</v>
      </c>
      <c r="K6" s="3436">
        <v>50</v>
      </c>
      <c r="L6" s="3436">
        <v>10</v>
      </c>
      <c r="M6" s="3436">
        <v>20</v>
      </c>
      <c r="N6" s="3020">
        <v>35</v>
      </c>
      <c r="O6" s="3020">
        <v>40</v>
      </c>
      <c r="P6" s="3020">
        <v>30</v>
      </c>
      <c r="Q6" s="3020">
        <v>10</v>
      </c>
      <c r="R6" s="3020">
        <v>255</v>
      </c>
    </row>
    <row r="7" spans="1:18">
      <c r="A7" s="3021">
        <v>70</v>
      </c>
      <c r="B7" s="3018">
        <v>57333</v>
      </c>
      <c r="C7" s="3020">
        <f>ROUNDDOWN(MIN((B7-B3)/365,A7),2)</f>
        <v>32.08</v>
      </c>
      <c r="D7" s="3022">
        <f>IF(ISERROR(ROUND(POWER(1+E7,A7-C7)*(POWER(1+E7,C7)-1)/(POWER(1+E7,A7)-1),3)),0,ROUND(POWER(1+E7,A7-C7)*(POWER(1+E7,C7)-1)/(POWER(1+E7,A7)-1),4))</f>
        <v>0.76500000000000001</v>
      </c>
      <c r="E7" s="3023">
        <v>0.04</v>
      </c>
      <c r="F7" s="3016"/>
    </row>
    <row r="8" spans="1:18">
      <c r="A8" s="3014"/>
      <c r="B8" s="3015"/>
      <c r="C8" s="3015"/>
      <c r="D8" s="3015"/>
      <c r="E8" s="3015"/>
      <c r="F8" s="3016"/>
    </row>
    <row r="9" spans="1:18">
      <c r="A9" s="3017" t="s">
        <v>2504</v>
      </c>
      <c r="B9" s="3020"/>
      <c r="C9" s="3020"/>
      <c r="D9" s="3020"/>
      <c r="E9" s="3020"/>
      <c r="F9" s="3024"/>
    </row>
    <row r="10" spans="1:18">
      <c r="A10" s="3017" t="s">
        <v>2505</v>
      </c>
      <c r="B10" s="3020"/>
      <c r="C10" s="3020"/>
      <c r="D10" s="3020" t="s">
        <v>2503</v>
      </c>
      <c r="E10" s="3020"/>
      <c r="F10" s="3024" t="s">
        <v>2502</v>
      </c>
    </row>
    <row r="11" spans="1:18">
      <c r="A11" s="3017" t="s">
        <v>2506</v>
      </c>
      <c r="B11" s="3025">
        <v>70</v>
      </c>
      <c r="C11" s="3020" t="s">
        <v>2507</v>
      </c>
      <c r="D11" s="3026">
        <v>4.4999999999999998E-2</v>
      </c>
      <c r="E11" s="3020" t="s">
        <v>2508</v>
      </c>
      <c r="F11" s="3027">
        <f>ROUND(1-(1/(POWER(1+D11,B11))),4)</f>
        <v>0.95409999999999995</v>
      </c>
    </row>
    <row r="12" spans="1:18">
      <c r="A12" s="3017" t="s">
        <v>2509</v>
      </c>
      <c r="B12" s="3025">
        <v>40</v>
      </c>
      <c r="C12" s="3020" t="s">
        <v>2510</v>
      </c>
      <c r="D12" s="3026">
        <v>4.4999999999999998E-2</v>
      </c>
      <c r="E12" s="3020" t="s">
        <v>2511</v>
      </c>
      <c r="F12" s="3027">
        <f>ROUND(1-(1/(POWER(1+D12,B12))),4)</f>
        <v>0.82809999999999995</v>
      </c>
    </row>
    <row r="13" spans="1:18">
      <c r="A13" s="3017" t="s">
        <v>2512</v>
      </c>
      <c r="B13" s="3020"/>
      <c r="C13" s="3020"/>
      <c r="D13" s="3015"/>
      <c r="E13" s="3015"/>
      <c r="F13" s="3016"/>
    </row>
    <row r="14" spans="1:18">
      <c r="A14" s="3017" t="s">
        <v>2513</v>
      </c>
      <c r="B14" s="3025">
        <v>5000</v>
      </c>
      <c r="C14" s="3019"/>
      <c r="D14" s="3015"/>
      <c r="E14" s="3015"/>
      <c r="F14" s="3016"/>
    </row>
    <row r="15" spans="1:18">
      <c r="A15" s="3017" t="s">
        <v>2514</v>
      </c>
      <c r="B15" s="3020">
        <f>ROUND(B14*F12/F11,2)</f>
        <v>4339.6899999999996</v>
      </c>
      <c r="C15" s="3020">
        <f>ROUND(F12/F11,4)</f>
        <v>0.8679</v>
      </c>
      <c r="D15" s="3015"/>
      <c r="E15" s="3015"/>
      <c r="F15" s="3016"/>
    </row>
    <row r="16" spans="1:18">
      <c r="A16" s="3017" t="s">
        <v>2515</v>
      </c>
      <c r="B16" s="3020"/>
      <c r="C16" s="3020"/>
      <c r="D16" s="3015"/>
      <c r="E16" s="3015"/>
      <c r="F16" s="3016"/>
    </row>
    <row r="17" spans="1:13">
      <c r="A17" s="3017" t="s">
        <v>2514</v>
      </c>
      <c r="B17" s="3026">
        <v>4810</v>
      </c>
      <c r="C17" s="3019"/>
      <c r="D17" s="3015"/>
      <c r="E17" s="3015"/>
      <c r="F17" s="3016"/>
    </row>
    <row r="18" spans="1:13" ht="15" thickBot="1">
      <c r="A18" s="3028" t="s">
        <v>2513</v>
      </c>
      <c r="B18" s="3029">
        <f>ROUND(B17*F11/F12,2)</f>
        <v>5541.87</v>
      </c>
      <c r="C18" s="3029">
        <f>ROUND(F11/F12,4)</f>
        <v>1.1521999999999999</v>
      </c>
      <c r="D18" s="3030"/>
      <c r="E18" s="3030"/>
      <c r="F18" s="3031"/>
    </row>
    <row r="19" spans="1:13" ht="15" thickBot="1"/>
    <row r="20" spans="1:13" s="3066" customFormat="1" ht="15" thickTop="1">
      <c r="A20" s="3063" t="s">
        <v>2516</v>
      </c>
      <c r="B20" s="3064"/>
      <c r="C20" s="3064"/>
      <c r="D20" s="3064"/>
      <c r="E20" s="3064"/>
      <c r="F20" s="3064"/>
      <c r="G20" s="3065"/>
      <c r="I20" s="3067" t="s">
        <v>2561</v>
      </c>
      <c r="J20" s="3067" t="s">
        <v>2566</v>
      </c>
      <c r="K20" s="3067"/>
      <c r="L20" s="3067"/>
      <c r="M20" s="3067"/>
    </row>
    <row r="21" spans="1:13">
      <c r="A21" s="3032"/>
      <c r="B21" s="3033" t="s">
        <v>2517</v>
      </c>
      <c r="C21" s="3033" t="s">
        <v>2518</v>
      </c>
      <c r="D21" s="3033" t="s">
        <v>2519</v>
      </c>
      <c r="E21" s="3033" t="s">
        <v>2520</v>
      </c>
      <c r="F21" s="3033" t="s">
        <v>2521</v>
      </c>
      <c r="G21" s="3034" t="s">
        <v>2522</v>
      </c>
      <c r="I21" s="3055">
        <v>5</v>
      </c>
      <c r="J21" s="3055">
        <v>54.2</v>
      </c>
    </row>
    <row r="22" spans="1:13">
      <c r="A22" s="3032" t="s">
        <v>2523</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2524</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2564</v>
      </c>
      <c r="M23" s="3055" t="s">
        <v>2565</v>
      </c>
    </row>
    <row r="24" spans="1:13">
      <c r="A24" s="3032" t="s">
        <v>2525</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2563</v>
      </c>
      <c r="M24" s="3055">
        <v>10</v>
      </c>
    </row>
    <row r="25" spans="1:13">
      <c r="A25" s="3032" t="s">
        <v>2526</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2567</v>
      </c>
      <c r="M25" s="3055">
        <v>8</v>
      </c>
    </row>
    <row r="26" spans="1:13">
      <c r="A26" s="3037"/>
      <c r="B26" s="3038"/>
      <c r="C26" s="3038"/>
      <c r="D26" s="3038"/>
      <c r="E26" s="3038"/>
      <c r="F26" s="3038"/>
      <c r="G26" s="3039"/>
      <c r="I26" s="3055">
        <v>30</v>
      </c>
      <c r="J26" s="3055">
        <v>90.5</v>
      </c>
      <c r="K26" s="3055">
        <f t="shared" si="2"/>
        <v>4.2000000000000028</v>
      </c>
      <c r="L26" s="3055" t="s">
        <v>2568</v>
      </c>
      <c r="M26" s="3055">
        <v>5</v>
      </c>
    </row>
    <row r="27" spans="1:13">
      <c r="A27" s="3037" t="s">
        <v>2527</v>
      </c>
      <c r="B27" s="3038"/>
      <c r="C27" s="3038"/>
      <c r="D27" s="3038"/>
      <c r="E27" s="3038"/>
      <c r="F27" s="3038"/>
      <c r="G27" s="3039"/>
      <c r="I27" s="3055">
        <v>35</v>
      </c>
      <c r="J27" s="3055">
        <v>93.8</v>
      </c>
      <c r="K27" s="3055">
        <f t="shared" si="2"/>
        <v>3.2999999999999972</v>
      </c>
      <c r="L27" s="3055" t="s">
        <v>2569</v>
      </c>
      <c r="M27" s="3055">
        <v>3</v>
      </c>
    </row>
    <row r="28" spans="1:13">
      <c r="A28" s="3037" t="s">
        <v>2528</v>
      </c>
      <c r="B28" s="3038"/>
      <c r="C28" s="3038"/>
      <c r="D28" s="3038"/>
      <c r="E28" s="3038"/>
      <c r="F28" s="3038"/>
      <c r="G28" s="3039"/>
      <c r="I28" s="3055">
        <v>40</v>
      </c>
      <c r="J28" s="3055">
        <v>96.4</v>
      </c>
      <c r="K28" s="3055">
        <f t="shared" si="2"/>
        <v>2.6000000000000085</v>
      </c>
      <c r="L28" s="3055" t="s">
        <v>2570</v>
      </c>
      <c r="M28" s="3055">
        <v>2</v>
      </c>
    </row>
    <row r="29" spans="1:13">
      <c r="A29" s="3037" t="s">
        <v>2529</v>
      </c>
      <c r="B29" s="3038"/>
      <c r="C29" s="3038"/>
      <c r="D29" s="3038"/>
      <c r="E29" s="3038"/>
      <c r="F29" s="3038"/>
      <c r="G29" s="3039"/>
      <c r="I29" s="3055">
        <v>45</v>
      </c>
      <c r="J29" s="3055">
        <v>98.4</v>
      </c>
      <c r="K29" s="3055">
        <f t="shared" si="2"/>
        <v>2</v>
      </c>
    </row>
    <row r="30" spans="1:13">
      <c r="A30" s="3037" t="s">
        <v>2530</v>
      </c>
      <c r="B30" s="3038"/>
      <c r="C30" s="3038"/>
      <c r="D30" s="3038"/>
      <c r="E30" s="3038"/>
      <c r="F30" s="3038"/>
      <c r="G30" s="3039"/>
      <c r="I30" s="3055">
        <v>50</v>
      </c>
      <c r="J30" s="3055">
        <v>100</v>
      </c>
      <c r="K30" s="3055">
        <f t="shared" si="2"/>
        <v>1.5999999999999943</v>
      </c>
    </row>
    <row r="31" spans="1:13">
      <c r="A31" s="3037" t="s">
        <v>2531</v>
      </c>
      <c r="B31" s="3038"/>
      <c r="C31" s="3038"/>
      <c r="D31" s="3038"/>
      <c r="E31" s="3038"/>
      <c r="F31" s="3038"/>
      <c r="G31" s="3039"/>
      <c r="I31" s="3055" t="s">
        <v>2562</v>
      </c>
    </row>
    <row r="32" spans="1:13">
      <c r="A32" s="3037" t="s">
        <v>2532</v>
      </c>
      <c r="B32" s="3038"/>
      <c r="C32" s="3038"/>
      <c r="D32" s="3038"/>
      <c r="E32" s="3038"/>
      <c r="F32" s="3038"/>
      <c r="G32" s="3039"/>
    </row>
    <row r="33" spans="1:13">
      <c r="A33" s="3037" t="s">
        <v>2533</v>
      </c>
      <c r="B33" s="3038"/>
      <c r="C33" s="3038"/>
      <c r="D33" s="3038"/>
      <c r="E33" s="3038"/>
      <c r="F33" s="3038"/>
      <c r="G33" s="3039"/>
      <c r="I33" s="3055" t="s">
        <v>2561</v>
      </c>
      <c r="J33" s="3055" t="s">
        <v>2571</v>
      </c>
    </row>
    <row r="34" spans="1:13">
      <c r="A34" s="3037" t="s">
        <v>2534</v>
      </c>
      <c r="B34" s="3038"/>
      <c r="C34" s="3038"/>
      <c r="D34" s="3038"/>
      <c r="E34" s="3038"/>
      <c r="F34" s="3038"/>
      <c r="G34" s="3039"/>
      <c r="I34" s="3055">
        <v>5</v>
      </c>
      <c r="J34" s="3055">
        <v>55.1</v>
      </c>
    </row>
    <row r="35" spans="1:13">
      <c r="A35" s="3037" t="s">
        <v>2535</v>
      </c>
      <c r="B35" s="3038"/>
      <c r="C35" s="3038"/>
      <c r="D35" s="3038"/>
      <c r="E35" s="3038"/>
      <c r="F35" s="3038"/>
      <c r="G35" s="3039"/>
      <c r="I35" s="3055">
        <v>10</v>
      </c>
      <c r="J35" s="3055">
        <v>67</v>
      </c>
      <c r="K35" s="3055">
        <f>J35-J34</f>
        <v>11.899999999999999</v>
      </c>
    </row>
    <row r="36" spans="1:13">
      <c r="A36" s="3037" t="s">
        <v>2536</v>
      </c>
      <c r="B36" s="3038"/>
      <c r="C36" s="3038"/>
      <c r="D36" s="3038"/>
      <c r="E36" s="3038"/>
      <c r="F36" s="3038"/>
      <c r="G36" s="3039"/>
      <c r="I36" s="3055">
        <v>15</v>
      </c>
      <c r="J36" s="3055">
        <v>76.3</v>
      </c>
      <c r="K36" s="3055">
        <f t="shared" ref="K36:K41" si="3">J36-J35</f>
        <v>9.2999999999999972</v>
      </c>
      <c r="L36" s="3055" t="s">
        <v>2564</v>
      </c>
      <c r="M36" s="3055" t="s">
        <v>2565</v>
      </c>
    </row>
    <row r="37" spans="1:13">
      <c r="A37" s="3037" t="s">
        <v>2537</v>
      </c>
      <c r="B37" s="3038"/>
      <c r="C37" s="3038"/>
      <c r="D37" s="3038"/>
      <c r="E37" s="3038"/>
      <c r="F37" s="3038"/>
      <c r="G37" s="3039"/>
      <c r="I37" s="3055">
        <v>20</v>
      </c>
      <c r="J37" s="3055">
        <v>83.6</v>
      </c>
      <c r="K37" s="3055">
        <f t="shared" si="3"/>
        <v>7.2999999999999972</v>
      </c>
      <c r="L37" s="3055" t="s">
        <v>2563</v>
      </c>
      <c r="M37" s="3055">
        <v>10</v>
      </c>
    </row>
    <row r="38" spans="1:13">
      <c r="A38" s="3037" t="s">
        <v>2538</v>
      </c>
      <c r="B38" s="3038"/>
      <c r="C38" s="3038"/>
      <c r="D38" s="3038"/>
      <c r="E38" s="3038"/>
      <c r="F38" s="3038"/>
      <c r="G38" s="3039"/>
      <c r="I38" s="3055">
        <v>25</v>
      </c>
      <c r="J38" s="3055">
        <v>89.3</v>
      </c>
      <c r="K38" s="3055">
        <f t="shared" si="3"/>
        <v>5.7000000000000028</v>
      </c>
      <c r="L38" s="3055" t="s">
        <v>2567</v>
      </c>
      <c r="M38" s="3055">
        <v>8</v>
      </c>
    </row>
    <row r="39" spans="1:13">
      <c r="A39" s="3037"/>
      <c r="B39" s="3038"/>
      <c r="C39" s="3038"/>
      <c r="D39" s="3038"/>
      <c r="E39" s="3038"/>
      <c r="F39" s="3038"/>
      <c r="G39" s="3039"/>
      <c r="I39" s="3055">
        <v>30</v>
      </c>
      <c r="J39" s="3055">
        <v>93.8</v>
      </c>
      <c r="K39" s="3055">
        <f t="shared" si="3"/>
        <v>4.5</v>
      </c>
      <c r="L39" s="3055" t="s">
        <v>2568</v>
      </c>
      <c r="M39" s="3055">
        <v>6</v>
      </c>
    </row>
    <row r="40" spans="1:13">
      <c r="A40" s="3040" t="s">
        <v>2539</v>
      </c>
      <c r="B40" s="3041"/>
      <c r="C40" s="3041"/>
      <c r="D40" s="3041"/>
      <c r="E40" s="3041"/>
      <c r="F40" s="3041"/>
      <c r="G40" s="3042"/>
      <c r="I40" s="3055">
        <v>35</v>
      </c>
      <c r="J40" s="3055">
        <v>97.2</v>
      </c>
      <c r="K40" s="3055">
        <f t="shared" si="3"/>
        <v>3.4000000000000057</v>
      </c>
      <c r="L40" s="3055" t="s">
        <v>2569</v>
      </c>
      <c r="M40" s="3055">
        <v>3</v>
      </c>
    </row>
    <row r="41" spans="1:13">
      <c r="A41" s="3043" t="s">
        <v>2540</v>
      </c>
      <c r="B41" s="3044" t="s">
        <v>2541</v>
      </c>
      <c r="C41" s="3045" t="s">
        <v>2542</v>
      </c>
      <c r="D41" s="3045" t="s">
        <v>2543</v>
      </c>
      <c r="E41" s="3046"/>
      <c r="F41" s="3047"/>
      <c r="G41" s="3048"/>
      <c r="I41" s="3055">
        <v>40</v>
      </c>
      <c r="J41" s="3055">
        <v>100</v>
      </c>
      <c r="K41" s="3055">
        <f t="shared" si="3"/>
        <v>2.7999999999999972</v>
      </c>
    </row>
    <row r="42" spans="1:13">
      <c r="A42" s="3043" t="s">
        <v>2544</v>
      </c>
      <c r="B42" s="3044" t="s">
        <v>2545</v>
      </c>
      <c r="C42" s="3045" t="s">
        <v>2546</v>
      </c>
      <c r="D42" s="3049" t="s">
        <v>2547</v>
      </c>
      <c r="E42" s="3041" t="s">
        <v>2548</v>
      </c>
      <c r="F42" s="3041"/>
      <c r="G42" s="3042"/>
    </row>
    <row r="43" spans="1:13">
      <c r="A43" s="3043" t="s">
        <v>2549</v>
      </c>
      <c r="B43" s="3044" t="s">
        <v>2550</v>
      </c>
      <c r="C43" s="3045" t="s">
        <v>2551</v>
      </c>
      <c r="D43" s="3045" t="s">
        <v>2552</v>
      </c>
      <c r="E43" s="3046" t="s">
        <v>2553</v>
      </c>
      <c r="F43" s="3047"/>
      <c r="G43" s="3048"/>
      <c r="I43" s="3055" t="s">
        <v>2561</v>
      </c>
      <c r="J43" s="3055" t="s">
        <v>2572</v>
      </c>
    </row>
    <row r="44" spans="1:13">
      <c r="A44" s="3043" t="s">
        <v>2554</v>
      </c>
      <c r="B44" s="3044" t="s">
        <v>2555</v>
      </c>
      <c r="C44" s="3045" t="s">
        <v>2556</v>
      </c>
      <c r="D44" s="3049">
        <v>0.5</v>
      </c>
      <c r="E44" s="3046" t="s">
        <v>2557</v>
      </c>
      <c r="F44" s="3047"/>
      <c r="G44" s="3048"/>
      <c r="I44" s="3055">
        <v>30</v>
      </c>
      <c r="J44" s="3055">
        <v>81.7</v>
      </c>
    </row>
    <row r="45" spans="1:13" ht="15" thickBot="1">
      <c r="A45" s="3050" t="s">
        <v>2558</v>
      </c>
      <c r="B45" s="3051" t="s">
        <v>2545</v>
      </c>
      <c r="C45" s="3052" t="s">
        <v>2545</v>
      </c>
      <c r="D45" s="3052" t="s">
        <v>2559</v>
      </c>
      <c r="E45" s="3053" t="s">
        <v>2560</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B8" sqref="B8"/>
    </sheetView>
  </sheetViews>
  <sheetFormatPr defaultColWidth="10" defaultRowHeight="13.2"/>
  <cols>
    <col min="1" max="1" width="16.88671875" style="1744" customWidth="1"/>
    <col min="2" max="2" width="10" style="1744" customWidth="1"/>
    <col min="3" max="3" width="11.44140625" style="1744" customWidth="1"/>
    <col min="4" max="4" width="10" style="1744" customWidth="1"/>
    <col min="5" max="5" width="12.6640625" style="1744" customWidth="1"/>
    <col min="6" max="6" width="10" style="1744" customWidth="1"/>
    <col min="7" max="7" width="10.77734375" style="1744" customWidth="1"/>
    <col min="8" max="8" width="10" style="1744" customWidth="1"/>
    <col min="9" max="9" width="11.109375" style="1578" customWidth="1"/>
    <col min="10" max="10" width="10" style="1742" customWidth="1"/>
    <col min="11" max="11" width="10" style="2625" customWidth="1"/>
    <col min="12" max="13" width="10" style="2626"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8" thickBot="1">
      <c r="A1" s="2365" t="s">
        <v>2166</v>
      </c>
      <c r="B1" s="3525" t="str">
        <f>IF(B10="北京市","北京市",C10)&amp;F10&amp;IF(结果表!G1="在建","出让国有建设用地使用权及在建建筑物",IF(结果表!G1="土地","出让国有建设用地使用权",))&amp;B9&amp;"预评估"</f>
        <v>北京市房地产市场价值预评估</v>
      </c>
      <c r="C1" s="3526"/>
      <c r="D1" s="3526"/>
      <c r="E1" s="3526"/>
      <c r="F1" s="3526"/>
      <c r="G1" s="3526"/>
      <c r="H1" s="3526"/>
      <c r="I1" s="3527"/>
      <c r="J1" s="2469"/>
      <c r="K1" s="2367"/>
      <c r="L1" s="2368"/>
      <c r="M1" s="2368"/>
      <c r="N1" s="2369"/>
      <c r="O1" s="1575"/>
      <c r="P1" s="2369"/>
      <c r="Q1" s="2369"/>
      <c r="R1" s="2369"/>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6" t="s">
        <v>2167</v>
      </c>
      <c r="B2" s="2370"/>
      <c r="C2" s="2371"/>
      <c r="D2" s="2667"/>
      <c r="E2" s="2659"/>
      <c r="F2" s="2659"/>
      <c r="G2" s="2660"/>
      <c r="H2" s="2660"/>
      <c r="I2" s="2660"/>
      <c r="J2" s="2469"/>
      <c r="K2" s="2367"/>
      <c r="L2" s="2368"/>
      <c r="M2" s="2368"/>
      <c r="N2" s="2369"/>
      <c r="O2" s="1575"/>
      <c r="P2" s="2369"/>
      <c r="Q2" s="2369"/>
      <c r="R2" s="2369"/>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2168</v>
      </c>
      <c r="B3" s="2372"/>
      <c r="C3" s="2373" t="s">
        <v>2169</v>
      </c>
      <c r="D3" s="2372">
        <v>45622</v>
      </c>
      <c r="E3" s="2660"/>
      <c r="F3" s="2660"/>
      <c r="G3" s="2660"/>
      <c r="H3" s="2660"/>
      <c r="I3" s="2660"/>
      <c r="J3" s="2469"/>
      <c r="K3" s="2367"/>
      <c r="L3" s="2368"/>
      <c r="M3" s="2368"/>
      <c r="N3" s="2369"/>
      <c r="O3" s="1575"/>
      <c r="P3" s="2369"/>
      <c r="Q3" s="2369"/>
      <c r="R3" s="2369"/>
      <c r="S3" s="1681"/>
      <c r="T3" s="1744"/>
      <c r="U3" s="1744"/>
      <c r="V3" s="1744"/>
      <c r="W3" s="1744"/>
      <c r="X3" s="1744"/>
      <c r="Y3" s="1744"/>
      <c r="Z3" s="1744"/>
      <c r="AA3" s="1744"/>
      <c r="AB3" s="1744"/>
    </row>
    <row r="4" spans="1:30" ht="13.8" thickBot="1">
      <c r="A4" s="1090" t="s">
        <v>2170</v>
      </c>
      <c r="B4" s="2374"/>
      <c r="C4" s="2375">
        <f>SUMIF(注册房地产估价师,B4,估价师及机构信息!B3:B24)</f>
        <v>0</v>
      </c>
      <c r="D4" s="2374"/>
      <c r="E4" s="2376">
        <f>SUMIF(注册房地产估价师,D4,估价师及机构信息!B3:B24)</f>
        <v>0</v>
      </c>
      <c r="F4" s="2374"/>
      <c r="G4" s="2376">
        <f>SUMIF(注册房地产估价师,F4,估价师及机构信息!B3:B24)</f>
        <v>0</v>
      </c>
      <c r="H4" s="2374"/>
      <c r="I4" s="2376">
        <f>SUMIF(注册房地产估价师,H4,估价师及机构信息!B3:B24)</f>
        <v>0</v>
      </c>
      <c r="J4" s="2438"/>
      <c r="K4" s="2377" t="str">
        <f>CONCATENATE(B4,"（注册号：",C4,")、",D4,"（注册号：",E4,")")</f>
        <v>（注册号：0)、（注册号：0)</v>
      </c>
      <c r="L4" s="2368"/>
      <c r="M4" s="2368"/>
      <c r="N4" s="2369"/>
      <c r="O4" s="1575"/>
      <c r="P4" s="2369"/>
      <c r="Q4" s="2369"/>
      <c r="R4" s="2369"/>
      <c r="S4" s="1681"/>
      <c r="T4" s="1744"/>
      <c r="U4" s="1744"/>
      <c r="V4" s="1744"/>
      <c r="W4" s="1744"/>
      <c r="X4" s="1744"/>
      <c r="Y4" s="1744"/>
      <c r="Z4" s="1744"/>
      <c r="AA4" s="1744"/>
      <c r="AB4" s="1744"/>
    </row>
    <row r="5" spans="1:30" ht="13.8" thickTop="1">
      <c r="A5" s="2378" t="s">
        <v>2171</v>
      </c>
      <c r="B5" s="2379"/>
      <c r="C5" s="2380"/>
      <c r="D5" s="2381"/>
      <c r="E5" s="2661"/>
      <c r="F5" s="2661"/>
      <c r="G5" s="2661"/>
      <c r="H5" s="2661"/>
      <c r="I5" s="2661"/>
      <c r="J5" s="2438"/>
      <c r="K5" s="2377" t="str">
        <f>IF(F4="——","",IF(H4="——",F4&amp;"（注册号："&amp;G4&amp;")",CONCATENATE(F4,"（注册号：",G4,")、",H4,"（注册号：",I4,")")))</f>
        <v>（注册号：0)、（注册号：0)</v>
      </c>
      <c r="L5" s="2368"/>
      <c r="M5" s="2368"/>
      <c r="N5" s="2369"/>
      <c r="O5" s="1575"/>
      <c r="P5" s="2369"/>
      <c r="Q5" s="2369"/>
      <c r="R5" s="2369"/>
      <c r="S5" s="1744"/>
      <c r="T5" s="1744"/>
      <c r="U5" s="1744"/>
      <c r="V5" s="1744"/>
      <c r="W5" s="1744"/>
      <c r="X5" s="1744"/>
      <c r="Y5" s="1744"/>
      <c r="Z5" s="1744"/>
      <c r="AA5" s="1744"/>
      <c r="AB5" s="1744"/>
    </row>
    <row r="6" spans="1:30">
      <c r="A6" s="2382" t="s">
        <v>2172</v>
      </c>
      <c r="B6" s="2383"/>
      <c r="C6" s="2384"/>
      <c r="D6" s="2385"/>
      <c r="E6" s="2659"/>
      <c r="F6" s="2661"/>
      <c r="G6" s="2661"/>
      <c r="H6" s="2661"/>
      <c r="I6" s="2661"/>
      <c r="J6" s="2438"/>
      <c r="K6" s="2612" t="str">
        <f>IF(COUNTIF(B6,"*上海银行*"),"上海银行","")</f>
        <v/>
      </c>
      <c r="L6" s="2610"/>
      <c r="M6" s="2610"/>
      <c r="N6" s="2438"/>
      <c r="O6" s="2449"/>
      <c r="P6" s="2438"/>
      <c r="Q6" s="2438"/>
      <c r="R6" s="2438"/>
    </row>
    <row r="7" spans="1:30">
      <c r="A7" s="2382" t="s">
        <v>2173</v>
      </c>
      <c r="B7" s="2386"/>
      <c r="C7" s="2384"/>
      <c r="D7" s="2385"/>
      <c r="E7" s="2659"/>
      <c r="F7" s="2661"/>
      <c r="G7" s="2661"/>
      <c r="H7" s="2661"/>
      <c r="I7" s="2661"/>
      <c r="J7" s="2438"/>
      <c r="K7" s="2613"/>
      <c r="L7" s="2610"/>
      <c r="M7" s="2610"/>
      <c r="N7" s="2438"/>
      <c r="O7" s="2449"/>
      <c r="P7" s="2438"/>
      <c r="Q7" s="2438"/>
      <c r="R7" s="2438"/>
    </row>
    <row r="8" spans="1:30">
      <c r="A8" s="2387" t="s">
        <v>2174</v>
      </c>
      <c r="B8" s="2388" t="s">
        <v>3385</v>
      </c>
      <c r="C8" s="2389"/>
      <c r="D8" s="3528" t="s">
        <v>2175</v>
      </c>
      <c r="E8" s="2390"/>
      <c r="F8" s="2391"/>
      <c r="G8" s="2660"/>
      <c r="H8" s="2660"/>
      <c r="I8" s="2660"/>
      <c r="J8" s="2438"/>
      <c r="K8" s="2611"/>
      <c r="L8" s="2610"/>
      <c r="M8" s="2610"/>
      <c r="N8" s="2438"/>
      <c r="O8" s="2449"/>
      <c r="P8" s="2438"/>
      <c r="Q8" s="2438"/>
      <c r="R8" s="2438"/>
    </row>
    <row r="9" spans="1:30" ht="13.8" thickBot="1">
      <c r="A9" s="2392" t="s">
        <v>2176</v>
      </c>
      <c r="B9" s="2393" t="s">
        <v>3386</v>
      </c>
      <c r="C9" s="2394"/>
      <c r="D9" s="3529"/>
      <c r="E9" s="2393"/>
      <c r="F9" s="2395"/>
      <c r="G9" s="2662"/>
      <c r="H9" s="2662"/>
      <c r="I9" s="2662"/>
      <c r="J9" s="2438"/>
      <c r="K9" s="2613"/>
      <c r="L9" s="2610"/>
      <c r="M9" s="2610"/>
      <c r="N9" s="2438"/>
      <c r="O9" s="2449"/>
      <c r="P9" s="2438"/>
      <c r="Q9" s="2438"/>
      <c r="R9" s="2438"/>
    </row>
    <row r="10" spans="1:30" ht="13.8" thickTop="1">
      <c r="A10" s="2396" t="s">
        <v>2177</v>
      </c>
      <c r="B10" s="2397" t="s">
        <v>3387</v>
      </c>
      <c r="C10" s="2398"/>
      <c r="D10" s="2381"/>
      <c r="E10" s="2399" t="s">
        <v>2178</v>
      </c>
      <c r="F10" s="2663"/>
      <c r="G10" s="2664"/>
      <c r="H10" s="2665"/>
      <c r="I10" s="2666"/>
      <c r="J10" s="2438"/>
      <c r="K10" s="2613"/>
      <c r="L10" s="2610"/>
      <c r="M10" s="2610"/>
      <c r="N10" s="2438"/>
      <c r="O10" s="2449"/>
      <c r="P10" s="2438"/>
      <c r="Q10" s="2438"/>
      <c r="R10" s="2438"/>
    </row>
    <row r="11" spans="1:30">
      <c r="A11" s="2400" t="s">
        <v>2179</v>
      </c>
      <c r="B11" s="2401" t="s">
        <v>3389</v>
      </c>
      <c r="C11" s="2402"/>
      <c r="D11" s="2403"/>
      <c r="E11" s="2369"/>
      <c r="F11" s="2369"/>
      <c r="G11" s="2369"/>
      <c r="H11" s="2369"/>
      <c r="I11" s="2369"/>
      <c r="J11" s="3058"/>
      <c r="K11" s="3057"/>
      <c r="L11" s="2610"/>
      <c r="M11" s="2610"/>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6" t="s">
        <v>2573</v>
      </c>
      <c r="J12" s="3059"/>
      <c r="K12" s="2610"/>
      <c r="L12" s="2610"/>
      <c r="M12" s="2438"/>
      <c r="N12" s="2449"/>
      <c r="O12" s="2438"/>
      <c r="P12" s="2438"/>
      <c r="Q12" s="2438"/>
      <c r="AD12" s="1744"/>
    </row>
    <row r="13" spans="1:30">
      <c r="A13" s="3420" t="s">
        <v>3329</v>
      </c>
      <c r="B13" s="2406" t="s">
        <v>2188</v>
      </c>
      <c r="C13" s="856">
        <v>62243</v>
      </c>
      <c r="D13" s="856"/>
      <c r="E13" s="856"/>
      <c r="F13" s="856"/>
      <c r="G13" s="856"/>
      <c r="H13" s="856"/>
      <c r="I13" s="856"/>
      <c r="J13" s="3059"/>
      <c r="K13" s="2610"/>
      <c r="L13" s="2610"/>
      <c r="M13" s="2438"/>
      <c r="N13" s="2449"/>
      <c r="O13" s="2438"/>
      <c r="P13" s="2438"/>
      <c r="Q13" s="2438"/>
      <c r="AD13" s="1744"/>
    </row>
    <row r="14" spans="1:30">
      <c r="A14" s="1081"/>
      <c r="B14" s="2406" t="s">
        <v>2189</v>
      </c>
      <c r="C14" s="2407">
        <v>70</v>
      </c>
      <c r="D14" s="2407"/>
      <c r="E14" s="2407"/>
      <c r="F14" s="2407"/>
      <c r="G14" s="2407"/>
      <c r="H14" s="2407"/>
      <c r="I14" s="2407"/>
      <c r="J14" s="3060"/>
      <c r="K14" s="2610"/>
      <c r="L14" s="2610"/>
      <c r="M14" s="2438"/>
      <c r="N14" s="2449"/>
      <c r="O14" s="2438"/>
      <c r="P14" s="2438"/>
      <c r="Q14" s="2438"/>
      <c r="AD14" s="1744"/>
    </row>
    <row r="15" spans="1:30">
      <c r="A15" s="320"/>
      <c r="B15" s="2408" t="s">
        <v>2190</v>
      </c>
      <c r="C15" s="2409">
        <f>IF(A13="出让",IF(C13="","",ROUNDDOWN(MIN((C13-$D$3)/365,C14),2)),C14)</f>
        <v>45.53</v>
      </c>
      <c r="D15" s="2409" t="str">
        <f>IF(A13="出让",IF(D13="","",ROUNDDOWN(MIN((D13-$D$3)/365,D14),2)),D14)</f>
        <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1"/>
      <c r="K15" s="2450"/>
      <c r="L15" s="2450"/>
      <c r="M15" s="2506"/>
      <c r="N15" s="2450"/>
      <c r="O15" s="2506"/>
      <c r="P15" s="2438"/>
      <c r="Q15" s="2438"/>
      <c r="AD15" s="1744"/>
    </row>
    <row r="16" spans="1:30">
      <c r="A16" s="2399" t="s">
        <v>2191</v>
      </c>
      <c r="B16" s="3535"/>
      <c r="C16" s="3536"/>
      <c r="D16" s="3537"/>
      <c r="E16" s="2412" t="s">
        <v>2192</v>
      </c>
      <c r="F16" s="3538"/>
      <c r="G16" s="3539"/>
      <c r="H16" s="3539"/>
      <c r="I16" s="3540"/>
      <c r="J16" s="2438"/>
      <c r="K16" s="2614"/>
      <c r="L16" s="2450"/>
      <c r="M16" s="2450"/>
      <c r="N16" s="2506"/>
      <c r="O16" s="2450"/>
      <c r="P16" s="2506"/>
      <c r="Q16" s="2438"/>
      <c r="R16" s="2438"/>
    </row>
    <row r="17" spans="1:28">
      <c r="A17" s="313" t="s">
        <v>2193</v>
      </c>
      <c r="B17" s="302" t="s">
        <v>2194</v>
      </c>
      <c r="C17" s="8">
        <f>'数据-汇总表'!E3</f>
        <v>375.87</v>
      </c>
      <c r="D17" s="2321" t="s">
        <v>2195</v>
      </c>
      <c r="E17" s="3541" t="s">
        <v>2196</v>
      </c>
      <c r="F17" s="3542"/>
      <c r="G17" s="3542"/>
      <c r="H17" s="3542"/>
      <c r="I17" s="3543"/>
      <c r="J17" s="2438"/>
      <c r="K17" s="2615"/>
      <c r="L17" s="2450"/>
      <c r="M17" s="2450"/>
      <c r="N17" s="2506"/>
      <c r="O17" s="2450"/>
      <c r="P17" s="2506"/>
      <c r="Q17" s="2438"/>
      <c r="R17" s="2438"/>
      <c r="S17" s="2438"/>
      <c r="T17" s="2438"/>
      <c r="U17" s="2438"/>
      <c r="V17" s="2438"/>
    </row>
    <row r="18" spans="1:28" ht="24.6" thickBot="1">
      <c r="A18" s="2413" t="s">
        <v>2197</v>
      </c>
      <c r="B18" s="1090" t="s">
        <v>2198</v>
      </c>
      <c r="C18" s="2414">
        <f>'数据-汇总表'!D3</f>
        <v>0</v>
      </c>
      <c r="D18" s="1092" t="s">
        <v>2199</v>
      </c>
      <c r="E18" s="3544" t="s">
        <v>2200</v>
      </c>
      <c r="F18" s="3545"/>
      <c r="G18" s="3545"/>
      <c r="H18" s="3545"/>
      <c r="I18" s="3546"/>
      <c r="J18" s="2438"/>
      <c r="K18" s="2615"/>
      <c r="L18" s="2450"/>
      <c r="M18" s="2450"/>
      <c r="N18" s="2506"/>
      <c r="O18" s="2450"/>
      <c r="P18" s="2506"/>
      <c r="Q18" s="2438"/>
      <c r="R18" s="2438"/>
      <c r="S18" s="2438"/>
      <c r="T18" s="2438"/>
      <c r="U18" s="2438"/>
      <c r="V18" s="2438"/>
    </row>
    <row r="19" spans="1:28" ht="37.200000000000003" thickTop="1" thickBot="1">
      <c r="A19" s="327" t="s">
        <v>1055</v>
      </c>
      <c r="B19" s="307" t="s">
        <v>2201</v>
      </c>
      <c r="C19" s="1562"/>
      <c r="D19" s="1563" t="s">
        <v>2202</v>
      </c>
      <c r="E19" s="1564"/>
      <c r="F19" s="1565" t="str">
        <f>IF(AND(C19="是",E19="否"),"是否提供他项权证或相关说明","")</f>
        <v/>
      </c>
      <c r="G19" s="1566"/>
      <c r="H19" s="2661"/>
      <c r="I19" s="2661"/>
      <c r="J19" s="2438"/>
      <c r="K19" s="2613"/>
      <c r="L19" s="2610"/>
      <c r="M19" s="2610"/>
      <c r="N19" s="2506"/>
      <c r="O19" s="2450"/>
      <c r="P19" s="2506"/>
      <c r="Q19" s="2438"/>
      <c r="R19" s="2438"/>
      <c r="S19" s="2438"/>
      <c r="T19" s="2438"/>
      <c r="U19" s="2438"/>
      <c r="V19" s="2438"/>
    </row>
    <row r="20" spans="1:28">
      <c r="A20" s="2629" t="s">
        <v>2203</v>
      </c>
      <c r="B20" s="3531" t="s">
        <v>2204</v>
      </c>
      <c r="C20" s="3532"/>
      <c r="D20" s="3533" t="s">
        <v>2205</v>
      </c>
      <c r="E20" s="3534"/>
      <c r="F20" s="2644" t="s">
        <v>1056</v>
      </c>
      <c r="G20" s="2661"/>
      <c r="H20" s="2661"/>
      <c r="I20" s="2661"/>
      <c r="J20" s="2438"/>
      <c r="K20" s="3530" t="s">
        <v>2206</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1"/>
      <c r="O20" s="2410"/>
      <c r="P20" s="2411"/>
      <c r="Q20" s="2369"/>
      <c r="R20" s="2369"/>
      <c r="S20" s="2369"/>
      <c r="T20" s="2369"/>
      <c r="U20" s="2369"/>
      <c r="V20" s="2369"/>
      <c r="W20" s="1744"/>
      <c r="X20" s="1744"/>
      <c r="Y20" s="1744"/>
      <c r="Z20" s="1744"/>
      <c r="AA20" s="1744"/>
      <c r="AB20" s="1744"/>
    </row>
    <row r="21" spans="1:28" ht="36.6" thickBot="1">
      <c r="A21" s="2629"/>
      <c r="B21" s="2630" t="s">
        <v>2207</v>
      </c>
      <c r="C21" s="2631" t="s">
        <v>1057</v>
      </c>
      <c r="D21" s="1567" t="s">
        <v>2208</v>
      </c>
      <c r="E21" s="2632" t="s">
        <v>1057</v>
      </c>
      <c r="F21" s="2645"/>
      <c r="G21" s="2661"/>
      <c r="H21" s="2661"/>
      <c r="I21" s="2661"/>
      <c r="J21" s="2438"/>
      <c r="K21" s="353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1"/>
      <c r="O21" s="2410"/>
      <c r="P21" s="2411"/>
      <c r="Q21" s="2369"/>
      <c r="R21" s="2369"/>
      <c r="S21" s="2369"/>
      <c r="T21" s="2369"/>
      <c r="U21" s="2369"/>
      <c r="V21" s="2369"/>
      <c r="W21" s="1744"/>
      <c r="X21" s="1744"/>
      <c r="Y21" s="1744"/>
      <c r="Z21" s="1744"/>
      <c r="AA21" s="1744"/>
      <c r="AB21" s="1744"/>
    </row>
    <row r="22" spans="1:28" ht="36.6" thickBot="1">
      <c r="A22" s="2629"/>
      <c r="B22" s="2633" t="s">
        <v>2209</v>
      </c>
      <c r="C22" s="2631" t="s">
        <v>1058</v>
      </c>
      <c r="D22" s="2660"/>
      <c r="E22" s="2660"/>
      <c r="F22" s="2660"/>
      <c r="G22" s="2661"/>
      <c r="H22" s="2661"/>
      <c r="I22" s="2661"/>
      <c r="J22" s="2438"/>
      <c r="K22" s="353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1"/>
      <c r="O22" s="2410"/>
      <c r="P22" s="2411"/>
      <c r="Q22" s="2369"/>
      <c r="R22" s="2369"/>
      <c r="S22" s="2369"/>
      <c r="T22" s="2369"/>
      <c r="U22" s="2369"/>
      <c r="V22" s="2369"/>
      <c r="W22" s="1744"/>
      <c r="X22" s="1744"/>
      <c r="Y22" s="1744"/>
      <c r="Z22" s="1744"/>
      <c r="AA22" s="1744"/>
      <c r="AB22" s="1744"/>
    </row>
    <row r="23" spans="1:28">
      <c r="A23" s="2634" t="s">
        <v>2210</v>
      </c>
      <c r="B23" s="2499" t="s">
        <v>2211</v>
      </c>
      <c r="C23" s="2635"/>
      <c r="D23" s="2636" t="s">
        <v>2211</v>
      </c>
      <c r="E23" s="2637"/>
      <c r="F23" s="2660"/>
      <c r="G23" s="2661"/>
      <c r="H23" s="2661"/>
      <c r="I23" s="2661"/>
      <c r="J23" s="2438"/>
      <c r="K23" s="2616"/>
      <c r="L23" s="2473"/>
      <c r="M23" s="2610"/>
      <c r="N23" s="2506"/>
      <c r="O23" s="2450"/>
      <c r="P23" s="2506"/>
      <c r="Q23" s="2438"/>
      <c r="R23" s="2438"/>
      <c r="S23" s="2438"/>
      <c r="T23" s="2438"/>
      <c r="U23" s="2438"/>
      <c r="V23" s="2438"/>
    </row>
    <row r="24" spans="1:28">
      <c r="A24" s="2634"/>
      <c r="B24" s="2499" t="s">
        <v>1059</v>
      </c>
      <c r="C24" s="2638"/>
      <c r="D24" s="2634" t="s">
        <v>1059</v>
      </c>
      <c r="E24" s="2639"/>
      <c r="F24" s="2660"/>
      <c r="G24" s="2661"/>
      <c r="H24" s="2661"/>
      <c r="I24" s="2661"/>
      <c r="J24" s="2438"/>
      <c r="K24" s="2616"/>
      <c r="L24" s="2473"/>
      <c r="M24" s="2610"/>
      <c r="N24" s="2506"/>
      <c r="O24" s="2450"/>
      <c r="P24" s="2506"/>
      <c r="Q24" s="2438"/>
      <c r="R24" s="2438"/>
      <c r="S24" s="2438"/>
      <c r="T24" s="2438"/>
      <c r="U24" s="2438"/>
      <c r="V24" s="2438"/>
    </row>
    <row r="25" spans="1:28">
      <c r="A25" s="2634"/>
      <c r="B25" s="2499" t="s">
        <v>1060</v>
      </c>
      <c r="C25" s="2638"/>
      <c r="D25" s="2634" t="s">
        <v>1060</v>
      </c>
      <c r="E25" s="2639"/>
      <c r="F25" s="2660"/>
      <c r="G25" s="2661"/>
      <c r="H25" s="2661"/>
      <c r="I25" s="2661"/>
      <c r="J25" s="2438"/>
      <c r="K25" s="2613"/>
      <c r="L25" s="2610"/>
      <c r="M25" s="2610"/>
      <c r="N25" s="2506"/>
      <c r="O25" s="2450"/>
      <c r="P25" s="2506"/>
      <c r="Q25" s="2438"/>
      <c r="R25" s="2438"/>
      <c r="S25" s="2438"/>
      <c r="T25" s="2438"/>
      <c r="U25" s="2438"/>
      <c r="V25" s="2438"/>
    </row>
    <row r="26" spans="1:28" ht="13.8" thickBot="1">
      <c r="A26" s="2640"/>
      <c r="B26" s="2641" t="s">
        <v>1061</v>
      </c>
      <c r="C26" s="2642"/>
      <c r="D26" s="2640" t="s">
        <v>1061</v>
      </c>
      <c r="E26" s="2643"/>
      <c r="F26" s="2662"/>
      <c r="G26" s="2662"/>
      <c r="H26" s="2662"/>
      <c r="I26" s="2662"/>
      <c r="J26" s="2438"/>
      <c r="K26" s="2613"/>
      <c r="L26" s="2610"/>
      <c r="M26" s="2610"/>
      <c r="N26" s="2506"/>
      <c r="O26" s="2450"/>
      <c r="P26" s="2506"/>
      <c r="Q26" s="2438"/>
      <c r="R26" s="2438"/>
      <c r="S26" s="2438"/>
      <c r="T26" s="2438"/>
      <c r="U26" s="2438"/>
      <c r="V26" s="2438"/>
    </row>
    <row r="27" spans="1:28" ht="13.8" thickTop="1">
      <c r="A27" s="3518" t="s">
        <v>2212</v>
      </c>
      <c r="B27" s="320" t="s">
        <v>2213</v>
      </c>
      <c r="C27" s="2415"/>
      <c r="D27" s="2416"/>
      <c r="E27" s="2661"/>
      <c r="F27" s="2661"/>
      <c r="G27" s="2661"/>
      <c r="H27" s="2661"/>
      <c r="I27" s="2661"/>
      <c r="J27" s="2438"/>
      <c r="K27" s="2614"/>
      <c r="L27" s="2450"/>
      <c r="M27" s="2450"/>
      <c r="N27" s="2506"/>
      <c r="O27" s="2450"/>
      <c r="P27" s="2506"/>
      <c r="Q27" s="2438"/>
      <c r="R27" s="2438"/>
      <c r="S27" s="2438"/>
      <c r="T27" s="2438"/>
      <c r="U27" s="2438"/>
      <c r="V27" s="2438"/>
    </row>
    <row r="28" spans="1:28">
      <c r="A28" s="3518"/>
      <c r="B28" s="302" t="s">
        <v>2214</v>
      </c>
      <c r="C28" s="2417"/>
      <c r="D28" s="2418"/>
      <c r="E28" s="2661"/>
      <c r="F28" s="2661"/>
      <c r="G28" s="2661"/>
      <c r="H28" s="2661"/>
      <c r="I28" s="2661"/>
      <c r="J28" s="2438"/>
      <c r="K28" s="2613"/>
      <c r="L28" s="2610"/>
      <c r="M28" s="2610"/>
      <c r="N28" s="2438"/>
      <c r="O28" s="2449"/>
      <c r="P28" s="2438"/>
      <c r="Q28" s="2438"/>
      <c r="R28" s="2438"/>
      <c r="S28" s="2438"/>
      <c r="T28" s="2438"/>
      <c r="U28" s="2438"/>
      <c r="V28" s="2438"/>
    </row>
    <row r="29" spans="1:28">
      <c r="A29" s="3518"/>
      <c r="B29" s="302" t="s">
        <v>2215</v>
      </c>
      <c r="C29" s="2419"/>
      <c r="D29" s="2420"/>
      <c r="E29" s="2661"/>
      <c r="F29" s="2661"/>
      <c r="G29" s="2661"/>
      <c r="H29" s="2661"/>
      <c r="I29" s="2661"/>
      <c r="J29" s="2438"/>
      <c r="K29" s="2613"/>
      <c r="L29" s="2610"/>
      <c r="M29" s="2610"/>
      <c r="N29" s="2438"/>
      <c r="O29" s="2449"/>
      <c r="P29" s="2438"/>
      <c r="Q29" s="2438"/>
      <c r="R29" s="2438"/>
      <c r="S29" s="2438"/>
      <c r="T29" s="2438"/>
      <c r="U29" s="2438"/>
      <c r="V29" s="2438"/>
    </row>
    <row r="30" spans="1:28">
      <c r="A30" s="3519"/>
      <c r="B30" s="302" t="s">
        <v>2216</v>
      </c>
      <c r="C30" s="3520"/>
      <c r="D30" s="3521"/>
      <c r="E30" s="2661"/>
      <c r="F30" s="2661"/>
      <c r="G30" s="2661"/>
      <c r="H30" s="2661"/>
      <c r="I30" s="2661"/>
      <c r="J30" s="2438"/>
      <c r="K30" s="2613"/>
      <c r="L30" s="2610"/>
      <c r="M30" s="2610"/>
      <c r="N30" s="2438"/>
      <c r="O30" s="2449"/>
      <c r="P30" s="2438"/>
      <c r="Q30" s="2438"/>
      <c r="R30" s="2438"/>
      <c r="S30" s="2438"/>
      <c r="T30" s="2438"/>
      <c r="U30" s="2438"/>
      <c r="V30" s="2438"/>
    </row>
    <row r="31" spans="1:28">
      <c r="A31" s="3522" t="s">
        <v>2217</v>
      </c>
      <c r="B31" s="2421"/>
      <c r="C31" s="2322" t="str">
        <f>IF(B31="现房","成新及维护状况正常否",IF(B31="在建","工程状态是否正常",IF(B31="土地","是否闲置","-")))</f>
        <v>-</v>
      </c>
      <c r="D31" s="1372"/>
      <c r="E31" s="2422"/>
      <c r="F31" s="2661"/>
      <c r="G31" s="2661"/>
      <c r="H31" s="2661"/>
      <c r="I31" s="2661"/>
      <c r="J31" s="2438"/>
      <c r="K31" s="2612"/>
      <c r="L31" s="2610"/>
      <c r="M31" s="2610"/>
      <c r="N31" s="2438"/>
      <c r="O31" s="2449"/>
      <c r="P31" s="2438"/>
      <c r="Q31" s="2438"/>
      <c r="R31" s="2438"/>
      <c r="S31" s="2438"/>
      <c r="T31" s="2438"/>
      <c r="U31" s="2438"/>
      <c r="V31" s="2438"/>
    </row>
    <row r="32" spans="1:28">
      <c r="A32" s="3523"/>
      <c r="B32" s="2421"/>
      <c r="C32" s="2322" t="str">
        <f>IF(B32="现房","成新及维护状况是否正常",IF(B32="在建","工程状态是否正常",IF(B32="土地","是否闲置","-")))</f>
        <v>-</v>
      </c>
      <c r="D32" s="1372"/>
      <c r="E32" s="2422"/>
      <c r="F32" s="2661"/>
      <c r="G32" s="2661"/>
      <c r="H32" s="2661"/>
      <c r="I32" s="2661"/>
      <c r="J32" s="2438"/>
      <c r="K32" s="2613"/>
      <c r="L32" s="2610"/>
      <c r="M32" s="2610"/>
      <c r="N32" s="2438"/>
      <c r="O32" s="2449"/>
      <c r="P32" s="2438"/>
      <c r="Q32" s="2438"/>
      <c r="R32" s="2438"/>
      <c r="S32" s="2438"/>
      <c r="T32" s="2438"/>
      <c r="U32" s="2438"/>
      <c r="V32" s="2438"/>
    </row>
    <row r="33" spans="1:30">
      <c r="A33" s="3523"/>
      <c r="B33" s="2424"/>
      <c r="C33" s="1589" t="str">
        <f>IF(B33="现房","成新及维护状况是否正常",IF(B33="在建","工程状态是否正常",IF(B33="土地","是否闲置","-")))</f>
        <v>-</v>
      </c>
      <c r="D33" s="1364"/>
      <c r="E33" s="2425"/>
      <c r="F33" s="2661"/>
      <c r="G33" s="2661"/>
      <c r="H33" s="2661"/>
      <c r="I33" s="2661"/>
      <c r="J33" s="2438"/>
      <c r="K33" s="2613"/>
      <c r="L33" s="2610"/>
      <c r="M33" s="2610"/>
      <c r="N33" s="2438"/>
      <c r="O33" s="2449"/>
      <c r="P33" s="2438"/>
      <c r="Q33" s="2438"/>
      <c r="R33" s="2438"/>
      <c r="S33" s="2438"/>
      <c r="T33" s="2438"/>
      <c r="U33" s="2438"/>
      <c r="V33" s="2438"/>
    </row>
    <row r="34" spans="1:30">
      <c r="A34" s="302" t="s">
        <v>2218</v>
      </c>
      <c r="B34" s="2025"/>
      <c r="C34" s="2025"/>
      <c r="D34" s="2025"/>
      <c r="E34" s="2025"/>
      <c r="F34" s="2025"/>
      <c r="G34" s="2025"/>
      <c r="H34" s="2025"/>
      <c r="I34" s="2661"/>
      <c r="J34" s="2438"/>
      <c r="K34" s="2426">
        <f>COUNTIF(B34:H34,"——")</f>
        <v>0</v>
      </c>
      <c r="L34" s="323" t="s">
        <v>2219</v>
      </c>
      <c r="M34" s="323" t="s">
        <v>2220</v>
      </c>
      <c r="N34" s="323" t="s">
        <v>2221</v>
      </c>
      <c r="O34" s="323" t="s">
        <v>2222</v>
      </c>
      <c r="P34" s="323" t="s">
        <v>2223</v>
      </c>
      <c r="Q34" s="323" t="s">
        <v>2224</v>
      </c>
      <c r="R34" s="323" t="s">
        <v>2225</v>
      </c>
      <c r="S34" s="3517" t="s">
        <v>2226</v>
      </c>
      <c r="T34" s="2427" t="str">
        <f>NUMBERSTRING(7-K34,1)&amp;"通"</f>
        <v>七通</v>
      </c>
      <c r="U34" s="2438"/>
      <c r="V34" s="2438"/>
    </row>
    <row r="35" spans="1:30">
      <c r="A35" s="2428"/>
      <c r="B35" s="3524" t="s">
        <v>2227</v>
      </c>
      <c r="C35" s="3524"/>
      <c r="D35" s="3524"/>
      <c r="E35" s="3524"/>
      <c r="F35" s="664">
        <f>C10</f>
        <v>0</v>
      </c>
      <c r="G35" s="2661"/>
      <c r="H35" s="2661"/>
      <c r="I35" s="2661"/>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2" t="s">
        <v>2576</v>
      </c>
      <c r="G36" s="2661"/>
      <c r="H36" s="2661"/>
      <c r="I36" s="2661"/>
      <c r="J36" s="2438"/>
      <c r="K36" s="2613"/>
      <c r="L36" s="2610"/>
      <c r="M36" s="2610"/>
      <c r="N36" s="2438"/>
      <c r="O36" s="2449"/>
      <c r="P36" s="2438"/>
      <c r="Q36" s="2438"/>
      <c r="R36" s="2438"/>
      <c r="S36" s="2438"/>
      <c r="T36" s="2438"/>
      <c r="U36" s="2438"/>
      <c r="V36" s="2438"/>
    </row>
    <row r="37" spans="1:30">
      <c r="A37" s="2627" t="s">
        <v>2228</v>
      </c>
      <c r="B37" s="2430"/>
      <c r="C37" s="2430"/>
      <c r="D37" s="2430" t="s">
        <v>184</v>
      </c>
      <c r="E37" s="2430"/>
      <c r="F37" s="2430"/>
      <c r="G37" s="2661"/>
      <c r="H37" s="2661"/>
      <c r="I37" s="2661"/>
      <c r="J37" s="2438"/>
      <c r="K37" s="2613"/>
      <c r="L37" s="2610"/>
      <c r="M37" s="2610"/>
      <c r="N37" s="2438"/>
      <c r="O37" s="2449"/>
      <c r="P37" s="2438"/>
      <c r="Q37" s="2438"/>
      <c r="R37" s="2438"/>
      <c r="S37" s="2438"/>
      <c r="T37" s="2438"/>
      <c r="U37" s="2438"/>
      <c r="V37" s="2438"/>
    </row>
    <row r="38" spans="1:30" ht="13.8" thickBot="1">
      <c r="A38" s="2628" t="s">
        <v>2229</v>
      </c>
      <c r="B38" s="2431"/>
      <c r="C38" s="2431"/>
      <c r="D38" s="2431" t="s">
        <v>251</v>
      </c>
      <c r="E38" s="2431"/>
      <c r="F38" s="2431"/>
      <c r="G38" s="2662"/>
      <c r="H38" s="2662"/>
      <c r="I38" s="2662"/>
      <c r="J38" s="2438"/>
      <c r="K38" s="2613"/>
      <c r="L38" s="2610"/>
      <c r="M38" s="2610"/>
      <c r="N38" s="2438"/>
      <c r="O38" s="2449"/>
      <c r="P38" s="2438"/>
      <c r="Q38" s="2438"/>
      <c r="R38" s="2438"/>
      <c r="S38" s="2438"/>
      <c r="T38" s="2438"/>
      <c r="U38" s="2438"/>
      <c r="V38" s="2438"/>
    </row>
    <row r="39" spans="1:30" s="2434" customFormat="1" ht="14.4" thickTop="1" thickBot="1">
      <c r="A39" s="2432" t="s">
        <v>2230</v>
      </c>
      <c r="B39" s="2433"/>
      <c r="C39" s="2433"/>
      <c r="D39" s="2433"/>
      <c r="E39" s="2433"/>
      <c r="F39" s="2433"/>
      <c r="G39" s="2433"/>
      <c r="H39" s="2433"/>
      <c r="I39" s="2433"/>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9"/>
      <c r="B40" s="2369"/>
      <c r="C40" s="2369"/>
      <c r="D40" s="2369"/>
      <c r="E40" s="2369"/>
      <c r="F40" s="2369"/>
      <c r="G40" s="2369"/>
      <c r="H40" s="2369"/>
      <c r="I40" s="1577"/>
      <c r="J40" s="2506"/>
      <c r="K40" s="2612"/>
      <c r="L40" s="2450"/>
      <c r="M40" s="2450"/>
      <c r="N40" s="2506"/>
      <c r="O40" s="2450"/>
      <c r="P40" s="2438"/>
      <c r="Q40" s="2438"/>
      <c r="R40" s="2438"/>
      <c r="S40" s="2438"/>
      <c r="T40" s="2438"/>
      <c r="U40" s="2438"/>
      <c r="V40" s="2438"/>
    </row>
    <row r="41" spans="1:30">
      <c r="A41" s="2435" t="s">
        <v>2231</v>
      </c>
      <c r="B41" s="1756"/>
      <c r="C41" s="1372"/>
      <c r="D41" s="2369"/>
      <c r="E41" s="2369"/>
      <c r="F41" s="2369"/>
      <c r="G41" s="2369"/>
      <c r="H41" s="2369"/>
      <c r="I41" s="1575"/>
      <c r="J41" s="2438"/>
      <c r="K41" s="2613"/>
      <c r="L41" s="2610"/>
      <c r="M41" s="2610"/>
      <c r="N41" s="2438"/>
      <c r="O41" s="2449"/>
      <c r="P41" s="2438"/>
      <c r="Q41" s="2438"/>
      <c r="R41" s="2438"/>
      <c r="S41" s="2438"/>
      <c r="T41" s="2438"/>
      <c r="U41" s="2438"/>
      <c r="V41" s="2438"/>
    </row>
    <row r="42" spans="1:30" ht="25.2">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8"/>
      <c r="T42" s="2438"/>
      <c r="U42" s="2438"/>
      <c r="V42" s="2438"/>
    </row>
    <row r="43" spans="1:30" s="1742" customFormat="1">
      <c r="A43" s="1569"/>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2" customFormat="1">
      <c r="A44" s="1569"/>
      <c r="B44" s="1569"/>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2" customFormat="1">
      <c r="A45" s="1569"/>
      <c r="B45" s="1569"/>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2" customFormat="1">
      <c r="A46" s="1569"/>
      <c r="B46" s="1569"/>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2" customFormat="1">
      <c r="A47" s="1569"/>
      <c r="B47" s="1569"/>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2" customFormat="1">
      <c r="A48" s="1569"/>
      <c r="B48" s="1569"/>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2" customFormat="1">
      <c r="A49" s="1569"/>
      <c r="B49" s="1569"/>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2" customFormat="1">
      <c r="A50" s="1569"/>
      <c r="B50" s="1569"/>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2" customFormat="1">
      <c r="A51" s="1569"/>
      <c r="B51" s="1569"/>
      <c r="C51" s="1051"/>
      <c r="D51" s="1051"/>
      <c r="E51" s="1051"/>
      <c r="F51" s="1051"/>
      <c r="G51" s="1051"/>
      <c r="H51" s="1051"/>
      <c r="I51" s="1051"/>
      <c r="J51" s="2436"/>
      <c r="K51" s="2437"/>
      <c r="L51" s="2437"/>
      <c r="M51" s="1051"/>
      <c r="N51" s="1051"/>
      <c r="O51" s="1051"/>
      <c r="P51" s="1051"/>
      <c r="Q51" s="1051"/>
      <c r="R51" s="1051"/>
    </row>
    <row r="52" spans="1:22" s="1742" customFormat="1">
      <c r="A52" s="1569"/>
      <c r="B52" s="1569"/>
      <c r="C52" s="1569"/>
      <c r="D52" s="1569"/>
      <c r="E52" s="1569"/>
      <c r="F52" s="1051"/>
      <c r="G52" s="1569"/>
      <c r="H52" s="1569"/>
      <c r="I52" s="1569"/>
      <c r="J52" s="2439"/>
      <c r="K52" s="2437"/>
      <c r="L52" s="2437"/>
      <c r="M52" s="2437"/>
      <c r="N52" s="1569"/>
      <c r="O52" s="1569"/>
      <c r="P52" s="1569"/>
      <c r="Q52" s="1569"/>
      <c r="R52" s="1569"/>
    </row>
    <row r="53" spans="1:22" s="1742" customFormat="1">
      <c r="A53" s="1569"/>
      <c r="B53" s="1569"/>
      <c r="C53" s="1569"/>
      <c r="D53" s="1569"/>
      <c r="E53" s="1569"/>
      <c r="F53" s="1051"/>
      <c r="G53" s="1569"/>
      <c r="H53" s="1569"/>
      <c r="I53" s="1569"/>
      <c r="J53" s="2439"/>
      <c r="K53" s="2437"/>
      <c r="L53" s="2437"/>
      <c r="M53" s="2437"/>
      <c r="N53" s="1569"/>
      <c r="O53" s="1569"/>
      <c r="P53" s="1569"/>
      <c r="Q53" s="1569"/>
      <c r="R53" s="1569"/>
    </row>
    <row r="54" spans="1:22" s="1742" customFormat="1">
      <c r="A54" s="1569"/>
      <c r="B54" s="1569"/>
      <c r="C54" s="1569"/>
      <c r="D54" s="1569"/>
      <c r="E54" s="1569"/>
      <c r="F54" s="1051"/>
      <c r="G54" s="1569"/>
      <c r="H54" s="1569"/>
      <c r="I54" s="1569"/>
      <c r="J54" s="2439"/>
      <c r="K54" s="2437"/>
      <c r="L54" s="2437"/>
      <c r="M54" s="2437"/>
      <c r="N54" s="1569"/>
      <c r="O54" s="1569"/>
      <c r="P54" s="1569"/>
      <c r="Q54" s="1569"/>
      <c r="R54" s="1569"/>
    </row>
    <row r="55" spans="1:22" s="1742" customFormat="1">
      <c r="A55" s="1569"/>
      <c r="B55" s="1569"/>
      <c r="C55" s="1569"/>
      <c r="D55" s="1569"/>
      <c r="E55" s="1569"/>
      <c r="F55" s="1051"/>
      <c r="G55" s="1569"/>
      <c r="H55" s="1569"/>
      <c r="I55" s="1569"/>
      <c r="J55" s="2439"/>
      <c r="K55" s="2437"/>
      <c r="L55" s="2437"/>
      <c r="M55" s="2437"/>
      <c r="N55" s="1569"/>
      <c r="O55" s="1569"/>
      <c r="P55" s="1569"/>
      <c r="Q55" s="1569"/>
      <c r="R55" s="1569"/>
    </row>
    <row r="56" spans="1:22" s="1742" customFormat="1">
      <c r="A56" s="1569"/>
      <c r="B56" s="1569"/>
      <c r="C56" s="1569"/>
      <c r="D56" s="1569"/>
      <c r="E56" s="1569"/>
      <c r="F56" s="1051"/>
      <c r="G56" s="1569"/>
      <c r="H56" s="1569"/>
      <c r="I56" s="1569"/>
      <c r="J56" s="2439"/>
      <c r="K56" s="2437"/>
      <c r="L56" s="2437"/>
      <c r="M56" s="2437"/>
      <c r="N56" s="1569"/>
      <c r="O56" s="1569"/>
      <c r="P56" s="1569"/>
      <c r="Q56" s="1569"/>
      <c r="R56" s="156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50" sqref="J50"/>
    </sheetView>
  </sheetViews>
  <sheetFormatPr defaultColWidth="8.88671875" defaultRowHeight="13.8"/>
  <cols>
    <col min="1" max="1" width="10.6640625" style="1572" customWidth="1"/>
    <col min="2" max="2" width="11" style="1572" customWidth="1"/>
    <col min="3" max="3" width="10.33203125" style="1572" customWidth="1"/>
    <col min="4" max="4" width="9.109375" style="1572" customWidth="1"/>
    <col min="5" max="6" width="10" style="1633" customWidth="1"/>
    <col min="7" max="8" width="10" style="1572" customWidth="1"/>
    <col min="9" max="9" width="10.6640625" style="1572" customWidth="1"/>
    <col min="10" max="10" width="9.44140625" style="1572" customWidth="1"/>
    <col min="11" max="11" width="11" style="1572" customWidth="1"/>
    <col min="12" max="14" width="9.44140625" style="1572" customWidth="1"/>
    <col min="15" max="15" width="9.88671875" style="1572" customWidth="1"/>
    <col min="16" max="16" width="9.77734375" style="1572" customWidth="1"/>
    <col min="17" max="17" width="9.33203125" style="1572" customWidth="1"/>
    <col min="18" max="18" width="9.21875" style="1572" customWidth="1"/>
    <col min="19" max="19" width="10.88671875" style="1572" customWidth="1"/>
    <col min="20" max="21" width="10.77734375" style="1572" customWidth="1"/>
    <col min="22" max="22" width="10.88671875" style="1572" customWidth="1"/>
    <col min="23" max="27" width="10.77734375" style="1572" customWidth="1"/>
    <col min="28" max="28" width="10.88671875" style="1572" customWidth="1"/>
    <col min="29" max="29" width="11" style="1572" bestFit="1" customWidth="1"/>
    <col min="30" max="30" width="10" style="1572" bestFit="1" customWidth="1"/>
    <col min="31" max="31" width="9.77734375" style="1572" customWidth="1"/>
    <col min="32" max="46" width="9.44140625" style="1572" customWidth="1"/>
    <col min="47" max="47" width="18.109375" style="1572" customWidth="1"/>
    <col min="48" max="50" width="9.77734375" style="1572" customWidth="1"/>
    <col min="51" max="55" width="10.44140625" style="1572" bestFit="1" customWidth="1"/>
    <col min="56" max="56" width="9.44140625" style="1572" bestFit="1" customWidth="1"/>
    <col min="57" max="63" width="9.109375" style="1572" bestFit="1" customWidth="1"/>
    <col min="64" max="64" width="9.44140625" style="1572" bestFit="1" customWidth="1"/>
    <col min="65" max="65" width="9.109375" style="1572" bestFit="1" customWidth="1"/>
    <col min="66" max="66" width="9.44140625" style="1572" bestFit="1" customWidth="1"/>
    <col min="67" max="69" width="9.109375" style="1572" bestFit="1" customWidth="1"/>
    <col min="70" max="70" width="9.44140625" style="1572" bestFit="1" customWidth="1"/>
    <col min="71" max="71" width="9" style="1572" customWidth="1"/>
    <col min="72" max="72" width="9.109375" style="1572" bestFit="1" customWidth="1"/>
    <col min="73" max="16384" width="8.88671875" style="1572"/>
  </cols>
  <sheetData>
    <row r="1" spans="1:72" ht="21">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3.2">
      <c r="A3" s="10"/>
      <c r="B3" s="11">
        <f>IF(C3="否",G5-AT5,G5)</f>
        <v>375.87</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3.2">
      <c r="A5" s="12" t="s">
        <v>1071</v>
      </c>
      <c r="B5" s="1346"/>
      <c r="C5" s="1346"/>
      <c r="D5" s="1348"/>
      <c r="E5" s="13" t="s">
        <v>0</v>
      </c>
      <c r="F5" s="13">
        <f>SUM(F13:F587)</f>
        <v>0</v>
      </c>
      <c r="G5" s="13">
        <f>SUM(G13:G587)</f>
        <v>375.87</v>
      </c>
      <c r="H5" s="13">
        <f t="shared" ref="H5:AT5" si="0">SUM(H13:H656)</f>
        <v>375.87</v>
      </c>
      <c r="I5" s="13">
        <f t="shared" si="0"/>
        <v>375.87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375.87</v>
      </c>
      <c r="BA5" s="15">
        <f t="shared" si="1"/>
        <v>375.87</v>
      </c>
      <c r="BB5" s="15">
        <f t="shared" si="1"/>
        <v>375.87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3.2">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5.2">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3.2">
      <c r="A9" s="1593"/>
      <c r="B9" s="1593"/>
      <c r="C9" s="1593"/>
      <c r="D9" s="1593"/>
      <c r="E9" s="1593"/>
      <c r="F9" s="1593"/>
      <c r="G9" s="1070"/>
      <c r="H9" s="1601" t="s">
        <v>1091</v>
      </c>
      <c r="I9" s="1602" t="s">
        <v>3390</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3.2">
      <c r="A10" s="1593"/>
      <c r="B10" s="1593"/>
      <c r="C10" s="1593"/>
      <c r="D10" s="1593"/>
      <c r="E10" s="1593"/>
      <c r="F10" s="1593"/>
      <c r="G10" s="1070"/>
      <c r="H10" s="25"/>
      <c r="I10" s="1602" t="s">
        <v>3392</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3.2">
      <c r="A11" s="1593"/>
      <c r="B11" s="1593"/>
      <c r="C11" s="1593"/>
      <c r="D11" s="1593"/>
      <c r="E11" s="1593"/>
      <c r="F11" s="1593"/>
      <c r="G11" s="1070"/>
      <c r="H11" s="1610"/>
      <c r="I11" s="1613"/>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3.2">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f>I11</f>
        <v>0</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3.2">
      <c r="A13" s="1051"/>
      <c r="B13" s="1051">
        <v>3110</v>
      </c>
      <c r="C13" s="1051"/>
      <c r="D13" s="1624" t="s">
        <v>3391</v>
      </c>
      <c r="E13" s="13">
        <f>IF($C$3="是",ROUND($A$3*G13/$B$3,2),ROUND($A$3*(G13-AT13)/$B$3,2))</f>
        <v>0</v>
      </c>
      <c r="F13" s="29"/>
      <c r="G13" s="30">
        <f>H13+AC13+AT13</f>
        <v>375.87</v>
      </c>
      <c r="H13" s="17">
        <f>SUMIF(I$12:AB$12,"总值",I13:AB13)</f>
        <v>375.87</v>
      </c>
      <c r="I13" s="1625">
        <v>375.87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3110</v>
      </c>
      <c r="AX13" s="8">
        <f t="shared" si="6"/>
        <v>0</v>
      </c>
      <c r="AY13" s="1348">
        <f>ROUND($AY$6*AZ13/$AZ$5,2)</f>
        <v>0</v>
      </c>
      <c r="AZ13" s="13">
        <f>BA13+BL13</f>
        <v>375.87</v>
      </c>
      <c r="BA13" s="13">
        <f>SUM(BB13:BK13)</f>
        <v>375.87</v>
      </c>
      <c r="BB13" s="13">
        <f>IF($D13="是",I13-J13,0)</f>
        <v>375.87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3.2">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3.2">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3.2">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3.2">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1875" defaultRowHeight="13.8"/>
  <cols>
    <col min="1" max="1" width="12.109375" style="1637" customWidth="1"/>
    <col min="2" max="2" width="10.21875" style="1637" customWidth="1"/>
    <col min="3" max="3" width="18.44140625" style="1637" customWidth="1"/>
    <col min="4" max="4" width="11.6640625" style="1637" customWidth="1"/>
    <col min="5" max="5" width="13.33203125" style="1637" customWidth="1"/>
    <col min="6" max="8" width="11.44140625" style="1637" customWidth="1"/>
    <col min="9" max="9" width="11.109375" style="1637" customWidth="1"/>
    <col min="10" max="10" width="3.109375" style="2646" customWidth="1"/>
    <col min="11" max="16" width="10" style="1637" customWidth="1"/>
    <col min="17" max="17" width="2.6640625" style="1637" customWidth="1"/>
    <col min="18" max="18" width="9.33203125" style="1637" bestFit="1" customWidth="1"/>
    <col min="19" max="19" width="10.44140625" style="1637" bestFit="1" customWidth="1"/>
    <col min="20" max="16384" width="9.21875" style="1637"/>
  </cols>
  <sheetData>
    <row r="1" spans="1:16" ht="18" thickBot="1">
      <c r="A1" s="1636" t="s">
        <v>1130</v>
      </c>
      <c r="B1" s="1139"/>
      <c r="C1" s="1139"/>
      <c r="D1" s="1139"/>
      <c r="E1" s="1139"/>
      <c r="F1" s="1139"/>
      <c r="G1" s="1139"/>
      <c r="H1" s="1139"/>
      <c r="I1" s="1139"/>
      <c r="J1" s="1139"/>
      <c r="K1" s="1139"/>
      <c r="L1" s="1139"/>
      <c r="M1" s="1139"/>
      <c r="N1" s="1139"/>
      <c r="O1" s="1139"/>
      <c r="P1" s="1139"/>
    </row>
    <row r="2" spans="1:16" ht="14.4">
      <c r="A2" s="3556" t="s">
        <v>1131</v>
      </c>
      <c r="B2" s="3556"/>
      <c r="C2" s="3556"/>
      <c r="D2" s="796" t="s">
        <v>1107</v>
      </c>
      <c r="E2" s="1638" t="s">
        <v>1108</v>
      </c>
      <c r="F2" s="2656"/>
      <c r="G2" s="2647"/>
      <c r="H2" s="2648"/>
      <c r="I2" s="2324" t="s">
        <v>1132</v>
      </c>
      <c r="J2" s="2656"/>
      <c r="K2" s="2656"/>
      <c r="L2" s="2656"/>
      <c r="M2" s="2656"/>
      <c r="N2" s="2658"/>
      <c r="O2" s="2656"/>
      <c r="P2" s="2656"/>
    </row>
    <row r="3" spans="1:16" ht="15" thickBot="1">
      <c r="A3" s="3557" t="s">
        <v>1105</v>
      </c>
      <c r="B3" s="3557"/>
      <c r="C3" s="3557"/>
      <c r="D3" s="43">
        <f>'数据-基础表'!AY6</f>
        <v>0</v>
      </c>
      <c r="E3" s="43">
        <f>'数据-基础表'!AZ5</f>
        <v>375.87</v>
      </c>
      <c r="F3" s="2656"/>
      <c r="G3" s="1145"/>
      <c r="H3" s="1026" t="s">
        <v>1106</v>
      </c>
      <c r="I3" s="855" t="e">
        <f>ROUND('数据-基础表'!B3/'数据-基础表'!A3,2)</f>
        <v>#DIV/0!</v>
      </c>
      <c r="J3" s="2656"/>
      <c r="K3" s="2656"/>
      <c r="L3" s="2656"/>
      <c r="M3" s="2656"/>
      <c r="N3" s="2658"/>
      <c r="O3" s="2656"/>
      <c r="P3" s="2656"/>
    </row>
    <row r="4" spans="1:16" ht="14.4">
      <c r="A4" s="3558"/>
      <c r="B4" s="3559"/>
      <c r="C4" s="3560"/>
      <c r="D4" s="1640" t="s">
        <v>1107</v>
      </c>
      <c r="E4" s="1641" t="s">
        <v>1108</v>
      </c>
      <c r="F4" s="2656"/>
      <c r="G4" s="2649" t="s">
        <v>1133</v>
      </c>
      <c r="H4" s="1026" t="s">
        <v>1113</v>
      </c>
      <c r="I4" s="855" t="e">
        <f>ROUND(SUMIF('数据-基础表'!I9:AS9,"地上",'数据-基础表'!I5:AS5)/'数据-基础表'!A3,2)</f>
        <v>#DIV/0!</v>
      </c>
      <c r="J4" s="2656"/>
      <c r="K4" s="2656"/>
      <c r="L4" s="2656"/>
      <c r="M4" s="2656"/>
      <c r="N4" s="2658"/>
      <c r="O4" s="2656"/>
      <c r="P4" s="2656"/>
    </row>
    <row r="5" spans="1:16" ht="14.4">
      <c r="A5" s="44" t="s">
        <v>1109</v>
      </c>
      <c r="B5" s="3561" t="s">
        <v>1110</v>
      </c>
      <c r="C5" s="3561"/>
      <c r="D5" s="45">
        <f>ROUND($D$3*E5/$E$3,2)</f>
        <v>0</v>
      </c>
      <c r="E5" s="46">
        <f>SUMIF('数据-基础表'!$11:$11,"住宅",'数据-基础表'!$5:$5)</f>
        <v>375.87</v>
      </c>
      <c r="F5" s="2656"/>
      <c r="G5" s="1145"/>
      <c r="H5" s="1026" t="s">
        <v>1106</v>
      </c>
      <c r="I5" s="855" t="e">
        <f>ROUND(E31/D31,2)</f>
        <v>#DIV/0!</v>
      </c>
      <c r="J5" s="2656"/>
      <c r="K5" s="2656"/>
      <c r="L5" s="2656"/>
      <c r="M5" s="2656"/>
      <c r="N5" s="2656"/>
      <c r="O5" s="2656"/>
      <c r="P5" s="2656"/>
    </row>
    <row r="6" spans="1:16" ht="15" thickBot="1">
      <c r="A6" s="1643"/>
      <c r="B6" s="3561" t="s">
        <v>1111</v>
      </c>
      <c r="C6" s="3561"/>
      <c r="D6" s="45">
        <f>ROUND($D$3*E6/$E$3,2)</f>
        <v>0</v>
      </c>
      <c r="E6" s="46">
        <f>E3-E5</f>
        <v>0</v>
      </c>
      <c r="F6" s="2656"/>
      <c r="G6" s="2650" t="s">
        <v>1112</v>
      </c>
      <c r="H6" s="1146" t="s">
        <v>1113</v>
      </c>
      <c r="I6" s="2651" t="e">
        <f>ROUND(F31/D31,2)</f>
        <v>#DIV/0!</v>
      </c>
      <c r="J6" s="2656"/>
      <c r="K6" s="2656"/>
      <c r="L6" s="2656"/>
      <c r="M6" s="2656"/>
      <c r="N6" s="2656"/>
      <c r="O6" s="2656"/>
      <c r="P6" s="2656"/>
    </row>
    <row r="7" spans="1:16" ht="15" thickBot="1">
      <c r="A7" s="3553"/>
      <c r="B7" s="3554"/>
      <c r="C7" s="3555"/>
      <c r="D7" s="1640" t="s">
        <v>1107</v>
      </c>
      <c r="E7" s="1644" t="s">
        <v>1114</v>
      </c>
      <c r="F7" s="2656"/>
      <c r="G7" s="2652" t="s">
        <v>1115</v>
      </c>
      <c r="H7" s="2653"/>
      <c r="I7" s="2654">
        <v>11.72</v>
      </c>
      <c r="J7" s="2656"/>
      <c r="K7" s="2656"/>
      <c r="L7" s="2656"/>
      <c r="M7" s="2656"/>
      <c r="N7" s="2656"/>
      <c r="O7" s="2656"/>
      <c r="P7" s="2656"/>
    </row>
    <row r="8" spans="1:16" ht="14.4">
      <c r="A8" s="44" t="s">
        <v>1116</v>
      </c>
      <c r="B8" s="47" t="s">
        <v>1117</v>
      </c>
      <c r="C8" s="45" t="s">
        <v>1118</v>
      </c>
      <c r="D8" s="45">
        <f t="shared" ref="D8:D15" si="0">ROUND($D$3*E8/$E$3,2)</f>
        <v>0</v>
      </c>
      <c r="E8" s="48">
        <f>SUMIF('数据-基础表'!BB10:BK10,"地上",'数据-基础表'!BB5:BK5)</f>
        <v>375.87</v>
      </c>
      <c r="F8" s="2656"/>
      <c r="G8" s="2657"/>
      <c r="H8" s="2657"/>
      <c r="I8" s="2656"/>
      <c r="J8" s="2656"/>
      <c r="K8" s="2656"/>
      <c r="L8" s="2656"/>
      <c r="M8" s="2656"/>
      <c r="N8" s="2656"/>
      <c r="O8" s="2656"/>
      <c r="P8" s="2656"/>
    </row>
    <row r="9" spans="1:16" ht="14.4">
      <c r="A9" s="1645"/>
      <c r="B9" s="1646"/>
      <c r="C9" s="45" t="s">
        <v>1119</v>
      </c>
      <c r="D9" s="45">
        <f t="shared" si="0"/>
        <v>0</v>
      </c>
      <c r="E9" s="49">
        <v>0</v>
      </c>
      <c r="F9" s="2656"/>
      <c r="G9" s="2657"/>
      <c r="H9" s="2657"/>
      <c r="I9" s="2656"/>
      <c r="J9" s="2656"/>
      <c r="K9" s="2656"/>
      <c r="L9" s="2656"/>
      <c r="M9" s="2656"/>
      <c r="N9" s="2656"/>
      <c r="O9" s="2656"/>
      <c r="P9" s="2656"/>
    </row>
    <row r="10" spans="1:16" ht="14.4">
      <c r="A10" s="1645"/>
      <c r="B10" s="1646"/>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ht="14.4">
      <c r="A11" s="1645"/>
      <c r="B11" s="1646"/>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ht="14.4">
      <c r="A12" s="1645"/>
      <c r="B12" s="1646"/>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ht="14.4">
      <c r="A13" s="1645"/>
      <c r="B13" s="1646"/>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ht="14.4">
      <c r="A14" s="1645"/>
      <c r="B14" s="1646"/>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5"/>
      <c r="B15" s="1646"/>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 thickBot="1">
      <c r="A16" s="1643"/>
      <c r="B16" s="1646"/>
      <c r="C16" s="47" t="s">
        <v>1123</v>
      </c>
      <c r="D16" s="47">
        <f>SUM(D8:D15)</f>
        <v>0</v>
      </c>
      <c r="E16" s="50">
        <f>SUM(E8:E15)</f>
        <v>375.87</v>
      </c>
      <c r="F16" s="2656"/>
      <c r="G16" s="2657"/>
      <c r="H16" s="1647" t="s">
        <v>1135</v>
      </c>
      <c r="I16" s="1648"/>
      <c r="J16" s="1139"/>
      <c r="K16" s="3550" t="s">
        <v>1135</v>
      </c>
      <c r="L16" s="3551"/>
      <c r="M16" s="3551"/>
      <c r="N16" s="3551"/>
      <c r="O16" s="3551"/>
      <c r="P16" s="3552"/>
    </row>
    <row r="17" spans="1:19" ht="14.4">
      <c r="A17" s="1649" t="s">
        <v>1136</v>
      </c>
      <c r="B17" s="1650" t="s">
        <v>1137</v>
      </c>
      <c r="C17" s="1651" t="s">
        <v>1138</v>
      </c>
      <c r="D17" s="1652" t="s">
        <v>1126</v>
      </c>
      <c r="E17" s="1653" t="s">
        <v>1127</v>
      </c>
      <c r="F17" s="1654"/>
      <c r="G17" s="1655"/>
      <c r="H17" s="1656" t="s">
        <v>1139</v>
      </c>
      <c r="I17" s="1657" t="s">
        <v>1124</v>
      </c>
      <c r="J17" s="1139"/>
      <c r="K17" s="3547" t="s">
        <v>1140</v>
      </c>
      <c r="L17" s="3548"/>
      <c r="M17" s="3549"/>
      <c r="N17" s="3547" t="s">
        <v>1141</v>
      </c>
      <c r="O17" s="3548"/>
      <c r="P17" s="3549"/>
      <c r="R17" s="1639" t="s">
        <v>1142</v>
      </c>
      <c r="S17" s="56"/>
    </row>
    <row r="18" spans="1:19" ht="14.4">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ht="14.4">
      <c r="A19" s="1666"/>
      <c r="B19" s="47" t="s">
        <v>1125</v>
      </c>
      <c r="C19" s="3414" t="s">
        <v>3393</v>
      </c>
      <c r="D19" s="45">
        <f>ROUND($D$3*E19/$E$3,2)</f>
        <v>0</v>
      </c>
      <c r="E19" s="53">
        <f t="shared" ref="E19:E26" si="1">SUM(F19:G19)</f>
        <v>375.87</v>
      </c>
      <c r="F19" s="2792">
        <f>'数据-基础表'!I13</f>
        <v>375.87</v>
      </c>
      <c r="G19" s="2793"/>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375.87</v>
      </c>
    </row>
    <row r="20" spans="1:19" ht="14.4">
      <c r="A20" s="1669"/>
      <c r="B20" s="47" t="s">
        <v>1153</v>
      </c>
      <c r="C20" s="3414"/>
      <c r="D20" s="45">
        <f t="shared" ref="D20:D26" si="6">ROUND($D$3*E20/$E$3,2)</f>
        <v>0</v>
      </c>
      <c r="E20" s="53">
        <f t="shared" si="1"/>
        <v>0</v>
      </c>
      <c r="F20" s="2792"/>
      <c r="G20" s="2793"/>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ht="14.4">
      <c r="A21" s="1669"/>
      <c r="B21" s="47" t="s">
        <v>1153</v>
      </c>
      <c r="C21" s="3414"/>
      <c r="D21" s="45">
        <f t="shared" si="6"/>
        <v>0</v>
      </c>
      <c r="E21" s="53">
        <f t="shared" si="1"/>
        <v>0</v>
      </c>
      <c r="F21" s="2792"/>
      <c r="G21" s="2793"/>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ht="14.4">
      <c r="A22" s="1669"/>
      <c r="B22" s="47" t="s">
        <v>1153</v>
      </c>
      <c r="C22" s="3415"/>
      <c r="D22" s="45">
        <f t="shared" si="6"/>
        <v>0</v>
      </c>
      <c r="E22" s="53">
        <f t="shared" si="1"/>
        <v>0</v>
      </c>
      <c r="F22" s="2794"/>
      <c r="G22" s="2795"/>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ht="14.4">
      <c r="A23" s="1669"/>
      <c r="B23" s="47" t="s">
        <v>1153</v>
      </c>
      <c r="C23" s="3415"/>
      <c r="D23" s="45">
        <f>ROUND($D$3*E23/$E$3,2)</f>
        <v>0</v>
      </c>
      <c r="E23" s="53">
        <f>SUM(F23:G23)</f>
        <v>0</v>
      </c>
      <c r="F23" s="2794"/>
      <c r="G23" s="2795"/>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ht="14.4">
      <c r="A24" s="1669"/>
      <c r="B24" s="47" t="s">
        <v>1153</v>
      </c>
      <c r="C24" s="3415"/>
      <c r="D24" s="45">
        <f>ROUND($D$3*E24/$E$3,2)</f>
        <v>0</v>
      </c>
      <c r="E24" s="53">
        <f>SUM(F24:G24)</f>
        <v>0</v>
      </c>
      <c r="F24" s="2794"/>
      <c r="G24" s="2795"/>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ht="14.4">
      <c r="A25" s="1669"/>
      <c r="B25" s="47" t="s">
        <v>1153</v>
      </c>
      <c r="C25" s="3415"/>
      <c r="D25" s="45">
        <f t="shared" si="6"/>
        <v>0</v>
      </c>
      <c r="E25" s="53">
        <f t="shared" si="1"/>
        <v>0</v>
      </c>
      <c r="F25" s="2794"/>
      <c r="G25" s="2795"/>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ht="14.4">
      <c r="A26" s="1669"/>
      <c r="B26" s="47" t="s">
        <v>1153</v>
      </c>
      <c r="C26" s="55"/>
      <c r="D26" s="45">
        <f t="shared" si="6"/>
        <v>0</v>
      </c>
      <c r="E26" s="53">
        <f t="shared" si="1"/>
        <v>0</v>
      </c>
      <c r="F26" s="2794"/>
      <c r="G26" s="2795"/>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 thickBot="1">
      <c r="A27" s="1669"/>
      <c r="B27" s="45"/>
      <c r="C27" s="1672" t="s">
        <v>1154</v>
      </c>
      <c r="D27" s="1140">
        <f>SUM(D19:D26)</f>
        <v>0</v>
      </c>
      <c r="E27" s="1141">
        <f>IF(SUM(E19:E26)='数据-基础表'!BA5,SUM(E19:E26),IF(F27="地上面积有误","面积有误","地下面积有误"))</f>
        <v>375.87</v>
      </c>
      <c r="F27" s="1140">
        <f>IF(SUM(F19:F26)=E8,SUM(F19:F26),"地上面积有误")</f>
        <v>375.87</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375.87</v>
      </c>
    </row>
    <row r="28" spans="1:19" ht="14.4">
      <c r="A28" s="1669"/>
      <c r="B28" s="47" t="s">
        <v>1155</v>
      </c>
      <c r="C28" s="1038"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ht="14.4">
      <c r="A29" s="1669"/>
      <c r="B29" s="47" t="s">
        <v>1155</v>
      </c>
      <c r="C29" s="1673"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4.4">
      <c r="A30" s="1669"/>
      <c r="B30" s="47"/>
      <c r="C30" s="1674" t="s">
        <v>1154</v>
      </c>
      <c r="D30" s="1140">
        <f>SUM(D28:D29)</f>
        <v>0</v>
      </c>
      <c r="E30" s="1140">
        <f>SUM(E28:E29)</f>
        <v>0</v>
      </c>
      <c r="F30" s="1140">
        <f>SUM(F28:F29)</f>
        <v>0</v>
      </c>
      <c r="G30" s="1142">
        <f>SUM(G28:G29)</f>
        <v>0</v>
      </c>
      <c r="H30" s="2656"/>
      <c r="I30" s="2656"/>
      <c r="J30" s="2656"/>
      <c r="K30" s="2656"/>
      <c r="L30" s="2656"/>
      <c r="M30" s="2656"/>
      <c r="N30" s="2656"/>
      <c r="O30" s="2656"/>
      <c r="P30" s="2656"/>
    </row>
    <row r="31" spans="1:19" ht="15" thickBot="1">
      <c r="A31" s="1675"/>
      <c r="B31" s="1676"/>
      <c r="C31" s="835" t="s">
        <v>1158</v>
      </c>
      <c r="D31" s="676">
        <f>D27+D30</f>
        <v>0</v>
      </c>
      <c r="E31" s="676">
        <f>E27+E30</f>
        <v>375.87</v>
      </c>
      <c r="F31" s="677">
        <f>F27+F30</f>
        <v>375.87</v>
      </c>
      <c r="G31" s="678">
        <f>G27+G30</f>
        <v>0</v>
      </c>
      <c r="H31" s="2656"/>
      <c r="I31" s="2656"/>
      <c r="J31" s="2656"/>
      <c r="K31" s="2656"/>
      <c r="L31" s="2656"/>
      <c r="M31" s="2656"/>
      <c r="N31" s="2656"/>
      <c r="O31" s="2656"/>
      <c r="P31" s="2656"/>
    </row>
    <row r="32" spans="1:19" ht="14.4">
      <c r="A32" s="1642"/>
      <c r="B32" s="1642" t="s">
        <v>1159</v>
      </c>
      <c r="C32" s="1642"/>
      <c r="D32" s="1642"/>
      <c r="E32" s="1053">
        <f>SUMIF(C19:C26,"*住宅*",E19:E26)</f>
        <v>375.87</v>
      </c>
      <c r="F32" s="1642"/>
      <c r="G32" s="1642"/>
      <c r="H32" s="2656"/>
      <c r="I32" s="2656"/>
      <c r="J32" s="2656"/>
      <c r="K32" s="2656"/>
      <c r="L32" s="2656"/>
      <c r="M32" s="2656"/>
      <c r="N32" s="2656"/>
      <c r="O32" s="2656"/>
      <c r="P32" s="2656"/>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7" priority="1" stopIfTrue="1" operator="containsText" text="面积有误">
      <formula>NOT(ISERROR(SEARCH("面积有误",E27)))</formula>
    </cfRule>
    <cfRule type="cellIs" dxfId="196" priority="3" stopIfTrue="1" operator="equal">
      <formula>"地下面积有误"</formula>
    </cfRule>
  </conditionalFormatting>
  <conditionalFormatting sqref="F27">
    <cfRule type="cellIs" dxfId="19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6" activePane="bottomRight" state="frozen"/>
      <selection activeCell="C50" sqref="C50"/>
      <selection pane="topRight" activeCell="C50" sqref="C50"/>
      <selection pane="bottomLeft" activeCell="C50" sqref="C50"/>
      <selection pane="bottomRight" activeCell="Q7" sqref="Q7"/>
    </sheetView>
  </sheetViews>
  <sheetFormatPr defaultColWidth="13.77734375" defaultRowHeight="13.2"/>
  <cols>
    <col min="1" max="1" width="20.88671875" style="1744" customWidth="1"/>
    <col min="2" max="2" width="12" style="1681" customWidth="1"/>
    <col min="3" max="3" width="12.77734375" style="1681" customWidth="1"/>
    <col min="4" max="4" width="9.109375" style="1745" customWidth="1"/>
    <col min="5" max="5" width="15" style="1681" bestFit="1" customWidth="1"/>
    <col min="6" max="10" width="8.88671875" style="1681" customWidth="1"/>
    <col min="11" max="12" width="12.33203125" style="1600" customWidth="1"/>
    <col min="13" max="13" width="8.6640625" style="1681" customWidth="1"/>
    <col min="14" max="14" width="11.88671875" style="1681" customWidth="1"/>
    <col min="15" max="15" width="8.44140625" style="1681" customWidth="1"/>
    <col min="16" max="17" width="10.88671875" style="1681" customWidth="1"/>
    <col min="18" max="19" width="12.44140625" style="1681" customWidth="1"/>
    <col min="20" max="20" width="12.109375" style="1681" customWidth="1"/>
    <col min="21" max="21" width="7.44140625" style="1681" customWidth="1"/>
    <col min="22" max="22" width="6.33203125" style="1681" customWidth="1"/>
    <col min="23" max="30" width="6.77734375" style="1681" customWidth="1"/>
    <col min="31" max="31" width="8" style="1681" customWidth="1"/>
    <col min="32" max="34" width="7.21875" style="1681" customWidth="1"/>
    <col min="35" max="39" width="8" style="1681" customWidth="1"/>
    <col min="40" max="40" width="13.77734375" style="1680"/>
    <col min="41" max="41" width="11.6640625" style="1680" customWidth="1"/>
    <col min="42" max="42" width="9.77734375" style="1680" customWidth="1"/>
    <col min="43" max="67" width="13.77734375" style="1680"/>
    <col min="68" max="16384" width="13.77734375" style="1681"/>
  </cols>
  <sheetData>
    <row r="1" spans="1:67" ht="18"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8"/>
      <c r="AO1" s="2668"/>
      <c r="AP1" s="2668"/>
      <c r="AQ1" s="2668"/>
      <c r="AR1" s="2668"/>
    </row>
    <row r="2" spans="1:67" s="1558" customFormat="1" ht="15" thickBot="1">
      <c r="A2" s="1682" t="s">
        <v>1161</v>
      </c>
      <c r="B2" s="1045">
        <f>项目基本情况!D3</f>
        <v>45622</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0"/>
      <c r="AO2" s="2670"/>
      <c r="AP2" s="2670"/>
      <c r="AQ2" s="2670"/>
      <c r="AR2" s="2670"/>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4.4"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0"/>
      <c r="AO3" s="2670"/>
      <c r="AP3" s="2670"/>
      <c r="AQ3" s="2670"/>
      <c r="AR3" s="2670"/>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5"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70"/>
      <c r="AO4" s="2670"/>
      <c r="AP4" s="2670"/>
      <c r="AQ4" s="2670"/>
      <c r="AR4" s="2670"/>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57.6">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3395</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3.8">
      <c r="A6" s="1711" t="str">
        <f>'数据-汇总表'!C19</f>
        <v>住宅</v>
      </c>
      <c r="B6" s="1712" t="str">
        <f>IF(A6=0,"","经营性")</f>
        <v>经营性</v>
      </c>
      <c r="C6" s="1713" t="s">
        <v>3392</v>
      </c>
      <c r="D6" s="858">
        <f>SUMIF(项目基本情况!C$12:I$12,C6,项目基本情况!C$14:I$14)</f>
        <v>70</v>
      </c>
      <c r="E6" s="857">
        <f>IF(B6="","",SUMIF(项目基本情况!C$12:I$12,C6,项目基本情况!C$13:I$13))</f>
        <v>62243</v>
      </c>
      <c r="F6" s="64">
        <f>SUMIF(项目基本情况!C$12:I$12,C6,项目基本情况!C$15:I$15)</f>
        <v>45.53</v>
      </c>
      <c r="G6" s="65">
        <f>IF(ISERROR(ROUND(POWER(1+H6,D6-F6)*(POWER(1+H6,F6)-1)/(POWER(1+H6,D6)-1),3)),0,ROUND(POWER(1+H6,D6-F6)*(POWER(1+H6,F6)-1)/(POWER(1+H6,D6)-1),3))</f>
        <v>0.88900000000000001</v>
      </c>
      <c r="H6" s="732">
        <v>0.04</v>
      </c>
      <c r="I6" s="732">
        <v>4.4999999999999998E-2</v>
      </c>
      <c r="J6" s="66"/>
      <c r="K6" s="1030">
        <f>SUMIF('数据-汇总表'!C$19:C$33,A6,'数据-汇总表'!E$19:E$33)</f>
        <v>375.87</v>
      </c>
      <c r="L6" s="733">
        <v>20000</v>
      </c>
      <c r="M6" s="67">
        <f t="shared" ref="M6:M14" si="0">ROUND(K6*L6/10000,0)</f>
        <v>752</v>
      </c>
      <c r="N6" s="731">
        <v>0.88</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5">
        <v>260</v>
      </c>
      <c r="V6" s="70">
        <v>0.03</v>
      </c>
      <c r="W6" s="70">
        <v>0.1</v>
      </c>
      <c r="X6" s="1040"/>
      <c r="Y6" s="71">
        <f>N6</f>
        <v>0.88</v>
      </c>
      <c r="Z6" s="72"/>
      <c r="AA6" s="66"/>
      <c r="AB6" s="66"/>
      <c r="AC6" s="1040"/>
      <c r="AD6" s="73"/>
      <c r="AE6" s="1041">
        <f ca="1">IF(AN6="",0,SUMIF(INDIRECT("'"&amp;AN6&amp;"'"&amp;"!E:E"),$AE$5,INDIRECT("'"&amp;AN6&amp;"'"&amp;"!F:F")))</f>
        <v>45.53</v>
      </c>
      <c r="AF6" s="1347"/>
      <c r="AG6" s="138">
        <f>IF(AF6="",0,AE6-AF6)</f>
        <v>0</v>
      </c>
      <c r="AH6" s="74">
        <f>'数据-汇总表'!F19</f>
        <v>375.87</v>
      </c>
      <c r="AI6" s="76">
        <v>12</v>
      </c>
      <c r="AJ6" s="77"/>
      <c r="AK6" s="78">
        <v>2E-3</v>
      </c>
      <c r="AL6" s="79">
        <v>1E-3</v>
      </c>
      <c r="AM6" s="80">
        <v>0.01</v>
      </c>
      <c r="AN6" s="1714" t="s">
        <v>3485</v>
      </c>
      <c r="AO6" s="52">
        <f ca="1">SUMIF(INDIRECT("'"&amp;AN6&amp;"'"&amp;"!A:A"),"总价",INDIRECT("'"&amp;AN6&amp;"'"&amp;"!B:B"))</f>
        <v>2667.7177999999999</v>
      </c>
      <c r="AP6" s="1715">
        <f>IF(C6="住宅",K6*L6,0)</f>
        <v>7517400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3.8">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5"/>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3.8">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6"/>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3.8">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5"/>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3.8">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5"/>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3.8">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5"/>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3.8">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5"/>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3.8">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7"/>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4">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8"/>
      <c r="AO14" s="2670"/>
      <c r="AP14" s="2670"/>
      <c r="AQ14" s="2670"/>
      <c r="AR14" s="2670"/>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8.8">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8"/>
      <c r="AO15" s="2670"/>
      <c r="AP15" s="2670"/>
      <c r="AQ15" s="2670"/>
      <c r="AR15" s="2670"/>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 thickBot="1">
      <c r="A16" s="1718" t="s">
        <v>1209</v>
      </c>
      <c r="B16" s="88"/>
      <c r="C16" s="833"/>
      <c r="D16" s="1719"/>
      <c r="E16" s="88"/>
      <c r="F16" s="88"/>
      <c r="G16" s="89">
        <f>ROUND(SUMPRODUCT(G6:G13,K6:K13)/SUMPRODUCT((G6:G13&gt;0)*(K6:K13)),3)</f>
        <v>0.88900000000000001</v>
      </c>
      <c r="H16" s="90">
        <f>ROUND(SUMPRODUCT(H6:H13,K6:K13)/SUMPRODUCT((H6:H13&gt;0)*(K6:K13)),3)</f>
        <v>0.04</v>
      </c>
      <c r="I16" s="91"/>
      <c r="J16" s="91"/>
      <c r="K16" s="92">
        <f>SUM(K6:K15)</f>
        <v>375.87</v>
      </c>
      <c r="L16" s="93">
        <f>ROUND(M16*10000/SUM(K6:K14),0)</f>
        <v>20007</v>
      </c>
      <c r="M16" s="93">
        <f>SUM(M6:M14)</f>
        <v>752</v>
      </c>
      <c r="N16" s="94">
        <f>ROUND(SUMPRODUCT(M6:M14,N6:N14)/M16,3)</f>
        <v>0.88</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8" thickBot="1">
      <c r="A17" s="1720"/>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2668"/>
      <c r="N18" s="2668">
        <f>ROUND(1-(2024-2002)/60,2)</f>
        <v>0.63</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4">
      <c r="A19" s="1721" t="s">
        <v>1211</v>
      </c>
      <c r="B19" s="103"/>
      <c r="C19" s="2796" t="s">
        <v>2299</v>
      </c>
      <c r="D19" s="2673"/>
      <c r="E19" s="2670"/>
      <c r="F19" s="2670"/>
      <c r="G19" s="2670"/>
      <c r="H19" s="2670"/>
      <c r="I19" s="2670"/>
      <c r="J19" s="2670"/>
      <c r="K19" s="2669"/>
      <c r="L19" s="2669"/>
      <c r="M19" s="2668"/>
      <c r="N19" s="2668">
        <f>ROUND(1-(2024-2017)/60,2)</f>
        <v>0.88</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4">
      <c r="A20" s="1722" t="s">
        <v>1212</v>
      </c>
      <c r="B20" s="104">
        <v>2</v>
      </c>
      <c r="C20" s="2797" t="s">
        <v>2297</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4">
      <c r="A21" s="1723"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4">
      <c r="A22" s="1722" t="s">
        <v>1214</v>
      </c>
      <c r="B22" s="105">
        <f>B19+B20</f>
        <v>2</v>
      </c>
      <c r="C22" s="2670"/>
      <c r="D22" s="2673"/>
      <c r="E22" s="2670"/>
      <c r="F22" s="2670"/>
      <c r="G22" s="2670"/>
      <c r="H22" s="2670"/>
      <c r="I22" s="2670"/>
      <c r="J22" s="2670"/>
      <c r="K22" s="2669"/>
      <c r="L22" s="2669"/>
      <c r="M22" s="2668"/>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4">
      <c r="A23" s="1723" t="s">
        <v>1215</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4" t="s">
        <v>1216</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4.4" thickBot="1">
      <c r="A25" s="1556"/>
      <c r="B25" s="1686"/>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2" t="s">
        <v>1217</v>
      </c>
      <c r="B26" s="1725" t="s">
        <v>1218</v>
      </c>
      <c r="C26" s="2674" t="s">
        <v>1219</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7" customFormat="1" ht="28.8">
      <c r="A27" s="1726" t="s">
        <v>1220</v>
      </c>
      <c r="B27" s="107">
        <v>160</v>
      </c>
      <c r="C27" s="2798" t="s">
        <v>2301</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8.8">
      <c r="A28" s="1728" t="s">
        <v>1221</v>
      </c>
      <c r="B28" s="110"/>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9.4" thickBot="1">
      <c r="A29" s="1729" t="s">
        <v>1222</v>
      </c>
      <c r="B29" s="112"/>
      <c r="C29" s="2799" t="s">
        <v>2290</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8.8">
      <c r="A30" s="1730" t="s">
        <v>1223</v>
      </c>
      <c r="B30" s="671">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8.8">
      <c r="A31" s="1728" t="s">
        <v>1224</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9.4" thickBot="1">
      <c r="A32" s="1731" t="s">
        <v>1225</v>
      </c>
      <c r="B32" s="672"/>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4">
      <c r="A33" s="1726" t="s">
        <v>1226</v>
      </c>
      <c r="B33" s="673">
        <v>0.1</v>
      </c>
      <c r="C33" s="2800" t="s">
        <v>3373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4">
      <c r="A34" s="1728" t="s">
        <v>1227</v>
      </c>
      <c r="B34" s="113">
        <v>0.1</v>
      </c>
      <c r="C34" s="2800" t="s">
        <v>2291</v>
      </c>
      <c r="D34" s="2681" t="s">
        <v>2298</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4">
      <c r="A35" s="1728" t="s">
        <v>1228</v>
      </c>
      <c r="B35" s="110">
        <v>200</v>
      </c>
      <c r="C35" s="2800" t="s">
        <v>2292</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0.03</v>
      </c>
      <c r="C36" s="2800" t="s">
        <v>3374</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4">
      <c r="A37" s="1730" t="s">
        <v>1230</v>
      </c>
      <c r="B37" s="115">
        <v>0.03</v>
      </c>
      <c r="C37" s="2800" t="s">
        <v>2293</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4">
      <c r="A38" s="1728" t="s">
        <v>1231</v>
      </c>
      <c r="B38" s="113">
        <v>0.03</v>
      </c>
      <c r="C38" s="2800" t="s">
        <v>2293</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4">
      <c r="A39" s="1731" t="s">
        <v>1232</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28.2" thickBot="1">
      <c r="A40" s="2812" t="s">
        <v>3394</v>
      </c>
      <c r="B40" s="1078">
        <f ca="1">IF(A40="利息：取LPR",存贷款利率!G1,存贷款利率!G1+C40)</f>
        <v>4.7500000000000001E-2</v>
      </c>
      <c r="C40" s="2811">
        <v>1.6500000000000001E-2</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4">
      <c r="A41" s="1726" t="s">
        <v>1233</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4">
      <c r="A42" s="1732" t="s">
        <v>1234</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4">
      <c r="A43" s="1732" t="s">
        <v>1235</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4">
      <c r="A44" s="1733" t="s">
        <v>1236</v>
      </c>
      <c r="B44" s="119">
        <v>7.0000000000000007E-2</v>
      </c>
      <c r="C44" s="2800" t="s">
        <v>2302</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4">
      <c r="A45" s="1733" t="s">
        <v>1237</v>
      </c>
      <c r="B45" s="117">
        <v>0.03</v>
      </c>
      <c r="C45" s="2799" t="s">
        <v>2294</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4">
      <c r="A46" s="1733" t="s">
        <v>1238</v>
      </c>
      <c r="B46" s="117">
        <v>0.02</v>
      </c>
      <c r="C46" s="2799" t="s">
        <v>2295</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4" t="s">
        <v>1239</v>
      </c>
      <c r="B47" s="120"/>
      <c r="C47" s="2802" t="s">
        <v>2303</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4">
      <c r="A48" s="1735" t="s">
        <v>1240</v>
      </c>
      <c r="B48" s="121">
        <v>0.03</v>
      </c>
      <c r="C48" s="2799" t="s">
        <v>2294</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1" t="s">
        <v>1241</v>
      </c>
      <c r="B49" s="117">
        <v>5.0000000000000001E-4</v>
      </c>
      <c r="C49" s="2799" t="s">
        <v>2296</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4">
      <c r="A50" s="1736"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9"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4">
      <c r="A52" s="1736" t="s">
        <v>1244</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8.8">
      <c r="A53" s="1728" t="s">
        <v>1245</v>
      </c>
      <c r="B53" s="1737"/>
      <c r="C53" s="2658" t="s">
        <v>1246</v>
      </c>
      <c r="D53" s="2801" t="s">
        <v>2300</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4">
      <c r="A54" s="1738"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4">
      <c r="A55" s="1738"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4">
      <c r="A56" s="1738"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4">
      <c r="A57" s="1738"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4">
      <c r="A58" s="1738"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4">
      <c r="A59" s="1738" t="s">
        <v>1252</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4">
      <c r="A60" s="1738"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4">
      <c r="A61" s="1738"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4">
      <c r="A62" s="1738"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9"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3"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3"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3"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3"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3"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3.8"/>
  <cols>
    <col min="1" max="1" width="9.44140625" style="1685" customWidth="1"/>
    <col min="2" max="2" width="24.44140625" style="1571" customWidth="1"/>
    <col min="3" max="3" width="24.44140625" style="2507" customWidth="1"/>
    <col min="4" max="4" width="2.6640625" style="2507" customWidth="1"/>
    <col min="5" max="5" width="5.88671875" style="2507" customWidth="1"/>
    <col min="6" max="6" width="27" style="1571" customWidth="1"/>
    <col min="7" max="7" width="27" style="2508" customWidth="1"/>
    <col min="8" max="8" width="11.88671875" style="2488" customWidth="1"/>
    <col min="9" max="9" width="16.77734375" style="2489" customWidth="1"/>
    <col min="10" max="10" width="2.6640625" style="2488" customWidth="1"/>
    <col min="11" max="11" width="11.88671875" style="2488" customWidth="1"/>
    <col min="12" max="12" width="16.77734375" style="2489" customWidth="1"/>
    <col min="13" max="13" width="2.6640625" style="2488" customWidth="1"/>
    <col min="14" max="14" width="11.88671875" style="2488" customWidth="1"/>
    <col min="15" max="15" width="16.77734375" style="2489" customWidth="1"/>
    <col min="16" max="16" width="2.6640625" style="2488" customWidth="1"/>
    <col min="17" max="17" width="11.88671875" style="2488" customWidth="1"/>
    <col min="18" max="18" width="16.77734375" style="2490" customWidth="1"/>
    <col min="19" max="29" width="9" style="799"/>
    <col min="30" max="16384" width="9" style="1685"/>
  </cols>
  <sheetData>
    <row r="1" spans="1:29" s="2456" customFormat="1" ht="18" thickBot="1">
      <c r="A1" s="3562" t="s">
        <v>2282</v>
      </c>
      <c r="B1" s="3563"/>
      <c r="C1" s="3563"/>
      <c r="D1" s="3563"/>
      <c r="E1" s="3563"/>
      <c r="F1" s="3563"/>
      <c r="G1" s="356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2278</v>
      </c>
      <c r="D2" s="2460"/>
      <c r="E2" s="2457"/>
      <c r="F2" s="2461"/>
      <c r="G2" s="2459" t="s">
        <v>2279</v>
      </c>
      <c r="H2" s="799"/>
      <c r="I2" s="799"/>
      <c r="J2" s="799"/>
      <c r="K2" s="799"/>
      <c r="L2" s="799"/>
      <c r="M2" s="799"/>
      <c r="N2" s="799"/>
      <c r="O2" s="799"/>
      <c r="P2" s="799"/>
      <c r="Q2" s="799"/>
      <c r="R2" s="799"/>
    </row>
    <row r="3" spans="1:29" ht="48">
      <c r="A3" s="2440" t="s">
        <v>2280</v>
      </c>
      <c r="B3" s="2462" t="s">
        <v>2250</v>
      </c>
      <c r="C3" s="3449" t="s">
        <v>3480</v>
      </c>
      <c r="D3" s="2463"/>
      <c r="E3" s="2441" t="s">
        <v>2280</v>
      </c>
      <c r="F3" s="2464" t="s">
        <v>2251</v>
      </c>
      <c r="G3" s="2465" t="s">
        <v>2281</v>
      </c>
      <c r="H3" s="799"/>
      <c r="I3" s="799"/>
      <c r="J3" s="799"/>
      <c r="K3" s="799"/>
      <c r="L3" s="799"/>
      <c r="M3" s="799"/>
      <c r="N3" s="799"/>
      <c r="O3" s="799"/>
      <c r="P3" s="799"/>
      <c r="Q3" s="799"/>
      <c r="R3" s="799"/>
    </row>
    <row r="4" spans="1:29" ht="37.200000000000003">
      <c r="A4" s="2441"/>
      <c r="B4" s="323" t="s">
        <v>2252</v>
      </c>
      <c r="C4" s="2466" t="s">
        <v>2253</v>
      </c>
      <c r="D4" s="2463"/>
      <c r="E4" s="2467"/>
      <c r="F4" s="1372" t="s">
        <v>2254</v>
      </c>
      <c r="G4" s="2468" t="s">
        <v>2255</v>
      </c>
      <c r="H4" s="799"/>
      <c r="I4" s="799"/>
      <c r="J4" s="799"/>
      <c r="K4" s="799"/>
      <c r="L4" s="799"/>
      <c r="M4" s="799"/>
      <c r="N4" s="799"/>
      <c r="O4" s="799"/>
      <c r="P4" s="799"/>
      <c r="Q4" s="799"/>
      <c r="R4" s="799"/>
    </row>
    <row r="5" spans="1:29" ht="37.200000000000003">
      <c r="A5" s="2441"/>
      <c r="B5" s="323" t="s">
        <v>2256</v>
      </c>
      <c r="C5" s="2466" t="s">
        <v>2257</v>
      </c>
      <c r="D5" s="2463"/>
      <c r="E5" s="2467"/>
      <c r="F5" s="323" t="s">
        <v>2258</v>
      </c>
      <c r="G5" s="2468" t="s">
        <v>2259</v>
      </c>
      <c r="H5" s="799"/>
      <c r="I5" s="799"/>
      <c r="J5" s="799"/>
      <c r="K5" s="799"/>
      <c r="L5" s="799"/>
      <c r="M5" s="799"/>
      <c r="N5" s="799"/>
      <c r="O5" s="799"/>
      <c r="P5" s="799"/>
      <c r="Q5" s="799"/>
      <c r="R5" s="799"/>
    </row>
    <row r="6" spans="1:29" ht="84">
      <c r="A6" s="2441"/>
      <c r="B6" s="323" t="s">
        <v>2260</v>
      </c>
      <c r="C6" s="3450" t="s">
        <v>3553</v>
      </c>
      <c r="D6" s="2463"/>
      <c r="E6" s="2467"/>
      <c r="F6" s="323" t="s">
        <v>2261</v>
      </c>
      <c r="G6" s="2468" t="s">
        <v>2262</v>
      </c>
      <c r="H6" s="799"/>
      <c r="I6" s="799"/>
      <c r="J6" s="799"/>
      <c r="K6" s="799"/>
      <c r="L6" s="799"/>
      <c r="M6" s="799"/>
      <c r="N6" s="799"/>
      <c r="O6" s="799"/>
      <c r="P6" s="799"/>
      <c r="Q6" s="799"/>
      <c r="R6" s="799"/>
    </row>
    <row r="7" spans="1:29" ht="36.6" thickBot="1">
      <c r="A7" s="2441"/>
      <c r="B7" s="323" t="s">
        <v>2258</v>
      </c>
      <c r="C7" s="2468" t="s">
        <v>2259</v>
      </c>
      <c r="D7" s="2469"/>
      <c r="E7" s="2470"/>
      <c r="F7" s="2471" t="s">
        <v>2263</v>
      </c>
      <c r="G7" s="2472" t="s">
        <v>2264</v>
      </c>
      <c r="H7" s="799"/>
      <c r="I7" s="799"/>
      <c r="J7" s="799"/>
      <c r="K7" s="799"/>
      <c r="L7" s="799"/>
      <c r="M7" s="799"/>
      <c r="N7" s="799"/>
      <c r="O7" s="799"/>
      <c r="P7" s="799"/>
      <c r="Q7" s="799"/>
      <c r="R7" s="799"/>
    </row>
    <row r="8" spans="1:29">
      <c r="A8" s="2441"/>
      <c r="B8" s="323" t="s">
        <v>2261</v>
      </c>
      <c r="C8" s="3450" t="s">
        <v>3481</v>
      </c>
      <c r="D8" s="2469"/>
      <c r="E8" s="2469"/>
      <c r="F8" s="2473"/>
      <c r="G8" s="2473"/>
      <c r="H8" s="799"/>
      <c r="I8" s="799"/>
      <c r="J8" s="799"/>
      <c r="K8" s="799"/>
      <c r="L8" s="799"/>
      <c r="M8" s="799"/>
      <c r="N8" s="799"/>
      <c r="O8" s="799"/>
      <c r="P8" s="799"/>
      <c r="Q8" s="799"/>
      <c r="R8" s="799"/>
    </row>
    <row r="9" spans="1:29" ht="60">
      <c r="A9" s="2441"/>
      <c r="B9" s="323" t="s">
        <v>2265</v>
      </c>
      <c r="C9" s="3451" t="s">
        <v>3551</v>
      </c>
      <c r="D9" s="2463"/>
      <c r="E9" s="2469"/>
      <c r="F9" s="2473"/>
      <c r="G9" s="2473"/>
      <c r="H9" s="799"/>
      <c r="I9" s="799"/>
      <c r="J9" s="799"/>
      <c r="K9" s="799"/>
      <c r="L9" s="799"/>
      <c r="M9" s="799"/>
      <c r="N9" s="799"/>
      <c r="O9" s="799"/>
      <c r="P9" s="799"/>
      <c r="Q9" s="799"/>
      <c r="R9" s="799"/>
    </row>
    <row r="10" spans="1:29" s="2478" customFormat="1" ht="14.4" thickBot="1">
      <c r="A10" s="2442"/>
      <c r="B10" s="2474" t="s">
        <v>2266</v>
      </c>
      <c r="C10" s="3452" t="s">
        <v>3550</v>
      </c>
      <c r="D10" s="2463"/>
      <c r="E10" s="2463"/>
      <c r="F10" s="2473"/>
      <c r="G10" s="2473"/>
      <c r="H10" s="2475"/>
      <c r="I10" s="2476"/>
      <c r="J10" s="2477"/>
      <c r="K10" s="2475"/>
      <c r="L10" s="2476"/>
      <c r="M10" s="2477"/>
      <c r="N10" s="2475"/>
      <c r="O10" s="2476"/>
      <c r="P10" s="2477"/>
      <c r="Q10" s="2475"/>
      <c r="R10" s="2476"/>
      <c r="S10" s="799"/>
      <c r="T10" s="799"/>
      <c r="U10" s="799"/>
      <c r="V10" s="799"/>
      <c r="W10" s="799"/>
      <c r="X10" s="799"/>
      <c r="Y10" s="799"/>
      <c r="Z10" s="799"/>
      <c r="AA10" s="799"/>
      <c r="AB10" s="799"/>
      <c r="AC10" s="799"/>
    </row>
    <row r="11" spans="1:29" s="2478" customFormat="1">
      <c r="A11" s="2479"/>
      <c r="B11" s="2469"/>
      <c r="C11" s="2463"/>
      <c r="D11" s="2463"/>
      <c r="E11" s="2463"/>
      <c r="F11" s="2469"/>
      <c r="G11" s="2480"/>
      <c r="H11" s="2475"/>
      <c r="I11" s="2476"/>
      <c r="J11" s="2477"/>
      <c r="K11" s="2475"/>
      <c r="L11" s="2476"/>
      <c r="M11" s="2477"/>
      <c r="N11" s="2475"/>
      <c r="O11" s="2476"/>
      <c r="P11" s="2477"/>
      <c r="Q11" s="2475"/>
      <c r="R11" s="2476"/>
      <c r="S11" s="799"/>
      <c r="T11" s="799"/>
      <c r="U11" s="799"/>
      <c r="V11" s="799"/>
      <c r="W11" s="799"/>
      <c r="X11" s="799"/>
      <c r="Y11" s="799"/>
      <c r="Z11" s="799"/>
      <c r="AA11" s="799"/>
      <c r="AB11" s="799"/>
      <c r="AC11" s="799"/>
    </row>
    <row r="12" spans="1:29" s="2456" customFormat="1" ht="17.399999999999999">
      <c r="A12" s="2479"/>
      <c r="B12" s="2469"/>
      <c r="C12" s="2463"/>
      <c r="D12" s="2481"/>
      <c r="E12" s="2463"/>
      <c r="F12" s="2469"/>
      <c r="G12" s="2480"/>
      <c r="H12" s="2482"/>
      <c r="I12" s="2483"/>
      <c r="J12" s="2482"/>
      <c r="K12" s="2482"/>
      <c r="L12" s="2484"/>
      <c r="M12" s="2482"/>
      <c r="N12" s="2485"/>
      <c r="O12" s="2486"/>
      <c r="P12" s="2485"/>
      <c r="Q12" s="2485"/>
      <c r="R12" s="2454"/>
      <c r="S12" s="2455"/>
      <c r="T12" s="2455"/>
      <c r="U12" s="2455"/>
      <c r="V12" s="2455"/>
      <c r="W12" s="2455"/>
      <c r="X12" s="2455"/>
      <c r="Y12" s="2455"/>
      <c r="Z12" s="2455"/>
      <c r="AA12" s="2455"/>
      <c r="AB12" s="2455"/>
      <c r="AC12" s="2455"/>
    </row>
    <row r="13" spans="1:29" ht="15" thickBot="1">
      <c r="A13" s="2487" t="s">
        <v>2283</v>
      </c>
      <c r="B13" s="2481"/>
      <c r="C13" s="2481"/>
      <c r="D13" s="2479"/>
      <c r="E13" s="2481"/>
      <c r="F13" s="2481"/>
      <c r="G13" s="2481"/>
    </row>
    <row r="14" spans="1:29" ht="14.4" thickBot="1">
      <c r="A14" s="2491"/>
      <c r="B14" s="2491"/>
      <c r="C14" s="2492" t="s">
        <v>2267</v>
      </c>
      <c r="D14" s="2463"/>
      <c r="E14" s="2493"/>
      <c r="F14" s="2493"/>
      <c r="G14" s="2459" t="s">
        <v>2268</v>
      </c>
    </row>
    <row r="15" spans="1:29" ht="52.8">
      <c r="A15" s="2443" t="s">
        <v>2269</v>
      </c>
      <c r="B15" s="2494" t="s">
        <v>2250</v>
      </c>
      <c r="C15" s="2495" t="str">
        <f>C3</f>
        <v>估价对象周边有梵悦108、使馆壹号院、海晟名苑、万国城MOMA等住宅小区，综合评价居住社区成熟度较好</v>
      </c>
      <c r="D15" s="2463"/>
      <c r="E15" s="2444" t="s">
        <v>2270</v>
      </c>
      <c r="F15" s="2494" t="s">
        <v>2271</v>
      </c>
      <c r="G15" s="2496" t="str">
        <f>G3</f>
        <v>估价对象位于XX开发区，园区建设成熟度XX，产业集聚程度XX</v>
      </c>
    </row>
    <row r="16" spans="1:29" ht="39.6">
      <c r="A16" s="2445"/>
      <c r="B16" s="2497" t="s">
        <v>2252</v>
      </c>
      <c r="C16" s="2498" t="str">
        <f>C4</f>
        <v>估价对象位于XX商圈，周边商业氛围成熟，人流量大，商业繁华度好</v>
      </c>
      <c r="D16" s="2463"/>
      <c r="E16" s="2446"/>
      <c r="F16" s="2499" t="s">
        <v>2254</v>
      </c>
      <c r="G16" s="2500" t="str">
        <f>G4</f>
        <v>估价对象周边道路状况、公共交通通达情况、停车便捷程度，综合评价交通便捷度较好</v>
      </c>
    </row>
    <row r="17" spans="1:18" ht="39.6">
      <c r="A17" s="2445"/>
      <c r="B17" s="2497" t="s">
        <v>2256</v>
      </c>
      <c r="C17" s="2498" t="str">
        <f>C5</f>
        <v>估价对象位于XX商圈，周边办公楼项目较多，入驻率高，办公集聚程度较好</v>
      </c>
      <c r="D17" s="2469"/>
      <c r="E17" s="2446"/>
      <c r="F17" s="2499" t="s">
        <v>2272</v>
      </c>
      <c r="G17" s="2501"/>
    </row>
    <row r="18" spans="1:18" ht="92.4">
      <c r="A18" s="2445"/>
      <c r="B18" s="2499" t="s">
        <v>2260</v>
      </c>
      <c r="C18" s="2500" t="str">
        <f>C6</f>
        <v>估价对象周边有24路、117路、123路、132路、135路、413路、515路等多条公交线路，地铁2号线及13号线换乘站（东直门站），东直门长途汽车站等，综合评价交通便捷度较好</v>
      </c>
      <c r="D18" s="2469"/>
      <c r="E18" s="2446"/>
      <c r="F18" s="2499" t="s">
        <v>2263</v>
      </c>
      <c r="G18" s="2500" t="str">
        <f>G7</f>
        <v>该园区内是否有污染型企业，绿化情况，卫生条件，整体环境状况判断</v>
      </c>
    </row>
    <row r="19" spans="1:18" ht="26.4">
      <c r="A19" s="2445"/>
      <c r="B19" s="2499" t="s">
        <v>2273</v>
      </c>
      <c r="C19" s="2501"/>
      <c r="D19" s="2463"/>
      <c r="E19" s="2446"/>
      <c r="F19" s="323" t="s">
        <v>2258</v>
      </c>
      <c r="G19" s="2500" t="str">
        <f>G5</f>
        <v>估价对象所在区域公共配套设施齐备情况</v>
      </c>
    </row>
    <row r="20" spans="1:18" ht="66">
      <c r="A20" s="2445"/>
      <c r="B20" s="2499" t="s">
        <v>2274</v>
      </c>
      <c r="C20" s="2498" t="str">
        <f>C9</f>
        <v>区域自然环境：亮马河、东城区亮马河公园；人文环境：工人体育场、东直门外清真寺；综合评价环境状况较好</v>
      </c>
      <c r="D20" s="2469"/>
      <c r="E20" s="2446"/>
      <c r="F20" s="323" t="s">
        <v>2261</v>
      </c>
      <c r="G20" s="2500" t="str">
        <f>G6</f>
        <v>估价对象所在区域基础设施水平</v>
      </c>
    </row>
    <row r="21" spans="1:18" ht="26.4">
      <c r="A21" s="2445"/>
      <c r="B21" s="323" t="s">
        <v>2258</v>
      </c>
      <c r="C21" s="2500" t="str">
        <f>C7</f>
        <v>估价对象所在区域公共配套设施齐备情况</v>
      </c>
      <c r="D21" s="2463"/>
      <c r="E21" s="2446"/>
      <c r="F21" s="2499" t="s">
        <v>2275</v>
      </c>
      <c r="G21" s="2502"/>
    </row>
    <row r="22" spans="1:18" ht="13.5" customHeight="1">
      <c r="A22" s="2445"/>
      <c r="B22" s="323" t="s">
        <v>2261</v>
      </c>
      <c r="C22" s="2500" t="str">
        <f>C8</f>
        <v>七通</v>
      </c>
      <c r="D22" s="2463"/>
      <c r="E22" s="2446"/>
      <c r="F22" s="2499" t="s">
        <v>2266</v>
      </c>
      <c r="G22" s="2501"/>
    </row>
    <row r="23" spans="1:18" s="799" customFormat="1" ht="14.4" thickBot="1">
      <c r="A23" s="2445"/>
      <c r="B23" s="2499" t="s">
        <v>2275</v>
      </c>
      <c r="C23" s="2502"/>
      <c r="D23" s="1740"/>
      <c r="E23" s="2447"/>
      <c r="F23" s="2503" t="s">
        <v>2276</v>
      </c>
      <c r="G23" s="2504"/>
      <c r="H23" s="2488"/>
      <c r="I23" s="2489"/>
      <c r="J23" s="2488"/>
      <c r="K23" s="2488"/>
      <c r="L23" s="2489"/>
      <c r="M23" s="2488"/>
      <c r="N23" s="2488"/>
      <c r="O23" s="2489"/>
      <c r="P23" s="2488"/>
      <c r="Q23" s="2488"/>
      <c r="R23" s="2490"/>
    </row>
    <row r="24" spans="1:18" s="799" customFormat="1" ht="14.4" thickBot="1">
      <c r="A24" s="2448"/>
      <c r="B24" s="2503" t="s">
        <v>2277</v>
      </c>
      <c r="C24" s="2505" t="str">
        <f>C10</f>
        <v>城市次干道——胡家园路</v>
      </c>
      <c r="D24" s="1740"/>
      <c r="E24" s="2438"/>
      <c r="F24" s="2438"/>
      <c r="G24" s="2506"/>
      <c r="H24" s="2488"/>
      <c r="I24" s="2489"/>
      <c r="J24" s="2488"/>
      <c r="K24" s="2488"/>
      <c r="L24" s="2489"/>
      <c r="M24" s="2488"/>
      <c r="N24" s="2488"/>
      <c r="O24" s="2489"/>
      <c r="P24" s="2488"/>
      <c r="Q24" s="2488"/>
      <c r="R24" s="2490"/>
    </row>
    <row r="25" spans="1:18" s="799" customFormat="1">
      <c r="B25" s="2488"/>
      <c r="C25" s="2488"/>
      <c r="D25" s="2488"/>
      <c r="H25" s="2488"/>
      <c r="I25" s="2489"/>
      <c r="J25" s="2488"/>
      <c r="K25" s="2488"/>
      <c r="L25" s="2489"/>
      <c r="M25" s="2488"/>
      <c r="N25" s="2488"/>
      <c r="O25" s="2489"/>
      <c r="P25" s="2488"/>
      <c r="Q25" s="2488"/>
      <c r="R25" s="2490"/>
    </row>
    <row r="26" spans="1:18" s="799" customFormat="1">
      <c r="B26" s="2488"/>
      <c r="C26" s="2488"/>
      <c r="D26" s="2488"/>
      <c r="H26" s="2488"/>
      <c r="I26" s="2489"/>
      <c r="J26" s="2488"/>
      <c r="K26" s="2488"/>
      <c r="L26" s="2489"/>
      <c r="M26" s="2488"/>
      <c r="N26" s="2488"/>
      <c r="O26" s="2489"/>
      <c r="P26" s="2488"/>
      <c r="Q26" s="2488"/>
      <c r="R26" s="2490"/>
    </row>
    <row r="27" spans="1:18" s="799" customFormat="1">
      <c r="B27" s="2488"/>
      <c r="C27" s="2488"/>
      <c r="D27" s="2488"/>
      <c r="H27" s="2488"/>
      <c r="I27" s="2489"/>
      <c r="J27" s="2488"/>
      <c r="K27" s="2488"/>
      <c r="L27" s="2489"/>
      <c r="M27" s="2488"/>
      <c r="N27" s="2488"/>
      <c r="O27" s="2489"/>
      <c r="P27" s="2488"/>
      <c r="Q27" s="2488"/>
      <c r="R27" s="2490"/>
    </row>
    <row r="28" spans="1:18" s="799" customFormat="1">
      <c r="B28" s="2488"/>
      <c r="C28" s="2488"/>
      <c r="D28" s="2488"/>
      <c r="H28" s="2488"/>
      <c r="I28" s="2489"/>
      <c r="J28" s="2488"/>
      <c r="K28" s="2488"/>
      <c r="L28" s="2489"/>
      <c r="M28" s="2488"/>
      <c r="N28" s="2488"/>
      <c r="O28" s="2489"/>
      <c r="P28" s="2488"/>
      <c r="Q28" s="2488"/>
      <c r="R28" s="2490"/>
    </row>
    <row r="29" spans="1:18" s="799" customFormat="1">
      <c r="B29" s="2488"/>
      <c r="C29" s="2488"/>
      <c r="D29" s="2488"/>
      <c r="H29" s="2488"/>
      <c r="I29" s="2489"/>
      <c r="J29" s="2488"/>
      <c r="K29" s="2488"/>
      <c r="L29" s="2489"/>
      <c r="M29" s="2488"/>
      <c r="N29" s="2488"/>
      <c r="O29" s="2489"/>
      <c r="P29" s="2488"/>
      <c r="Q29" s="2488"/>
      <c r="R29" s="2490"/>
    </row>
    <row r="30" spans="1:18" s="799" customFormat="1">
      <c r="B30" s="2488"/>
      <c r="C30" s="2488"/>
      <c r="D30" s="2488"/>
      <c r="H30" s="2488"/>
      <c r="I30" s="2489"/>
      <c r="J30" s="2488"/>
      <c r="K30" s="2488"/>
      <c r="L30" s="2489"/>
      <c r="M30" s="2488"/>
      <c r="N30" s="2488"/>
      <c r="O30" s="2489"/>
      <c r="P30" s="2488"/>
      <c r="Q30" s="2488"/>
      <c r="R30" s="2490"/>
    </row>
    <row r="31" spans="1:18" s="799" customFormat="1">
      <c r="B31" s="2488"/>
      <c r="C31" s="2488"/>
      <c r="D31" s="2488"/>
      <c r="H31" s="2488"/>
      <c r="I31" s="2489"/>
      <c r="J31" s="2488"/>
      <c r="K31" s="2488"/>
      <c r="L31" s="2489"/>
      <c r="M31" s="2488"/>
      <c r="N31" s="2488"/>
      <c r="O31" s="2489"/>
      <c r="P31" s="2488"/>
      <c r="Q31" s="2488"/>
      <c r="R31" s="2490"/>
    </row>
    <row r="32" spans="1:18" s="799" customFormat="1">
      <c r="B32" s="2488"/>
      <c r="C32" s="2488"/>
      <c r="D32" s="2488"/>
      <c r="H32" s="2488"/>
      <c r="I32" s="2489"/>
      <c r="J32" s="2488"/>
      <c r="K32" s="2488"/>
      <c r="L32" s="2489"/>
      <c r="M32" s="2488"/>
      <c r="N32" s="2488"/>
      <c r="O32" s="2489"/>
      <c r="P32" s="2488"/>
      <c r="Q32" s="2488"/>
      <c r="R32" s="2490"/>
    </row>
    <row r="33" spans="2:18" s="799" customFormat="1">
      <c r="B33" s="2488"/>
      <c r="C33" s="2488"/>
      <c r="D33" s="2488"/>
      <c r="H33" s="2488"/>
      <c r="I33" s="2489"/>
      <c r="J33" s="2488"/>
      <c r="K33" s="2488"/>
      <c r="L33" s="2489"/>
      <c r="M33" s="2488"/>
      <c r="N33" s="2488"/>
      <c r="O33" s="2489"/>
      <c r="P33" s="2488"/>
      <c r="Q33" s="2488"/>
      <c r="R33" s="2490"/>
    </row>
    <row r="34" spans="2:18" s="799" customFormat="1">
      <c r="B34" s="2488"/>
      <c r="C34" s="2488"/>
      <c r="D34" s="2488"/>
      <c r="H34" s="2488"/>
      <c r="I34" s="2489"/>
      <c r="J34" s="2488"/>
      <c r="K34" s="2488"/>
      <c r="L34" s="2489"/>
      <c r="M34" s="2488"/>
      <c r="N34" s="2488"/>
      <c r="O34" s="2489"/>
      <c r="P34" s="2488"/>
      <c r="Q34" s="2488"/>
      <c r="R34" s="2490"/>
    </row>
    <row r="35" spans="2:18" s="799" customFormat="1">
      <c r="B35" s="2488"/>
      <c r="C35" s="2488"/>
      <c r="D35" s="2488"/>
      <c r="H35" s="2488"/>
      <c r="I35" s="2489"/>
      <c r="J35" s="2488"/>
      <c r="K35" s="2488"/>
      <c r="L35" s="2489"/>
      <c r="M35" s="2488"/>
      <c r="N35" s="2488"/>
      <c r="O35" s="2489"/>
      <c r="P35" s="2488"/>
      <c r="Q35" s="2488"/>
      <c r="R35" s="2490"/>
    </row>
    <row r="36" spans="2:18" s="799" customFormat="1">
      <c r="B36" s="2488"/>
      <c r="C36" s="2488"/>
      <c r="D36" s="2488"/>
      <c r="H36" s="2488"/>
      <c r="I36" s="2489"/>
      <c r="J36" s="2488"/>
      <c r="K36" s="2488"/>
      <c r="L36" s="2489"/>
      <c r="M36" s="2488"/>
      <c r="N36" s="2488"/>
      <c r="O36" s="2489"/>
      <c r="P36" s="2488"/>
      <c r="Q36" s="2488"/>
      <c r="R36" s="2490"/>
    </row>
    <row r="37" spans="2:18" s="799" customFormat="1">
      <c r="B37" s="2488"/>
      <c r="C37" s="2488"/>
      <c r="D37" s="2488"/>
      <c r="H37" s="2488"/>
      <c r="I37" s="2489"/>
      <c r="J37" s="2488"/>
      <c r="K37" s="2488"/>
      <c r="L37" s="2489"/>
      <c r="M37" s="2488"/>
      <c r="N37" s="2488"/>
      <c r="O37" s="2489"/>
      <c r="P37" s="2488"/>
      <c r="Q37" s="2488"/>
      <c r="R37" s="2490"/>
    </row>
    <row r="38" spans="2:18" s="799" customFormat="1">
      <c r="B38" s="2488"/>
      <c r="C38" s="2488"/>
      <c r="D38" s="2488"/>
      <c r="E38" s="2488"/>
      <c r="F38" s="2488"/>
      <c r="G38" s="2489"/>
      <c r="H38" s="2488"/>
      <c r="I38" s="2489"/>
      <c r="J38" s="2488"/>
      <c r="K38" s="2488"/>
      <c r="L38" s="2489"/>
      <c r="M38" s="2488"/>
      <c r="N38" s="2488"/>
      <c r="O38" s="2489"/>
      <c r="P38" s="2488"/>
      <c r="Q38" s="2488"/>
      <c r="R38" s="2490"/>
    </row>
    <row r="39" spans="2:18" s="799" customFormat="1">
      <c r="B39" s="2488"/>
      <c r="C39" s="2488"/>
      <c r="D39" s="2488"/>
      <c r="E39" s="2488"/>
      <c r="F39" s="2488"/>
      <c r="G39" s="2489"/>
      <c r="H39" s="2488"/>
      <c r="I39" s="2489"/>
      <c r="J39" s="2488"/>
      <c r="K39" s="2488"/>
      <c r="L39" s="2489"/>
      <c r="M39" s="2488"/>
      <c r="N39" s="2488"/>
      <c r="O39" s="2489"/>
      <c r="P39" s="2488"/>
      <c r="Q39" s="2488"/>
      <c r="R39" s="2490"/>
    </row>
    <row r="40" spans="2:18" s="799" customFormat="1">
      <c r="B40" s="2488"/>
      <c r="C40" s="2488"/>
      <c r="D40" s="2488"/>
      <c r="E40" s="2488"/>
      <c r="F40" s="2488"/>
      <c r="G40" s="2489"/>
      <c r="H40" s="2488"/>
      <c r="I40" s="2489"/>
      <c r="J40" s="2488"/>
      <c r="K40" s="2488"/>
      <c r="L40" s="2489"/>
      <c r="M40" s="2488"/>
      <c r="N40" s="2488"/>
      <c r="O40" s="2489"/>
      <c r="P40" s="2488"/>
      <c r="Q40" s="2488"/>
      <c r="R40" s="2490"/>
    </row>
    <row r="41" spans="2:18" s="799" customFormat="1">
      <c r="B41" s="2488"/>
      <c r="C41" s="2488"/>
      <c r="D41" s="2488"/>
      <c r="E41" s="2488"/>
      <c r="F41" s="2488"/>
      <c r="G41" s="2489"/>
      <c r="H41" s="2488"/>
      <c r="I41" s="2489"/>
      <c r="J41" s="2488"/>
      <c r="K41" s="2488"/>
      <c r="L41" s="2489"/>
      <c r="M41" s="2488"/>
      <c r="N41" s="2488"/>
      <c r="O41" s="2489"/>
      <c r="P41" s="2488"/>
      <c r="Q41" s="2488"/>
      <c r="R41" s="2490"/>
    </row>
    <row r="42" spans="2:18" s="799" customFormat="1">
      <c r="B42" s="2488"/>
      <c r="C42" s="2488"/>
      <c r="D42" s="2488"/>
      <c r="E42" s="2488"/>
      <c r="F42" s="2488"/>
      <c r="G42" s="2489"/>
      <c r="H42" s="2488"/>
      <c r="I42" s="2489"/>
      <c r="J42" s="2488"/>
      <c r="K42" s="2488"/>
      <c r="L42" s="2489"/>
      <c r="M42" s="2488"/>
      <c r="N42" s="2488"/>
      <c r="O42" s="2489"/>
      <c r="P42" s="2488"/>
      <c r="Q42" s="2488"/>
      <c r="R42" s="2490"/>
    </row>
    <row r="43" spans="2:18" s="799" customFormat="1">
      <c r="B43" s="2488"/>
      <c r="C43" s="2488"/>
      <c r="D43" s="2488"/>
      <c r="E43" s="2488"/>
      <c r="F43" s="2488"/>
      <c r="G43" s="2489"/>
      <c r="H43" s="2488"/>
      <c r="I43" s="2489"/>
      <c r="J43" s="2488"/>
      <c r="K43" s="2488"/>
      <c r="L43" s="2489"/>
      <c r="M43" s="2488"/>
      <c r="N43" s="2488"/>
      <c r="O43" s="2489"/>
      <c r="P43" s="2488"/>
      <c r="Q43" s="2488"/>
      <c r="R43" s="2490"/>
    </row>
    <row r="44" spans="2:18" s="799" customFormat="1">
      <c r="B44" s="2488"/>
      <c r="C44" s="2488"/>
      <c r="D44" s="2488"/>
      <c r="E44" s="2488"/>
      <c r="F44" s="2488"/>
      <c r="G44" s="2489"/>
      <c r="H44" s="2488"/>
      <c r="I44" s="2489"/>
      <c r="J44" s="2488"/>
      <c r="K44" s="2488"/>
      <c r="L44" s="2489"/>
      <c r="M44" s="2488"/>
      <c r="N44" s="2488"/>
      <c r="O44" s="2489"/>
      <c r="P44" s="2488"/>
      <c r="Q44" s="2488"/>
      <c r="R44" s="2490"/>
    </row>
    <row r="45" spans="2:18" s="799" customFormat="1">
      <c r="B45" s="2488"/>
      <c r="C45" s="2488"/>
      <c r="D45" s="2488"/>
      <c r="E45" s="2488"/>
      <c r="F45" s="2488"/>
      <c r="G45" s="2489"/>
      <c r="H45" s="2488"/>
      <c r="I45" s="2489"/>
      <c r="J45" s="2488"/>
      <c r="K45" s="2488"/>
      <c r="L45" s="2489"/>
      <c r="M45" s="2488"/>
      <c r="N45" s="2488"/>
      <c r="O45" s="2489"/>
      <c r="P45" s="2488"/>
      <c r="Q45" s="2488"/>
      <c r="R45" s="2490"/>
    </row>
    <row r="46" spans="2:18" s="799" customFormat="1">
      <c r="B46" s="2488"/>
      <c r="C46" s="2488"/>
      <c r="D46" s="2488"/>
      <c r="E46" s="2488"/>
      <c r="F46" s="2488"/>
      <c r="G46" s="2489"/>
      <c r="H46" s="2488"/>
      <c r="I46" s="2489"/>
      <c r="J46" s="2488"/>
      <c r="K46" s="2488"/>
      <c r="L46" s="2489"/>
      <c r="M46" s="2488"/>
      <c r="N46" s="2488"/>
      <c r="O46" s="2489"/>
      <c r="P46" s="2488"/>
      <c r="Q46" s="2488"/>
      <c r="R46" s="2490"/>
    </row>
    <row r="47" spans="2:18" s="799" customFormat="1">
      <c r="B47" s="2488"/>
      <c r="C47" s="2488"/>
      <c r="D47" s="2488"/>
      <c r="E47" s="2488"/>
      <c r="F47" s="2488"/>
      <c r="G47" s="2489"/>
      <c r="H47" s="2488"/>
      <c r="I47" s="2489"/>
      <c r="J47" s="2488"/>
      <c r="K47" s="2488"/>
      <c r="L47" s="2489"/>
      <c r="M47" s="2488"/>
      <c r="N47" s="2488"/>
      <c r="O47" s="2489"/>
      <c r="P47" s="2488"/>
      <c r="Q47" s="2488"/>
      <c r="R47" s="2490"/>
    </row>
    <row r="48" spans="2:18" s="799" customFormat="1">
      <c r="B48" s="2488"/>
      <c r="C48" s="2488"/>
      <c r="D48" s="2488"/>
      <c r="E48" s="2488"/>
      <c r="F48" s="2488"/>
      <c r="G48" s="2489"/>
      <c r="H48" s="2488"/>
      <c r="I48" s="2489"/>
      <c r="J48" s="2488"/>
      <c r="K48" s="2488"/>
      <c r="L48" s="2489"/>
      <c r="M48" s="2488"/>
      <c r="N48" s="2488"/>
      <c r="O48" s="2489"/>
      <c r="P48" s="2488"/>
      <c r="Q48" s="2488"/>
      <c r="R48" s="2490"/>
    </row>
    <row r="49" spans="2:18" s="799" customFormat="1">
      <c r="B49" s="2488"/>
      <c r="C49" s="2488"/>
      <c r="D49" s="2488"/>
      <c r="E49" s="2488"/>
      <c r="F49" s="2488"/>
      <c r="G49" s="2489"/>
      <c r="H49" s="2488"/>
      <c r="I49" s="2489"/>
      <c r="J49" s="2488"/>
      <c r="K49" s="2488"/>
      <c r="L49" s="2489"/>
      <c r="M49" s="2488"/>
      <c r="N49" s="2488"/>
      <c r="O49" s="2489"/>
      <c r="P49" s="2488"/>
      <c r="Q49" s="2488"/>
      <c r="R49" s="2490"/>
    </row>
    <row r="50" spans="2:18" s="799" customFormat="1">
      <c r="B50" s="2488"/>
      <c r="C50" s="2488"/>
      <c r="D50" s="2488"/>
      <c r="E50" s="2488"/>
      <c r="F50" s="2488"/>
      <c r="G50" s="2489"/>
      <c r="H50" s="2488"/>
      <c r="I50" s="2489"/>
      <c r="J50" s="2488"/>
      <c r="K50" s="2488"/>
      <c r="L50" s="2489"/>
      <c r="M50" s="2488"/>
      <c r="N50" s="2488"/>
      <c r="O50" s="2489"/>
      <c r="P50" s="2488"/>
      <c r="Q50" s="2488"/>
      <c r="R50" s="2490"/>
    </row>
    <row r="51" spans="2:18" s="799" customFormat="1">
      <c r="B51" s="2488"/>
      <c r="C51" s="2488"/>
      <c r="D51" s="2488"/>
      <c r="E51" s="2488"/>
      <c r="F51" s="2488"/>
      <c r="G51" s="2489"/>
      <c r="H51" s="2488"/>
      <c r="I51" s="2489"/>
      <c r="J51" s="2488"/>
      <c r="K51" s="2488"/>
      <c r="L51" s="2489"/>
      <c r="M51" s="2488"/>
      <c r="N51" s="2488"/>
      <c r="O51" s="2489"/>
      <c r="P51" s="2488"/>
      <c r="Q51" s="2488"/>
      <c r="R51" s="2490"/>
    </row>
    <row r="52" spans="2:18" s="799" customFormat="1">
      <c r="B52" s="2488"/>
      <c r="C52" s="2488"/>
      <c r="D52" s="2488"/>
      <c r="E52" s="2488"/>
      <c r="F52" s="2488"/>
      <c r="G52" s="2489"/>
      <c r="H52" s="2488"/>
      <c r="I52" s="2489"/>
      <c r="J52" s="2488"/>
      <c r="K52" s="2488"/>
      <c r="L52" s="2489"/>
      <c r="M52" s="2488"/>
      <c r="N52" s="2488"/>
      <c r="O52" s="2489"/>
      <c r="P52" s="2488"/>
      <c r="Q52" s="2488"/>
      <c r="R52" s="2490"/>
    </row>
    <row r="53" spans="2:18" s="799" customFormat="1">
      <c r="B53" s="2488"/>
      <c r="C53" s="2488"/>
      <c r="D53" s="2488"/>
      <c r="E53" s="2488"/>
      <c r="F53" s="2488"/>
      <c r="G53" s="2489"/>
      <c r="H53" s="2488"/>
      <c r="I53" s="2489"/>
      <c r="J53" s="2488"/>
      <c r="K53" s="2488"/>
      <c r="L53" s="2489"/>
      <c r="M53" s="2488"/>
      <c r="N53" s="2488"/>
      <c r="O53" s="2489"/>
      <c r="P53" s="2488"/>
      <c r="Q53" s="2488"/>
      <c r="R53" s="2490"/>
    </row>
    <row r="54" spans="2:18" s="799" customFormat="1">
      <c r="B54" s="2488"/>
      <c r="C54" s="2488"/>
      <c r="D54" s="2488"/>
      <c r="E54" s="2488"/>
      <c r="F54" s="2488"/>
      <c r="G54" s="2489"/>
      <c r="H54" s="2488"/>
      <c r="I54" s="2489"/>
      <c r="J54" s="2488"/>
      <c r="K54" s="2488"/>
      <c r="L54" s="2489"/>
      <c r="M54" s="2488"/>
      <c r="N54" s="2488"/>
      <c r="O54" s="2489"/>
      <c r="P54" s="2488"/>
      <c r="Q54" s="2488"/>
      <c r="R54" s="2490"/>
    </row>
    <row r="55" spans="2:18" s="799" customFormat="1">
      <c r="B55" s="2488"/>
      <c r="C55" s="2488"/>
      <c r="D55" s="2488"/>
      <c r="E55" s="2488"/>
      <c r="F55" s="2488"/>
      <c r="G55" s="2489"/>
      <c r="H55" s="2488"/>
      <c r="I55" s="2489"/>
      <c r="J55" s="2488"/>
      <c r="K55" s="2488"/>
      <c r="L55" s="2489"/>
      <c r="M55" s="2488"/>
      <c r="N55" s="2488"/>
      <c r="O55" s="2489"/>
      <c r="P55" s="2488"/>
      <c r="Q55" s="2488"/>
      <c r="R55" s="2490"/>
    </row>
    <row r="56" spans="2:18" s="799" customFormat="1">
      <c r="B56" s="2488"/>
      <c r="C56" s="2488"/>
      <c r="D56" s="2488"/>
      <c r="E56" s="2488"/>
      <c r="F56" s="2488"/>
      <c r="G56" s="2489"/>
      <c r="H56" s="2488"/>
      <c r="I56" s="2489"/>
      <c r="J56" s="2488"/>
      <c r="K56" s="2488"/>
      <c r="L56" s="2489"/>
      <c r="M56" s="2488"/>
      <c r="N56" s="2488"/>
      <c r="O56" s="2489"/>
      <c r="P56" s="2488"/>
      <c r="Q56" s="2488"/>
      <c r="R56" s="2490"/>
    </row>
    <row r="57" spans="2:18" s="799" customFormat="1">
      <c r="B57" s="2488"/>
      <c r="C57" s="2488"/>
      <c r="D57" s="2488"/>
      <c r="E57" s="2488"/>
      <c r="F57" s="2488"/>
      <c r="G57" s="2489"/>
      <c r="H57" s="2488"/>
      <c r="I57" s="2489"/>
      <c r="J57" s="2488"/>
      <c r="K57" s="2488"/>
      <c r="L57" s="2489"/>
      <c r="M57" s="2488"/>
      <c r="N57" s="2488"/>
      <c r="O57" s="2489"/>
      <c r="P57" s="2488"/>
      <c r="Q57" s="2488"/>
      <c r="R57" s="2490"/>
    </row>
    <row r="58" spans="2:18" s="799" customFormat="1">
      <c r="B58" s="2488"/>
      <c r="C58" s="2488"/>
      <c r="D58" s="2488"/>
      <c r="E58" s="2488"/>
      <c r="F58" s="2488"/>
      <c r="G58" s="2489"/>
      <c r="H58" s="2488"/>
      <c r="I58" s="2489"/>
      <c r="J58" s="2488"/>
      <c r="K58" s="2488"/>
      <c r="L58" s="2489"/>
      <c r="M58" s="2488"/>
      <c r="N58" s="2488"/>
      <c r="O58" s="2489"/>
      <c r="P58" s="2488"/>
      <c r="Q58" s="2488"/>
      <c r="R58" s="2490"/>
    </row>
    <row r="59" spans="2:18" s="799" customFormat="1">
      <c r="B59" s="2488"/>
      <c r="C59" s="2488"/>
      <c r="D59" s="2488"/>
      <c r="E59" s="2488"/>
      <c r="F59" s="2488"/>
      <c r="G59" s="2489"/>
      <c r="H59" s="2488"/>
      <c r="I59" s="2489"/>
      <c r="J59" s="2488"/>
      <c r="K59" s="2488"/>
      <c r="L59" s="2489"/>
      <c r="M59" s="2488"/>
      <c r="N59" s="2488"/>
      <c r="O59" s="2489"/>
      <c r="P59" s="2488"/>
      <c r="Q59" s="2488"/>
      <c r="R59" s="2490"/>
    </row>
    <row r="60" spans="2:18" s="799" customFormat="1">
      <c r="B60" s="2488"/>
      <c r="C60" s="2488"/>
      <c r="D60" s="2488"/>
      <c r="E60" s="2488"/>
      <c r="F60" s="2488"/>
      <c r="G60" s="2489"/>
      <c r="H60" s="2488"/>
      <c r="I60" s="2489"/>
      <c r="J60" s="2488"/>
      <c r="K60" s="2488"/>
      <c r="L60" s="2489"/>
      <c r="M60" s="2488"/>
      <c r="N60" s="2488"/>
      <c r="O60" s="2489"/>
      <c r="P60" s="2488"/>
      <c r="Q60" s="2488"/>
      <c r="R60" s="2490"/>
    </row>
    <row r="61" spans="2:18" s="799" customFormat="1">
      <c r="B61" s="2488"/>
      <c r="C61" s="2488"/>
      <c r="D61" s="2488"/>
      <c r="E61" s="2488"/>
      <c r="F61" s="2488"/>
      <c r="G61" s="2489"/>
      <c r="H61" s="2488"/>
      <c r="I61" s="2489"/>
      <c r="J61" s="2488"/>
      <c r="K61" s="2488"/>
      <c r="L61" s="2489"/>
      <c r="M61" s="2488"/>
      <c r="N61" s="2488"/>
      <c r="O61" s="2489"/>
      <c r="P61" s="2488"/>
      <c r="Q61" s="2488"/>
      <c r="R61" s="2490"/>
    </row>
    <row r="62" spans="2:18" s="799" customFormat="1">
      <c r="B62" s="2488"/>
      <c r="C62" s="2488"/>
      <c r="D62" s="2488"/>
      <c r="E62" s="2488"/>
      <c r="F62" s="2488"/>
      <c r="G62" s="2489"/>
      <c r="H62" s="2488"/>
      <c r="I62" s="2489"/>
      <c r="J62" s="2488"/>
      <c r="K62" s="2488"/>
      <c r="L62" s="2489"/>
      <c r="M62" s="2488"/>
      <c r="N62" s="2488"/>
      <c r="O62" s="2489"/>
      <c r="P62" s="2488"/>
      <c r="Q62" s="2488"/>
      <c r="R62" s="2490"/>
    </row>
    <row r="63" spans="2:18" s="799" customFormat="1">
      <c r="B63" s="2488"/>
      <c r="C63" s="2488"/>
      <c r="D63" s="2488"/>
      <c r="E63" s="2488"/>
      <c r="F63" s="2488"/>
      <c r="G63" s="2489"/>
      <c r="H63" s="2488"/>
      <c r="I63" s="2489"/>
      <c r="J63" s="2488"/>
      <c r="K63" s="2488"/>
      <c r="L63" s="2489"/>
      <c r="M63" s="2488"/>
      <c r="N63" s="2488"/>
      <c r="O63" s="2489"/>
      <c r="P63" s="2488"/>
      <c r="Q63" s="2488"/>
      <c r="R63" s="2490"/>
    </row>
    <row r="64" spans="2:18" s="799" customFormat="1">
      <c r="B64" s="2488"/>
      <c r="C64" s="2488"/>
      <c r="D64" s="2488"/>
      <c r="E64" s="2488"/>
      <c r="F64" s="2488"/>
      <c r="G64" s="2489"/>
      <c r="H64" s="2488"/>
      <c r="I64" s="2489"/>
      <c r="J64" s="2488"/>
      <c r="K64" s="2488"/>
      <c r="L64" s="2489"/>
      <c r="M64" s="2488"/>
      <c r="N64" s="2488"/>
      <c r="O64" s="2489"/>
      <c r="P64" s="2488"/>
      <c r="Q64" s="2488"/>
      <c r="R64" s="2490"/>
    </row>
    <row r="65" spans="2:18" s="799" customFormat="1">
      <c r="B65" s="2488"/>
      <c r="C65" s="2488"/>
      <c r="D65" s="2488"/>
      <c r="E65" s="2488"/>
      <c r="F65" s="2488"/>
      <c r="G65" s="2489"/>
      <c r="H65" s="2488"/>
      <c r="I65" s="2489"/>
      <c r="J65" s="2488"/>
      <c r="K65" s="2488"/>
      <c r="L65" s="2489"/>
      <c r="M65" s="2488"/>
      <c r="N65" s="2488"/>
      <c r="O65" s="2489"/>
      <c r="P65" s="2488"/>
      <c r="Q65" s="2488"/>
      <c r="R65" s="2490"/>
    </row>
    <row r="66" spans="2:18" s="799" customFormat="1">
      <c r="B66" s="2488"/>
      <c r="C66" s="2488"/>
      <c r="D66" s="2488"/>
      <c r="E66" s="2488"/>
      <c r="F66" s="2488"/>
      <c r="G66" s="2489"/>
      <c r="H66" s="2488"/>
      <c r="I66" s="2489"/>
      <c r="J66" s="2488"/>
      <c r="K66" s="2488"/>
      <c r="L66" s="2489"/>
      <c r="M66" s="2488"/>
      <c r="N66" s="2488"/>
      <c r="O66" s="2489"/>
      <c r="P66" s="2488"/>
      <c r="Q66" s="2488"/>
      <c r="R66" s="2490"/>
    </row>
    <row r="67" spans="2:18" s="799" customFormat="1">
      <c r="B67" s="2488"/>
      <c r="C67" s="2488"/>
      <c r="D67" s="2488"/>
      <c r="E67" s="2488"/>
      <c r="F67" s="2488"/>
      <c r="G67" s="2489"/>
      <c r="H67" s="2488"/>
      <c r="I67" s="2489"/>
      <c r="J67" s="2488"/>
      <c r="K67" s="2488"/>
      <c r="L67" s="2489"/>
      <c r="M67" s="2488"/>
      <c r="N67" s="2488"/>
      <c r="O67" s="2489"/>
      <c r="P67" s="2488"/>
      <c r="Q67" s="2488"/>
      <c r="R67" s="2490"/>
    </row>
    <row r="68" spans="2:18" s="799" customFormat="1">
      <c r="B68" s="2488"/>
      <c r="C68" s="2488"/>
      <c r="D68" s="2488"/>
      <c r="E68" s="2488"/>
      <c r="F68" s="2488"/>
      <c r="G68" s="2489"/>
      <c r="H68" s="2488"/>
      <c r="I68" s="2489"/>
      <c r="J68" s="2488"/>
      <c r="K68" s="2488"/>
      <c r="L68" s="2489"/>
      <c r="M68" s="2488"/>
      <c r="N68" s="2488"/>
      <c r="O68" s="2489"/>
      <c r="P68" s="2488"/>
      <c r="Q68" s="2488"/>
      <c r="R68" s="2490"/>
    </row>
    <row r="69" spans="2:18" s="799" customFormat="1">
      <c r="B69" s="2488"/>
      <c r="C69" s="2488"/>
      <c r="D69" s="2488"/>
      <c r="E69" s="2488"/>
      <c r="F69" s="2488"/>
      <c r="G69" s="2489"/>
      <c r="H69" s="2488"/>
      <c r="I69" s="2489"/>
      <c r="J69" s="2488"/>
      <c r="K69" s="2488"/>
      <c r="L69" s="2489"/>
      <c r="M69" s="2488"/>
      <c r="N69" s="2488"/>
      <c r="O69" s="2489"/>
      <c r="P69" s="2488"/>
      <c r="Q69" s="2488"/>
      <c r="R69" s="2490"/>
    </row>
    <row r="70" spans="2:18" s="799" customFormat="1">
      <c r="B70" s="2488"/>
      <c r="C70" s="2488"/>
      <c r="D70" s="2488"/>
      <c r="E70" s="2488"/>
      <c r="F70" s="2488"/>
      <c r="G70" s="2489"/>
      <c r="H70" s="2488"/>
      <c r="I70" s="2489"/>
      <c r="J70" s="2488"/>
      <c r="K70" s="2488"/>
      <c r="L70" s="2489"/>
      <c r="M70" s="2488"/>
      <c r="N70" s="2488"/>
      <c r="O70" s="2489"/>
      <c r="P70" s="2488"/>
      <c r="Q70" s="2488"/>
      <c r="R70" s="2490"/>
    </row>
    <row r="71" spans="2:18" s="799" customFormat="1">
      <c r="B71" s="2488"/>
      <c r="C71" s="2488"/>
      <c r="D71" s="2488"/>
      <c r="E71" s="2488"/>
      <c r="F71" s="2488"/>
      <c r="G71" s="2489"/>
      <c r="H71" s="2488"/>
      <c r="I71" s="2489"/>
      <c r="J71" s="2488"/>
      <c r="K71" s="2488"/>
      <c r="L71" s="2489"/>
      <c r="M71" s="2488"/>
      <c r="N71" s="2488"/>
      <c r="O71" s="2489"/>
      <c r="P71" s="2488"/>
      <c r="Q71" s="2488"/>
      <c r="R71" s="2490"/>
    </row>
    <row r="72" spans="2:18" s="799" customFormat="1">
      <c r="B72" s="2488"/>
      <c r="C72" s="2488"/>
      <c r="D72" s="2488"/>
      <c r="E72" s="2488"/>
      <c r="F72" s="2488"/>
      <c r="G72" s="2489"/>
      <c r="H72" s="2488"/>
      <c r="I72" s="2489"/>
      <c r="J72" s="2488"/>
      <c r="K72" s="2488"/>
      <c r="L72" s="2489"/>
      <c r="M72" s="2488"/>
      <c r="N72" s="2488"/>
      <c r="O72" s="2489"/>
      <c r="P72" s="2488"/>
      <c r="Q72" s="2488"/>
      <c r="R72" s="2490"/>
    </row>
    <row r="73" spans="2:18" s="799" customFormat="1">
      <c r="B73" s="2488"/>
      <c r="C73" s="2488"/>
      <c r="D73" s="2488"/>
      <c r="E73" s="2488"/>
      <c r="F73" s="2488"/>
      <c r="G73" s="2489"/>
      <c r="H73" s="2488"/>
      <c r="I73" s="2489"/>
      <c r="J73" s="2488"/>
      <c r="K73" s="2488"/>
      <c r="L73" s="2489"/>
      <c r="M73" s="2488"/>
      <c r="N73" s="2488"/>
      <c r="O73" s="2489"/>
      <c r="P73" s="2488"/>
      <c r="Q73" s="2488"/>
      <c r="R73" s="2490"/>
    </row>
    <row r="74" spans="2:18" s="799" customFormat="1">
      <c r="B74" s="2488"/>
      <c r="C74" s="2488"/>
      <c r="D74" s="2488"/>
      <c r="E74" s="2488"/>
      <c r="F74" s="2488"/>
      <c r="G74" s="2489"/>
      <c r="H74" s="2488"/>
      <c r="I74" s="2489"/>
      <c r="J74" s="2488"/>
      <c r="K74" s="2488"/>
      <c r="L74" s="2489"/>
      <c r="M74" s="2488"/>
      <c r="N74" s="2488"/>
      <c r="O74" s="2489"/>
      <c r="P74" s="2488"/>
      <c r="Q74" s="2488"/>
      <c r="R74" s="2490"/>
    </row>
    <row r="75" spans="2:18" s="799" customFormat="1">
      <c r="B75" s="2488"/>
      <c r="C75" s="2488"/>
      <c r="D75" s="2488"/>
      <c r="E75" s="2488"/>
      <c r="F75" s="2488"/>
      <c r="G75" s="2489"/>
      <c r="H75" s="2488"/>
      <c r="I75" s="2489"/>
      <c r="J75" s="2488"/>
      <c r="K75" s="2488"/>
      <c r="L75" s="2489"/>
      <c r="M75" s="2488"/>
      <c r="N75" s="2488"/>
      <c r="O75" s="2489"/>
      <c r="P75" s="2488"/>
      <c r="Q75" s="2488"/>
      <c r="R75" s="2490"/>
    </row>
    <row r="76" spans="2:18" s="799" customFormat="1">
      <c r="B76" s="2488"/>
      <c r="C76" s="2488"/>
      <c r="D76" s="2488"/>
      <c r="E76" s="2488"/>
      <c r="F76" s="2488"/>
      <c r="G76" s="2489"/>
      <c r="H76" s="2488"/>
      <c r="I76" s="2489"/>
      <c r="J76" s="2488"/>
      <c r="K76" s="2488"/>
      <c r="L76" s="2489"/>
      <c r="M76" s="2488"/>
      <c r="N76" s="2488"/>
      <c r="O76" s="2489"/>
      <c r="P76" s="2488"/>
      <c r="Q76" s="2488"/>
      <c r="R76" s="2490"/>
    </row>
    <row r="77" spans="2:18" s="799" customFormat="1">
      <c r="B77" s="2488"/>
      <c r="C77" s="2488"/>
      <c r="D77" s="2488"/>
      <c r="E77" s="2488"/>
      <c r="F77" s="2488"/>
      <c r="G77" s="2489"/>
      <c r="H77" s="2488"/>
      <c r="I77" s="2489"/>
      <c r="J77" s="2488"/>
      <c r="K77" s="2488"/>
      <c r="L77" s="2489"/>
      <c r="M77" s="2488"/>
      <c r="N77" s="2488"/>
      <c r="O77" s="2489"/>
      <c r="P77" s="2488"/>
      <c r="Q77" s="2488"/>
      <c r="R77" s="2490"/>
    </row>
    <row r="78" spans="2:18" s="799" customFormat="1">
      <c r="B78" s="2488"/>
      <c r="C78" s="2488"/>
      <c r="D78" s="2488"/>
      <c r="E78" s="2488"/>
      <c r="F78" s="2488"/>
      <c r="G78" s="2489"/>
      <c r="H78" s="2488"/>
      <c r="I78" s="2489"/>
      <c r="J78" s="2488"/>
      <c r="K78" s="2488"/>
      <c r="L78" s="2489"/>
      <c r="M78" s="2488"/>
      <c r="N78" s="2488"/>
      <c r="O78" s="2489"/>
      <c r="P78" s="2488"/>
      <c r="Q78" s="2488"/>
      <c r="R78" s="2490"/>
    </row>
    <row r="79" spans="2:18" s="799" customFormat="1">
      <c r="B79" s="2488"/>
      <c r="C79" s="2488"/>
      <c r="D79" s="2488"/>
      <c r="E79" s="2488"/>
      <c r="F79" s="2488"/>
      <c r="G79" s="2489"/>
      <c r="H79" s="2488"/>
      <c r="I79" s="2489"/>
      <c r="J79" s="2488"/>
      <c r="K79" s="2488"/>
      <c r="L79" s="2489"/>
      <c r="M79" s="2488"/>
      <c r="N79" s="2488"/>
      <c r="O79" s="2489"/>
      <c r="P79" s="2488"/>
      <c r="Q79" s="2488"/>
      <c r="R79" s="2490"/>
    </row>
    <row r="80" spans="2:18" s="799" customFormat="1">
      <c r="B80" s="2488"/>
      <c r="C80" s="2488"/>
      <c r="D80" s="2488"/>
      <c r="E80" s="2488"/>
      <c r="F80" s="2488"/>
      <c r="G80" s="2489"/>
      <c r="H80" s="2488"/>
      <c r="I80" s="2489"/>
      <c r="J80" s="2488"/>
      <c r="K80" s="2488"/>
      <c r="L80" s="2489"/>
      <c r="M80" s="2488"/>
      <c r="N80" s="2488"/>
      <c r="O80" s="2489"/>
      <c r="P80" s="2488"/>
      <c r="Q80" s="2488"/>
      <c r="R80" s="2490"/>
    </row>
    <row r="81" spans="2:18" s="799" customFormat="1">
      <c r="B81" s="2488"/>
      <c r="C81" s="2488"/>
      <c r="D81" s="2488"/>
      <c r="E81" s="2488"/>
      <c r="F81" s="2488"/>
      <c r="G81" s="2489"/>
      <c r="H81" s="2488"/>
      <c r="I81" s="2489"/>
      <c r="J81" s="2488"/>
      <c r="K81" s="2488"/>
      <c r="L81" s="2489"/>
      <c r="M81" s="2488"/>
      <c r="N81" s="2488"/>
      <c r="O81" s="2489"/>
      <c r="P81" s="2488"/>
      <c r="Q81" s="2488"/>
      <c r="R81" s="2490"/>
    </row>
    <row r="82" spans="2:18" s="799" customFormat="1">
      <c r="B82" s="2488"/>
      <c r="C82" s="2488"/>
      <c r="D82" s="2488"/>
      <c r="E82" s="2488"/>
      <c r="F82" s="2488"/>
      <c r="G82" s="2489"/>
      <c r="H82" s="2488"/>
      <c r="I82" s="2489"/>
      <c r="J82" s="2488"/>
      <c r="K82" s="2488"/>
      <c r="L82" s="2489"/>
      <c r="M82" s="2488"/>
      <c r="N82" s="2488"/>
      <c r="O82" s="2489"/>
      <c r="P82" s="2488"/>
      <c r="Q82" s="2488"/>
      <c r="R82" s="2490"/>
    </row>
    <row r="83" spans="2:18" s="799" customFormat="1">
      <c r="B83" s="2488"/>
      <c r="C83" s="2488"/>
      <c r="D83" s="2488"/>
      <c r="E83" s="2488"/>
      <c r="F83" s="2488"/>
      <c r="G83" s="2489"/>
      <c r="H83" s="2488"/>
      <c r="I83" s="2489"/>
      <c r="J83" s="2488"/>
      <c r="K83" s="2488"/>
      <c r="L83" s="2489"/>
      <c r="M83" s="2488"/>
      <c r="N83" s="2488"/>
      <c r="O83" s="2489"/>
      <c r="P83" s="2488"/>
      <c r="Q83" s="2488"/>
      <c r="R83" s="2490"/>
    </row>
    <row r="84" spans="2:18" s="799" customFormat="1">
      <c r="B84" s="2488"/>
      <c r="C84" s="2488"/>
      <c r="D84" s="2488"/>
      <c r="E84" s="2488"/>
      <c r="F84" s="2488"/>
      <c r="G84" s="2489"/>
      <c r="H84" s="2488"/>
      <c r="I84" s="2489"/>
      <c r="J84" s="2488"/>
      <c r="K84" s="2488"/>
      <c r="L84" s="2489"/>
      <c r="M84" s="2488"/>
      <c r="N84" s="2488"/>
      <c r="O84" s="2489"/>
      <c r="P84" s="2488"/>
      <c r="Q84" s="2488"/>
      <c r="R84" s="2490"/>
    </row>
    <row r="85" spans="2:18" s="799" customFormat="1">
      <c r="B85" s="2488"/>
      <c r="C85" s="2488"/>
      <c r="D85" s="2488"/>
      <c r="E85" s="2488"/>
      <c r="F85" s="2488"/>
      <c r="G85" s="2489"/>
      <c r="H85" s="2488"/>
      <c r="I85" s="2489"/>
      <c r="J85" s="2488"/>
      <c r="K85" s="2488"/>
      <c r="L85" s="2489"/>
      <c r="M85" s="2488"/>
      <c r="N85" s="2488"/>
      <c r="O85" s="2489"/>
      <c r="P85" s="2488"/>
      <c r="Q85" s="2488"/>
      <c r="R85" s="2490"/>
    </row>
    <row r="86" spans="2:18" s="799" customFormat="1">
      <c r="B86" s="2488"/>
      <c r="C86" s="2488"/>
      <c r="D86" s="2488"/>
      <c r="E86" s="2488"/>
      <c r="F86" s="2488"/>
      <c r="G86" s="2489"/>
      <c r="H86" s="2488"/>
      <c r="I86" s="2489"/>
      <c r="J86" s="2488"/>
      <c r="K86" s="2488"/>
      <c r="L86" s="2489"/>
      <c r="M86" s="2488"/>
      <c r="N86" s="2488"/>
      <c r="O86" s="2489"/>
      <c r="P86" s="2488"/>
      <c r="Q86" s="2488"/>
      <c r="R86" s="2490"/>
    </row>
    <row r="87" spans="2:18" s="799" customFormat="1">
      <c r="B87" s="2488"/>
      <c r="C87" s="2488"/>
      <c r="D87" s="2488"/>
      <c r="E87" s="2488"/>
      <c r="F87" s="2488"/>
      <c r="G87" s="2489"/>
      <c r="H87" s="2488"/>
      <c r="I87" s="2489"/>
      <c r="J87" s="2488"/>
      <c r="K87" s="2488"/>
      <c r="L87" s="2489"/>
      <c r="M87" s="2488"/>
      <c r="N87" s="2488"/>
      <c r="O87" s="2489"/>
      <c r="P87" s="2488"/>
      <c r="Q87" s="2488"/>
      <c r="R87" s="2490"/>
    </row>
    <row r="88" spans="2:18" s="799" customFormat="1">
      <c r="B88" s="2488"/>
      <c r="C88" s="2488"/>
      <c r="D88" s="2488"/>
      <c r="E88" s="2488"/>
      <c r="F88" s="2488"/>
      <c r="G88" s="2489"/>
      <c r="H88" s="2488"/>
      <c r="I88" s="2489"/>
      <c r="J88" s="2488"/>
      <c r="K88" s="2488"/>
      <c r="L88" s="2489"/>
      <c r="M88" s="2488"/>
      <c r="N88" s="2488"/>
      <c r="O88" s="2489"/>
      <c r="P88" s="2488"/>
      <c r="Q88" s="2488"/>
      <c r="R88" s="2490"/>
    </row>
    <row r="89" spans="2:18" s="799" customFormat="1">
      <c r="B89" s="2488"/>
      <c r="C89" s="2488"/>
      <c r="D89" s="2488"/>
      <c r="E89" s="2488"/>
      <c r="F89" s="2488"/>
      <c r="G89" s="2489"/>
      <c r="H89" s="2488"/>
      <c r="I89" s="2489"/>
      <c r="J89" s="2488"/>
      <c r="K89" s="2488"/>
      <c r="L89" s="2489"/>
      <c r="M89" s="2488"/>
      <c r="N89" s="2488"/>
      <c r="O89" s="2489"/>
      <c r="P89" s="2488"/>
      <c r="Q89" s="2488"/>
      <c r="R89" s="2490"/>
    </row>
    <row r="90" spans="2:18" s="799" customFormat="1">
      <c r="B90" s="2488"/>
      <c r="C90" s="2488"/>
      <c r="D90" s="2488"/>
      <c r="E90" s="2488"/>
      <c r="F90" s="2488"/>
      <c r="G90" s="2489"/>
      <c r="H90" s="2488"/>
      <c r="I90" s="2489"/>
      <c r="J90" s="2488"/>
      <c r="K90" s="2488"/>
      <c r="L90" s="2489"/>
      <c r="M90" s="2488"/>
      <c r="N90" s="2488"/>
      <c r="O90" s="2489"/>
      <c r="P90" s="2488"/>
      <c r="Q90" s="2488"/>
      <c r="R90" s="2490"/>
    </row>
    <row r="91" spans="2:18" s="799" customFormat="1">
      <c r="B91" s="2488"/>
      <c r="C91" s="2488"/>
      <c r="D91" s="2488"/>
      <c r="E91" s="2488"/>
      <c r="F91" s="2488"/>
      <c r="G91" s="2489"/>
      <c r="H91" s="2488"/>
      <c r="I91" s="2489"/>
      <c r="J91" s="2488"/>
      <c r="K91" s="2488"/>
      <c r="L91" s="2489"/>
      <c r="M91" s="2488"/>
      <c r="N91" s="2488"/>
      <c r="O91" s="2489"/>
      <c r="P91" s="2488"/>
      <c r="Q91" s="2488"/>
      <c r="R91" s="2490"/>
    </row>
    <row r="92" spans="2:18" s="799" customFormat="1">
      <c r="B92" s="2488"/>
      <c r="C92" s="2488"/>
      <c r="D92" s="2488"/>
      <c r="E92" s="2488"/>
      <c r="F92" s="2488"/>
      <c r="G92" s="2489"/>
      <c r="H92" s="2488"/>
      <c r="I92" s="2489"/>
      <c r="J92" s="2488"/>
      <c r="K92" s="2488"/>
      <c r="L92" s="2489"/>
      <c r="M92" s="2488"/>
      <c r="N92" s="2488"/>
      <c r="O92" s="2489"/>
      <c r="P92" s="2488"/>
      <c r="Q92" s="2488"/>
      <c r="R92" s="2490"/>
    </row>
    <row r="93" spans="2:18" s="799" customFormat="1">
      <c r="B93" s="2488"/>
      <c r="C93" s="2488"/>
      <c r="D93" s="2488"/>
      <c r="E93" s="2488"/>
      <c r="F93" s="2488"/>
      <c r="G93" s="2489"/>
      <c r="H93" s="2488"/>
      <c r="I93" s="2489"/>
      <c r="J93" s="2488"/>
      <c r="K93" s="2488"/>
      <c r="L93" s="2489"/>
      <c r="M93" s="2488"/>
      <c r="N93" s="2488"/>
      <c r="O93" s="2489"/>
      <c r="P93" s="2488"/>
      <c r="Q93" s="2488"/>
      <c r="R93" s="2490"/>
    </row>
    <row r="94" spans="2:18" s="799" customFormat="1">
      <c r="B94" s="2488"/>
      <c r="C94" s="2488"/>
      <c r="D94" s="2488"/>
      <c r="E94" s="2488"/>
      <c r="F94" s="2488"/>
      <c r="G94" s="2489"/>
      <c r="H94" s="2488"/>
      <c r="I94" s="2489"/>
      <c r="J94" s="2488"/>
      <c r="K94" s="2488"/>
      <c r="L94" s="2489"/>
      <c r="M94" s="2488"/>
      <c r="N94" s="2488"/>
      <c r="O94" s="2489"/>
      <c r="P94" s="2488"/>
      <c r="Q94" s="2488"/>
      <c r="R94" s="2490"/>
    </row>
    <row r="95" spans="2:18" s="799" customFormat="1">
      <c r="B95" s="2488"/>
      <c r="C95" s="2488"/>
      <c r="D95" s="2488"/>
      <c r="E95" s="2488"/>
      <c r="F95" s="2488"/>
      <c r="G95" s="2489"/>
      <c r="H95" s="2488"/>
      <c r="I95" s="2489"/>
      <c r="J95" s="2488"/>
      <c r="K95" s="2488"/>
      <c r="L95" s="2489"/>
      <c r="M95" s="2488"/>
      <c r="N95" s="2488"/>
      <c r="O95" s="2489"/>
      <c r="P95" s="2488"/>
      <c r="Q95" s="2488"/>
      <c r="R95" s="2490"/>
    </row>
    <row r="96" spans="2:18" s="799" customFormat="1">
      <c r="B96" s="2488"/>
      <c r="C96" s="2488"/>
      <c r="D96" s="2488"/>
      <c r="E96" s="2488"/>
      <c r="F96" s="2488"/>
      <c r="G96" s="2489"/>
      <c r="H96" s="2488"/>
      <c r="I96" s="2489"/>
      <c r="J96" s="2488"/>
      <c r="K96" s="2488"/>
      <c r="L96" s="2489"/>
      <c r="M96" s="2488"/>
      <c r="N96" s="2488"/>
      <c r="O96" s="2489"/>
      <c r="P96" s="2488"/>
      <c r="Q96" s="2488"/>
      <c r="R96" s="2490"/>
    </row>
    <row r="97" spans="2:18" s="799" customFormat="1">
      <c r="B97" s="2488"/>
      <c r="C97" s="2488"/>
      <c r="D97" s="2488"/>
      <c r="E97" s="2488"/>
      <c r="F97" s="2488"/>
      <c r="G97" s="2489"/>
      <c r="H97" s="2488"/>
      <c r="I97" s="2489"/>
      <c r="J97" s="2488"/>
      <c r="K97" s="2488"/>
      <c r="L97" s="2489"/>
      <c r="M97" s="2488"/>
      <c r="N97" s="2488"/>
      <c r="O97" s="2489"/>
      <c r="P97" s="2488"/>
      <c r="Q97" s="2488"/>
      <c r="R97" s="2490"/>
    </row>
    <row r="98" spans="2:18" s="799" customFormat="1">
      <c r="B98" s="2488"/>
      <c r="C98" s="2488"/>
      <c r="D98" s="2488"/>
      <c r="E98" s="2488"/>
      <c r="F98" s="2488"/>
      <c r="G98" s="2489"/>
      <c r="H98" s="2488"/>
      <c r="I98" s="2489"/>
      <c r="J98" s="2488"/>
      <c r="K98" s="2488"/>
      <c r="L98" s="2489"/>
      <c r="M98" s="2488"/>
      <c r="N98" s="2488"/>
      <c r="O98" s="2489"/>
      <c r="P98" s="2488"/>
      <c r="Q98" s="2488"/>
      <c r="R98" s="2490"/>
    </row>
    <row r="99" spans="2:18" s="799" customFormat="1">
      <c r="B99" s="2488"/>
      <c r="C99" s="2488"/>
      <c r="D99" s="2488"/>
      <c r="E99" s="2488"/>
      <c r="F99" s="2488"/>
      <c r="G99" s="2489"/>
      <c r="H99" s="2488"/>
      <c r="I99" s="2489"/>
      <c r="J99" s="2488"/>
      <c r="K99" s="2488"/>
      <c r="L99" s="2489"/>
      <c r="M99" s="2488"/>
      <c r="N99" s="2488"/>
      <c r="O99" s="2489"/>
      <c r="P99" s="2488"/>
      <c r="Q99" s="2488"/>
      <c r="R99" s="2490"/>
    </row>
    <row r="100" spans="2:18" s="799" customFormat="1">
      <c r="B100" s="2488"/>
      <c r="C100" s="2488"/>
      <c r="D100" s="2488"/>
      <c r="E100" s="2488"/>
      <c r="F100" s="2488"/>
      <c r="G100" s="2489"/>
      <c r="H100" s="2488"/>
      <c r="I100" s="2489"/>
      <c r="J100" s="2488"/>
      <c r="K100" s="2488"/>
      <c r="L100" s="2489"/>
      <c r="M100" s="2488"/>
      <c r="N100" s="2488"/>
      <c r="O100" s="2489"/>
      <c r="P100" s="2488"/>
      <c r="Q100" s="2488"/>
      <c r="R100" s="2490"/>
    </row>
    <row r="101" spans="2:18" s="799" customFormat="1">
      <c r="B101" s="2488"/>
      <c r="C101" s="2488"/>
      <c r="D101" s="2488"/>
      <c r="E101" s="2488"/>
      <c r="F101" s="2488"/>
      <c r="G101" s="2489"/>
      <c r="H101" s="2488"/>
      <c r="I101" s="2489"/>
      <c r="J101" s="2488"/>
      <c r="K101" s="2488"/>
      <c r="L101" s="2489"/>
      <c r="M101" s="2488"/>
      <c r="N101" s="2488"/>
      <c r="O101" s="2489"/>
      <c r="P101" s="2488"/>
      <c r="Q101" s="2488"/>
      <c r="R101" s="2490"/>
    </row>
    <row r="102" spans="2:18" s="799" customFormat="1">
      <c r="B102" s="2488"/>
      <c r="C102" s="2488"/>
      <c r="D102" s="2488"/>
      <c r="E102" s="2488"/>
      <c r="F102" s="2488"/>
      <c r="G102" s="2489"/>
      <c r="H102" s="2488"/>
      <c r="I102" s="2489"/>
      <c r="J102" s="2488"/>
      <c r="K102" s="2488"/>
      <c r="L102" s="2489"/>
      <c r="M102" s="2488"/>
      <c r="N102" s="2488"/>
      <c r="O102" s="2489"/>
      <c r="P102" s="2488"/>
      <c r="Q102" s="2488"/>
      <c r="R102" s="2490"/>
    </row>
    <row r="103" spans="2:18" s="799" customFormat="1">
      <c r="B103" s="2488"/>
      <c r="C103" s="2488"/>
      <c r="D103" s="2488"/>
      <c r="E103" s="2488"/>
      <c r="F103" s="2488"/>
      <c r="G103" s="2489"/>
      <c r="H103" s="2488"/>
      <c r="I103" s="2489"/>
      <c r="J103" s="2488"/>
      <c r="K103" s="2488"/>
      <c r="L103" s="2489"/>
      <c r="M103" s="2488"/>
      <c r="N103" s="2488"/>
      <c r="O103" s="2489"/>
      <c r="P103" s="2488"/>
      <c r="Q103" s="2488"/>
      <c r="R103" s="2490"/>
    </row>
    <row r="104" spans="2:18" s="799" customFormat="1">
      <c r="B104" s="2488"/>
      <c r="C104" s="2488"/>
      <c r="D104" s="2488"/>
      <c r="E104" s="2488"/>
      <c r="F104" s="2488"/>
      <c r="G104" s="2489"/>
      <c r="H104" s="2488"/>
      <c r="I104" s="2489"/>
      <c r="J104" s="2488"/>
      <c r="K104" s="2488"/>
      <c r="L104" s="2489"/>
      <c r="M104" s="2488"/>
      <c r="N104" s="2488"/>
      <c r="O104" s="2489"/>
      <c r="P104" s="2488"/>
      <c r="Q104" s="2488"/>
      <c r="R104" s="2490"/>
    </row>
    <row r="105" spans="2:18" s="799" customFormat="1">
      <c r="B105" s="2488"/>
      <c r="C105" s="2488"/>
      <c r="D105" s="2488"/>
      <c r="E105" s="2488"/>
      <c r="F105" s="2488"/>
      <c r="G105" s="2489"/>
      <c r="H105" s="2488"/>
      <c r="I105" s="2489"/>
      <c r="J105" s="2488"/>
      <c r="K105" s="2488"/>
      <c r="L105" s="2489"/>
      <c r="M105" s="2488"/>
      <c r="N105" s="2488"/>
      <c r="O105" s="2489"/>
      <c r="P105" s="2488"/>
      <c r="Q105" s="2488"/>
      <c r="R105" s="2490"/>
    </row>
    <row r="106" spans="2:18" s="799" customFormat="1">
      <c r="B106" s="2488"/>
      <c r="C106" s="2488"/>
      <c r="D106" s="2488"/>
      <c r="E106" s="2488"/>
      <c r="F106" s="2488"/>
      <c r="G106" s="2489"/>
      <c r="H106" s="2488"/>
      <c r="I106" s="2489"/>
      <c r="J106" s="2488"/>
      <c r="K106" s="2488"/>
      <c r="L106" s="2489"/>
      <c r="M106" s="2488"/>
      <c r="N106" s="2488"/>
      <c r="O106" s="2489"/>
      <c r="P106" s="2488"/>
      <c r="Q106" s="2488"/>
      <c r="R106" s="2490"/>
    </row>
    <row r="107" spans="2:18" s="799" customFormat="1">
      <c r="B107" s="2488"/>
      <c r="C107" s="2488"/>
      <c r="D107" s="2488"/>
      <c r="E107" s="2488"/>
      <c r="F107" s="2488"/>
      <c r="G107" s="2489"/>
      <c r="H107" s="2488"/>
      <c r="I107" s="2489"/>
      <c r="J107" s="2488"/>
      <c r="K107" s="2488"/>
      <c r="L107" s="2489"/>
      <c r="M107" s="2488"/>
      <c r="N107" s="2488"/>
      <c r="O107" s="2489"/>
      <c r="P107" s="2488"/>
      <c r="Q107" s="2488"/>
      <c r="R107" s="2490"/>
    </row>
    <row r="108" spans="2:18" s="799" customFormat="1">
      <c r="B108" s="2488"/>
      <c r="C108" s="2488"/>
      <c r="D108" s="2488"/>
      <c r="E108" s="2488"/>
      <c r="F108" s="2488"/>
      <c r="G108" s="2489"/>
      <c r="H108" s="2488"/>
      <c r="I108" s="2489"/>
      <c r="J108" s="2488"/>
      <c r="K108" s="2488"/>
      <c r="L108" s="2489"/>
      <c r="M108" s="2488"/>
      <c r="N108" s="2488"/>
      <c r="O108" s="2489"/>
      <c r="P108" s="2488"/>
      <c r="Q108" s="2488"/>
      <c r="R108" s="2490"/>
    </row>
    <row r="109" spans="2:18" s="799" customFormat="1">
      <c r="B109" s="2488"/>
      <c r="C109" s="2488"/>
      <c r="D109" s="2488"/>
      <c r="E109" s="2488"/>
      <c r="F109" s="2488"/>
      <c r="G109" s="2489"/>
      <c r="H109" s="2488"/>
      <c r="I109" s="2489"/>
      <c r="J109" s="2488"/>
      <c r="K109" s="2488"/>
      <c r="L109" s="2489"/>
      <c r="M109" s="2488"/>
      <c r="N109" s="2488"/>
      <c r="O109" s="2489"/>
      <c r="P109" s="2488"/>
      <c r="Q109" s="2488"/>
      <c r="R109" s="2490"/>
    </row>
    <row r="110" spans="2:18" s="799" customFormat="1">
      <c r="B110" s="2488"/>
      <c r="C110" s="2488"/>
      <c r="D110" s="2488"/>
      <c r="E110" s="2488"/>
      <c r="F110" s="2488"/>
      <c r="G110" s="2489"/>
      <c r="H110" s="2488"/>
      <c r="I110" s="2489"/>
      <c r="J110" s="2488"/>
      <c r="K110" s="2488"/>
      <c r="L110" s="2489"/>
      <c r="M110" s="2488"/>
      <c r="N110" s="2488"/>
      <c r="O110" s="2489"/>
      <c r="P110" s="2488"/>
      <c r="Q110" s="2488"/>
      <c r="R110" s="2490"/>
    </row>
    <row r="111" spans="2:18" s="799" customFormat="1">
      <c r="B111" s="2488"/>
      <c r="C111" s="2488"/>
      <c r="D111" s="2488"/>
      <c r="E111" s="2488"/>
      <c r="F111" s="2488"/>
      <c r="G111" s="2489"/>
      <c r="H111" s="2488"/>
      <c r="I111" s="2489"/>
      <c r="J111" s="2488"/>
      <c r="K111" s="2488"/>
      <c r="L111" s="2489"/>
      <c r="M111" s="2488"/>
      <c r="N111" s="2488"/>
      <c r="O111" s="2489"/>
      <c r="P111" s="2488"/>
      <c r="Q111" s="2488"/>
      <c r="R111" s="2490"/>
    </row>
    <row r="112" spans="2:18" s="799" customFormat="1">
      <c r="B112" s="2488"/>
      <c r="C112" s="2488"/>
      <c r="D112" s="2488"/>
      <c r="E112" s="2488"/>
      <c r="F112" s="2488"/>
      <c r="G112" s="2489"/>
      <c r="H112" s="2488"/>
      <c r="I112" s="2489"/>
      <c r="J112" s="2488"/>
      <c r="K112" s="2488"/>
      <c r="L112" s="2489"/>
      <c r="M112" s="2488"/>
      <c r="N112" s="2488"/>
      <c r="O112" s="2489"/>
      <c r="P112" s="2488"/>
      <c r="Q112" s="2488"/>
      <c r="R112" s="2490"/>
    </row>
    <row r="113" spans="2:18" s="799" customFormat="1">
      <c r="B113" s="2488"/>
      <c r="C113" s="2488"/>
      <c r="D113" s="2488"/>
      <c r="E113" s="2488"/>
      <c r="F113" s="2488"/>
      <c r="G113" s="2489"/>
      <c r="H113" s="2488"/>
      <c r="I113" s="2489"/>
      <c r="J113" s="2488"/>
      <c r="K113" s="2488"/>
      <c r="L113" s="2489"/>
      <c r="M113" s="2488"/>
      <c r="N113" s="2488"/>
      <c r="O113" s="2489"/>
      <c r="P113" s="2488"/>
      <c r="Q113" s="2488"/>
      <c r="R113" s="2490"/>
    </row>
    <row r="114" spans="2:18" s="799" customFormat="1">
      <c r="B114" s="2488"/>
      <c r="C114" s="2488"/>
      <c r="D114" s="2488"/>
      <c r="E114" s="2488"/>
      <c r="F114" s="2488"/>
      <c r="G114" s="2489"/>
      <c r="H114" s="2488"/>
      <c r="I114" s="2489"/>
      <c r="J114" s="2488"/>
      <c r="K114" s="2488"/>
      <c r="L114" s="2489"/>
      <c r="M114" s="2488"/>
      <c r="N114" s="2488"/>
      <c r="O114" s="2489"/>
      <c r="P114" s="2488"/>
      <c r="Q114" s="2488"/>
      <c r="R114" s="2490"/>
    </row>
    <row r="115" spans="2:18" s="799" customFormat="1">
      <c r="B115" s="2488"/>
      <c r="C115" s="2488"/>
      <c r="D115" s="2488"/>
      <c r="E115" s="2488"/>
      <c r="F115" s="2488"/>
      <c r="G115" s="2489"/>
      <c r="H115" s="2488"/>
      <c r="I115" s="2489"/>
      <c r="J115" s="2488"/>
      <c r="K115" s="2488"/>
      <c r="L115" s="2489"/>
      <c r="M115" s="2488"/>
      <c r="N115" s="2488"/>
      <c r="O115" s="2489"/>
      <c r="P115" s="2488"/>
      <c r="Q115" s="2488"/>
      <c r="R115" s="2490"/>
    </row>
    <row r="116" spans="2:18" s="799" customFormat="1">
      <c r="B116" s="2488"/>
      <c r="C116" s="2488"/>
      <c r="D116" s="2488"/>
      <c r="E116" s="2488"/>
      <c r="F116" s="2488"/>
      <c r="G116" s="2489"/>
      <c r="H116" s="2488"/>
      <c r="I116" s="2489"/>
      <c r="J116" s="2488"/>
      <c r="K116" s="2488"/>
      <c r="L116" s="2489"/>
      <c r="M116" s="2488"/>
      <c r="N116" s="2488"/>
      <c r="O116" s="2489"/>
      <c r="P116" s="2488"/>
      <c r="Q116" s="2488"/>
      <c r="R116" s="2490"/>
    </row>
    <row r="117" spans="2:18" s="799" customFormat="1">
      <c r="B117" s="2488"/>
      <c r="C117" s="2488"/>
      <c r="D117" s="2488"/>
      <c r="E117" s="2488"/>
      <c r="F117" s="2488"/>
      <c r="G117" s="2489"/>
      <c r="H117" s="2488"/>
      <c r="I117" s="2489"/>
      <c r="J117" s="2488"/>
      <c r="K117" s="2488"/>
      <c r="L117" s="2489"/>
      <c r="M117" s="2488"/>
      <c r="N117" s="2488"/>
      <c r="O117" s="2489"/>
      <c r="P117" s="2488"/>
      <c r="Q117" s="2488"/>
      <c r="R117" s="2490"/>
    </row>
    <row r="118" spans="2:18" s="799" customFormat="1">
      <c r="B118" s="2488"/>
      <c r="C118" s="2488"/>
      <c r="D118" s="2488"/>
      <c r="E118" s="2488"/>
      <c r="F118" s="2488"/>
      <c r="G118" s="2489"/>
      <c r="H118" s="2488"/>
      <c r="I118" s="2489"/>
      <c r="J118" s="2488"/>
      <c r="K118" s="2488"/>
      <c r="L118" s="2489"/>
      <c r="M118" s="2488"/>
      <c r="N118" s="2488"/>
      <c r="O118" s="2489"/>
      <c r="P118" s="2488"/>
      <c r="Q118" s="2488"/>
      <c r="R118" s="2490"/>
    </row>
    <row r="119" spans="2:18" s="799" customFormat="1">
      <c r="B119" s="2488"/>
      <c r="C119" s="2488"/>
      <c r="D119" s="2488"/>
      <c r="E119" s="2488"/>
      <c r="F119" s="2488"/>
      <c r="G119" s="2489"/>
      <c r="H119" s="2488"/>
      <c r="I119" s="2489"/>
      <c r="J119" s="2488"/>
      <c r="K119" s="2488"/>
      <c r="L119" s="2489"/>
      <c r="M119" s="2488"/>
      <c r="N119" s="2488"/>
      <c r="O119" s="2489"/>
      <c r="P119" s="2488"/>
      <c r="Q119" s="2488"/>
      <c r="R119" s="2490"/>
    </row>
    <row r="120" spans="2:18" s="799" customFormat="1">
      <c r="B120" s="2488"/>
      <c r="C120" s="2488"/>
      <c r="D120" s="2488"/>
      <c r="E120" s="2488"/>
      <c r="F120" s="2488"/>
      <c r="G120" s="2489"/>
      <c r="H120" s="2488"/>
      <c r="I120" s="2489"/>
      <c r="J120" s="2488"/>
      <c r="K120" s="2488"/>
      <c r="L120" s="2489"/>
      <c r="M120" s="2488"/>
      <c r="N120" s="2488"/>
      <c r="O120" s="2489"/>
      <c r="P120" s="2488"/>
      <c r="Q120" s="2488"/>
      <c r="R120" s="2490"/>
    </row>
    <row r="121" spans="2:18" s="799" customFormat="1">
      <c r="B121" s="2488"/>
      <c r="C121" s="2488"/>
      <c r="D121" s="2488"/>
      <c r="E121" s="2488"/>
      <c r="F121" s="2488"/>
      <c r="G121" s="2489"/>
      <c r="H121" s="2488"/>
      <c r="I121" s="2489"/>
      <c r="J121" s="2488"/>
      <c r="K121" s="2488"/>
      <c r="L121" s="2489"/>
      <c r="M121" s="2488"/>
      <c r="N121" s="2488"/>
      <c r="O121" s="2489"/>
      <c r="P121" s="2488"/>
      <c r="Q121" s="2488"/>
      <c r="R121" s="2490"/>
    </row>
    <row r="122" spans="2:18" s="799" customFormat="1">
      <c r="B122" s="2488"/>
      <c r="C122" s="2488"/>
      <c r="D122" s="2488"/>
      <c r="E122" s="2488"/>
      <c r="F122" s="2488"/>
      <c r="G122" s="2489"/>
      <c r="H122" s="2488"/>
      <c r="I122" s="2489"/>
      <c r="J122" s="2488"/>
      <c r="K122" s="2488"/>
      <c r="L122" s="2489"/>
      <c r="M122" s="2488"/>
      <c r="N122" s="2488"/>
      <c r="O122" s="2489"/>
      <c r="P122" s="2488"/>
      <c r="Q122" s="2488"/>
      <c r="R122" s="2490"/>
    </row>
    <row r="123" spans="2:18" s="799" customFormat="1">
      <c r="B123" s="2488"/>
      <c r="C123" s="2488"/>
      <c r="D123" s="2488"/>
      <c r="E123" s="2488"/>
      <c r="F123" s="2488"/>
      <c r="G123" s="2489"/>
      <c r="H123" s="2488"/>
      <c r="I123" s="2489"/>
      <c r="J123" s="2488"/>
      <c r="K123" s="2488"/>
      <c r="L123" s="2489"/>
      <c r="M123" s="2488"/>
      <c r="N123" s="2488"/>
      <c r="O123" s="2489"/>
      <c r="P123" s="2488"/>
      <c r="Q123" s="2488"/>
      <c r="R123" s="2490"/>
    </row>
    <row r="124" spans="2:18" s="799" customFormat="1">
      <c r="B124" s="2488"/>
      <c r="C124" s="2488"/>
      <c r="D124" s="2488"/>
      <c r="E124" s="2488"/>
      <c r="F124" s="2488"/>
      <c r="G124" s="2489"/>
      <c r="H124" s="2488"/>
      <c r="I124" s="2489"/>
      <c r="J124" s="2488"/>
      <c r="K124" s="2488"/>
      <c r="L124" s="2489"/>
      <c r="M124" s="2488"/>
      <c r="N124" s="2488"/>
      <c r="O124" s="2489"/>
      <c r="P124" s="2488"/>
      <c r="Q124" s="2488"/>
      <c r="R124" s="2490"/>
    </row>
    <row r="125" spans="2:18" s="799" customFormat="1">
      <c r="B125" s="2488"/>
      <c r="C125" s="2488"/>
      <c r="D125" s="2488"/>
      <c r="E125" s="2488"/>
      <c r="F125" s="2488"/>
      <c r="G125" s="2489"/>
      <c r="H125" s="2488"/>
      <c r="I125" s="2489"/>
      <c r="J125" s="2488"/>
      <c r="K125" s="2488"/>
      <c r="L125" s="2489"/>
      <c r="M125" s="2488"/>
      <c r="N125" s="2488"/>
      <c r="O125" s="2489"/>
      <c r="P125" s="2488"/>
      <c r="Q125" s="2488"/>
      <c r="R125" s="2490"/>
    </row>
    <row r="126" spans="2:18" s="799" customFormat="1">
      <c r="B126" s="2488"/>
      <c r="C126" s="2488"/>
      <c r="D126" s="2488"/>
      <c r="E126" s="2488"/>
      <c r="F126" s="2488"/>
      <c r="G126" s="2489"/>
      <c r="H126" s="2488"/>
      <c r="I126" s="2489"/>
      <c r="J126" s="2488"/>
      <c r="K126" s="2488"/>
      <c r="L126" s="2489"/>
      <c r="M126" s="2488"/>
      <c r="N126" s="2488"/>
      <c r="O126" s="2489"/>
      <c r="P126" s="2488"/>
      <c r="Q126" s="2488"/>
      <c r="R126" s="2490"/>
    </row>
    <row r="127" spans="2:18" s="799" customFormat="1">
      <c r="B127" s="2488"/>
      <c r="C127" s="2488"/>
      <c r="D127" s="2488"/>
      <c r="E127" s="2488"/>
      <c r="F127" s="2488"/>
      <c r="G127" s="2489"/>
      <c r="H127" s="2488"/>
      <c r="I127" s="2489"/>
      <c r="J127" s="2488"/>
      <c r="K127" s="2488"/>
      <c r="L127" s="2489"/>
      <c r="M127" s="2488"/>
      <c r="N127" s="2488"/>
      <c r="O127" s="2489"/>
      <c r="P127" s="2488"/>
      <c r="Q127" s="2488"/>
      <c r="R127" s="2490"/>
    </row>
    <row r="128" spans="2:18" s="799" customFormat="1">
      <c r="B128" s="2488"/>
      <c r="C128" s="2488"/>
      <c r="D128" s="2488"/>
      <c r="E128" s="2488"/>
      <c r="F128" s="2488"/>
      <c r="G128" s="2489"/>
      <c r="H128" s="2488"/>
      <c r="I128" s="2489"/>
      <c r="J128" s="2488"/>
      <c r="K128" s="2488"/>
      <c r="L128" s="2489"/>
      <c r="M128" s="2488"/>
      <c r="N128" s="2488"/>
      <c r="O128" s="2489"/>
      <c r="P128" s="2488"/>
      <c r="Q128" s="2488"/>
      <c r="R128" s="2490"/>
    </row>
    <row r="129" spans="2:18" s="799" customFormat="1">
      <c r="B129" s="2488"/>
      <c r="C129" s="2488"/>
      <c r="D129" s="2488"/>
      <c r="E129" s="2488"/>
      <c r="F129" s="2488"/>
      <c r="G129" s="2489"/>
      <c r="H129" s="2488"/>
      <c r="I129" s="2489"/>
      <c r="J129" s="2488"/>
      <c r="K129" s="2488"/>
      <c r="L129" s="2489"/>
      <c r="M129" s="2488"/>
      <c r="N129" s="2488"/>
      <c r="O129" s="2489"/>
      <c r="P129" s="2488"/>
      <c r="Q129" s="2488"/>
      <c r="R129" s="2490"/>
    </row>
    <row r="130" spans="2:18" s="799" customFormat="1">
      <c r="B130" s="2488"/>
      <c r="C130" s="2488"/>
      <c r="D130" s="2488"/>
      <c r="E130" s="2488"/>
      <c r="F130" s="2488"/>
      <c r="G130" s="2489"/>
      <c r="H130" s="2488"/>
      <c r="I130" s="2489"/>
      <c r="J130" s="2488"/>
      <c r="K130" s="2488"/>
      <c r="L130" s="2489"/>
      <c r="M130" s="2488"/>
      <c r="N130" s="2488"/>
      <c r="O130" s="2489"/>
      <c r="P130" s="2488"/>
      <c r="Q130" s="2488"/>
      <c r="R130" s="2490"/>
    </row>
    <row r="131" spans="2:18" s="799" customFormat="1">
      <c r="B131" s="2488"/>
      <c r="C131" s="2488"/>
      <c r="D131" s="2488"/>
      <c r="E131" s="2488"/>
      <c r="F131" s="2488"/>
      <c r="G131" s="2489"/>
      <c r="H131" s="2488"/>
      <c r="I131" s="2489"/>
      <c r="J131" s="2488"/>
      <c r="K131" s="2488"/>
      <c r="L131" s="2489"/>
      <c r="M131" s="2488"/>
      <c r="N131" s="2488"/>
      <c r="O131" s="2489"/>
      <c r="P131" s="2488"/>
      <c r="Q131" s="2488"/>
      <c r="R131" s="2490"/>
    </row>
    <row r="132" spans="2:18" s="799" customFormat="1">
      <c r="B132" s="2488"/>
      <c r="C132" s="2488"/>
      <c r="D132" s="2488"/>
      <c r="E132" s="2488"/>
      <c r="F132" s="2488"/>
      <c r="G132" s="2489"/>
      <c r="H132" s="2488"/>
      <c r="I132" s="2489"/>
      <c r="J132" s="2488"/>
      <c r="K132" s="2488"/>
      <c r="L132" s="2489"/>
      <c r="M132" s="2488"/>
      <c r="N132" s="2488"/>
      <c r="O132" s="2489"/>
      <c r="P132" s="2488"/>
      <c r="Q132" s="2488"/>
      <c r="R132" s="2490"/>
    </row>
    <row r="133" spans="2:18" s="799" customFormat="1">
      <c r="B133" s="2488"/>
      <c r="C133" s="2488"/>
      <c r="D133" s="2488"/>
      <c r="E133" s="2488"/>
      <c r="F133" s="2488"/>
      <c r="G133" s="2489"/>
      <c r="H133" s="2488"/>
      <c r="I133" s="2489"/>
      <c r="J133" s="2488"/>
      <c r="K133" s="2488"/>
      <c r="L133" s="2489"/>
      <c r="M133" s="2488"/>
      <c r="N133" s="2488"/>
      <c r="O133" s="2489"/>
      <c r="P133" s="2488"/>
      <c r="Q133" s="2488"/>
      <c r="R133" s="2490"/>
    </row>
    <row r="134" spans="2:18" s="799" customFormat="1">
      <c r="B134" s="2488"/>
      <c r="C134" s="2488"/>
      <c r="D134" s="2488"/>
      <c r="E134" s="2488"/>
      <c r="F134" s="2488"/>
      <c r="G134" s="2489"/>
      <c r="H134" s="2488"/>
      <c r="I134" s="2489"/>
      <c r="J134" s="2488"/>
      <c r="K134" s="2488"/>
      <c r="L134" s="2489"/>
      <c r="M134" s="2488"/>
      <c r="N134" s="2488"/>
      <c r="O134" s="2489"/>
      <c r="P134" s="2488"/>
      <c r="Q134" s="2488"/>
      <c r="R134" s="2490"/>
    </row>
    <row r="135" spans="2:18" s="799" customFormat="1">
      <c r="B135" s="2488"/>
      <c r="C135" s="2488"/>
      <c r="D135" s="2488"/>
      <c r="E135" s="2488"/>
      <c r="F135" s="2488"/>
      <c r="G135" s="2489"/>
      <c r="H135" s="2488"/>
      <c r="I135" s="2489"/>
      <c r="J135" s="2488"/>
      <c r="K135" s="2488"/>
      <c r="L135" s="2489"/>
      <c r="M135" s="2488"/>
      <c r="N135" s="2488"/>
      <c r="O135" s="2489"/>
      <c r="P135" s="2488"/>
      <c r="Q135" s="2488"/>
      <c r="R135" s="2490"/>
    </row>
    <row r="136" spans="2:18" s="799" customFormat="1">
      <c r="B136" s="2488"/>
      <c r="C136" s="2488"/>
      <c r="D136" s="2488"/>
      <c r="E136" s="2488"/>
      <c r="F136" s="2488"/>
      <c r="G136" s="2489"/>
      <c r="H136" s="2488"/>
      <c r="I136" s="2489"/>
      <c r="J136" s="2488"/>
      <c r="K136" s="2488"/>
      <c r="L136" s="2489"/>
      <c r="M136" s="2488"/>
      <c r="N136" s="2488"/>
      <c r="O136" s="2489"/>
      <c r="P136" s="2488"/>
      <c r="Q136" s="2488"/>
      <c r="R136" s="2490"/>
    </row>
    <row r="137" spans="2:18" s="799" customFormat="1">
      <c r="B137" s="2488"/>
      <c r="C137" s="2488"/>
      <c r="D137" s="2488"/>
      <c r="E137" s="2488"/>
      <c r="F137" s="2488"/>
      <c r="G137" s="2489"/>
      <c r="H137" s="2488"/>
      <c r="I137" s="2489"/>
      <c r="J137" s="2488"/>
      <c r="K137" s="2488"/>
      <c r="L137" s="2489"/>
      <c r="M137" s="2488"/>
      <c r="N137" s="2488"/>
      <c r="O137" s="2489"/>
      <c r="P137" s="2488"/>
      <c r="Q137" s="2488"/>
      <c r="R137" s="2490"/>
    </row>
    <row r="138" spans="2:18" s="799" customFormat="1">
      <c r="B138" s="2488"/>
      <c r="C138" s="2488"/>
      <c r="D138" s="2488"/>
      <c r="E138" s="2488"/>
      <c r="F138" s="2488"/>
      <c r="G138" s="2489"/>
      <c r="H138" s="2488"/>
      <c r="I138" s="2489"/>
      <c r="J138" s="2488"/>
      <c r="K138" s="2488"/>
      <c r="L138" s="2489"/>
      <c r="M138" s="2488"/>
      <c r="N138" s="2488"/>
      <c r="O138" s="2489"/>
      <c r="P138" s="2488"/>
      <c r="Q138" s="2488"/>
      <c r="R138" s="2490"/>
    </row>
    <row r="139" spans="2:18" s="799" customFormat="1">
      <c r="B139" s="2488"/>
      <c r="C139" s="2488"/>
      <c r="D139" s="2488"/>
      <c r="E139" s="2488"/>
      <c r="F139" s="2488"/>
      <c r="G139" s="2489"/>
      <c r="H139" s="2488"/>
      <c r="I139" s="2489"/>
      <c r="J139" s="2488"/>
      <c r="K139" s="2488"/>
      <c r="L139" s="2489"/>
      <c r="M139" s="2488"/>
      <c r="N139" s="2488"/>
      <c r="O139" s="2489"/>
      <c r="P139" s="2488"/>
      <c r="Q139" s="2488"/>
      <c r="R139" s="2490"/>
    </row>
    <row r="140" spans="2:18" s="799" customFormat="1">
      <c r="B140" s="2488"/>
      <c r="C140" s="2488"/>
      <c r="D140" s="2488"/>
      <c r="E140" s="2488"/>
      <c r="F140" s="2488"/>
      <c r="G140" s="2489"/>
      <c r="H140" s="2488"/>
      <c r="I140" s="2489"/>
      <c r="J140" s="2488"/>
      <c r="K140" s="2488"/>
      <c r="L140" s="2489"/>
      <c r="M140" s="2488"/>
      <c r="N140" s="2488"/>
      <c r="O140" s="2489"/>
      <c r="P140" s="2488"/>
      <c r="Q140" s="2488"/>
      <c r="R140" s="2490"/>
    </row>
    <row r="141" spans="2:18" s="799" customFormat="1">
      <c r="B141" s="2488"/>
      <c r="C141" s="2488"/>
      <c r="D141" s="2488"/>
      <c r="E141" s="2488"/>
      <c r="F141" s="2488"/>
      <c r="G141" s="2489"/>
      <c r="H141" s="2488"/>
      <c r="I141" s="2489"/>
      <c r="J141" s="2488"/>
      <c r="K141" s="2488"/>
      <c r="L141" s="2489"/>
      <c r="M141" s="2488"/>
      <c r="N141" s="2488"/>
      <c r="O141" s="2489"/>
      <c r="P141" s="2488"/>
      <c r="Q141" s="2488"/>
      <c r="R141" s="2490"/>
    </row>
    <row r="142" spans="2:18" s="799" customFormat="1">
      <c r="B142" s="2488"/>
      <c r="C142" s="2488"/>
      <c r="D142" s="2488"/>
      <c r="E142" s="2488"/>
      <c r="F142" s="2488"/>
      <c r="G142" s="2489"/>
      <c r="H142" s="2488"/>
      <c r="I142" s="2489"/>
      <c r="J142" s="2488"/>
      <c r="K142" s="2488"/>
      <c r="L142" s="2489"/>
      <c r="M142" s="2488"/>
      <c r="N142" s="2488"/>
      <c r="O142" s="2489"/>
      <c r="P142" s="2488"/>
      <c r="Q142" s="2488"/>
      <c r="R142" s="2490"/>
    </row>
    <row r="143" spans="2:18" s="799" customFormat="1">
      <c r="B143" s="2488"/>
      <c r="C143" s="2488"/>
      <c r="D143" s="2488"/>
      <c r="E143" s="2488"/>
      <c r="F143" s="2488"/>
      <c r="G143" s="2489"/>
      <c r="H143" s="2488"/>
      <c r="I143" s="2489"/>
      <c r="J143" s="2488"/>
      <c r="K143" s="2488"/>
      <c r="L143" s="2489"/>
      <c r="M143" s="2488"/>
      <c r="N143" s="2488"/>
      <c r="O143" s="2489"/>
      <c r="P143" s="2488"/>
      <c r="Q143" s="2488"/>
      <c r="R143" s="2490"/>
    </row>
    <row r="144" spans="2:18" s="799" customFormat="1">
      <c r="B144" s="2488"/>
      <c r="C144" s="2488"/>
      <c r="D144" s="2488"/>
      <c r="E144" s="2488"/>
      <c r="F144" s="2488"/>
      <c r="G144" s="2489"/>
      <c r="H144" s="2488"/>
      <c r="I144" s="2489"/>
      <c r="J144" s="2488"/>
      <c r="K144" s="2488"/>
      <c r="L144" s="2489"/>
      <c r="M144" s="2488"/>
      <c r="N144" s="2488"/>
      <c r="O144" s="2489"/>
      <c r="P144" s="2488"/>
      <c r="Q144" s="2488"/>
      <c r="R144" s="2490"/>
    </row>
    <row r="145" spans="2:18" s="799" customFormat="1">
      <c r="B145" s="2488"/>
      <c r="C145" s="2488"/>
      <c r="D145" s="2488"/>
      <c r="E145" s="2488"/>
      <c r="F145" s="2488"/>
      <c r="G145" s="2489"/>
      <c r="H145" s="2488"/>
      <c r="I145" s="2489"/>
      <c r="J145" s="2488"/>
      <c r="K145" s="2488"/>
      <c r="L145" s="2489"/>
      <c r="M145" s="2488"/>
      <c r="N145" s="2488"/>
      <c r="O145" s="2489"/>
      <c r="P145" s="2488"/>
      <c r="Q145" s="2488"/>
      <c r="R145" s="2490"/>
    </row>
    <row r="146" spans="2:18" s="799" customFormat="1">
      <c r="B146" s="2488"/>
      <c r="C146" s="2488"/>
      <c r="D146" s="2488"/>
      <c r="E146" s="2488"/>
      <c r="F146" s="2488"/>
      <c r="G146" s="2489"/>
      <c r="H146" s="2488"/>
      <c r="I146" s="2489"/>
      <c r="J146" s="2488"/>
      <c r="K146" s="2488"/>
      <c r="L146" s="2489"/>
      <c r="M146" s="2488"/>
      <c r="N146" s="2488"/>
      <c r="O146" s="2489"/>
      <c r="P146" s="2488"/>
      <c r="Q146" s="2488"/>
      <c r="R146" s="2490"/>
    </row>
    <row r="147" spans="2:18" s="799" customFormat="1">
      <c r="B147" s="2488"/>
      <c r="C147" s="2488"/>
      <c r="D147" s="2488"/>
      <c r="E147" s="2488"/>
      <c r="F147" s="2488"/>
      <c r="G147" s="2489"/>
      <c r="H147" s="2488"/>
      <c r="I147" s="2489"/>
      <c r="J147" s="2488"/>
      <c r="K147" s="2488"/>
      <c r="L147" s="2489"/>
      <c r="M147" s="2488"/>
      <c r="N147" s="2488"/>
      <c r="O147" s="2489"/>
      <c r="P147" s="2488"/>
      <c r="Q147" s="2488"/>
      <c r="R147" s="2490"/>
    </row>
    <row r="148" spans="2:18" s="799" customFormat="1">
      <c r="B148" s="2488"/>
      <c r="C148" s="2488"/>
      <c r="D148" s="2488"/>
      <c r="E148" s="2488"/>
      <c r="F148" s="2488"/>
      <c r="G148" s="2489"/>
      <c r="H148" s="2488"/>
      <c r="I148" s="2489"/>
      <c r="J148" s="2488"/>
      <c r="K148" s="2488"/>
      <c r="L148" s="2489"/>
      <c r="M148" s="2488"/>
      <c r="N148" s="2488"/>
      <c r="O148" s="2489"/>
      <c r="P148" s="2488"/>
      <c r="Q148" s="2488"/>
      <c r="R148" s="2490"/>
    </row>
    <row r="149" spans="2:18" s="799" customFormat="1">
      <c r="B149" s="2488"/>
      <c r="C149" s="2488"/>
      <c r="D149" s="2488"/>
      <c r="E149" s="2488"/>
      <c r="F149" s="2488"/>
      <c r="G149" s="2489"/>
      <c r="H149" s="2488"/>
      <c r="I149" s="2489"/>
      <c r="J149" s="2488"/>
      <c r="K149" s="2488"/>
      <c r="L149" s="2489"/>
      <c r="M149" s="2488"/>
      <c r="N149" s="2488"/>
      <c r="O149" s="2489"/>
      <c r="P149" s="2488"/>
      <c r="Q149" s="2488"/>
      <c r="R149" s="2490"/>
    </row>
    <row r="150" spans="2:18" s="799" customFormat="1">
      <c r="B150" s="2488"/>
      <c r="C150" s="2488"/>
      <c r="D150" s="2488"/>
      <c r="E150" s="2488"/>
      <c r="F150" s="2488"/>
      <c r="G150" s="2489"/>
      <c r="H150" s="2488"/>
      <c r="I150" s="2489"/>
      <c r="J150" s="2488"/>
      <c r="K150" s="2488"/>
      <c r="L150" s="2489"/>
      <c r="M150" s="2488"/>
      <c r="N150" s="2488"/>
      <c r="O150" s="2489"/>
      <c r="P150" s="2488"/>
      <c r="Q150" s="2488"/>
      <c r="R150" s="2490"/>
    </row>
    <row r="151" spans="2:18" s="799" customFormat="1">
      <c r="B151" s="2488"/>
      <c r="C151" s="2488"/>
      <c r="D151" s="2488"/>
      <c r="E151" s="2488"/>
      <c r="F151" s="2488"/>
      <c r="G151" s="2489"/>
      <c r="H151" s="2488"/>
      <c r="I151" s="2489"/>
      <c r="J151" s="2488"/>
      <c r="K151" s="2488"/>
      <c r="L151" s="2489"/>
      <c r="M151" s="2488"/>
      <c r="N151" s="2488"/>
      <c r="O151" s="2489"/>
      <c r="P151" s="2488"/>
      <c r="Q151" s="2488"/>
      <c r="R151" s="2490"/>
    </row>
    <row r="152" spans="2:18" s="799" customFormat="1">
      <c r="B152" s="2488"/>
      <c r="C152" s="2488"/>
      <c r="D152" s="2488"/>
      <c r="E152" s="2488"/>
      <c r="F152" s="2488"/>
      <c r="G152" s="2489"/>
      <c r="H152" s="2488"/>
      <c r="I152" s="2489"/>
      <c r="J152" s="2488"/>
      <c r="K152" s="2488"/>
      <c r="L152" s="2489"/>
      <c r="M152" s="2488"/>
      <c r="N152" s="2488"/>
      <c r="O152" s="2489"/>
      <c r="P152" s="2488"/>
      <c r="Q152" s="2488"/>
      <c r="R152" s="2490"/>
    </row>
    <row r="153" spans="2:18" s="799" customFormat="1">
      <c r="B153" s="2488"/>
      <c r="C153" s="2488"/>
      <c r="D153" s="2488"/>
      <c r="E153" s="2488"/>
      <c r="F153" s="2488"/>
      <c r="G153" s="2489"/>
      <c r="H153" s="2488"/>
      <c r="I153" s="2489"/>
      <c r="J153" s="2488"/>
      <c r="K153" s="2488"/>
      <c r="L153" s="2489"/>
      <c r="M153" s="2488"/>
      <c r="N153" s="2488"/>
      <c r="O153" s="2489"/>
      <c r="P153" s="2488"/>
      <c r="Q153" s="2488"/>
      <c r="R153" s="2490"/>
    </row>
    <row r="154" spans="2:18" s="799" customFormat="1">
      <c r="B154" s="2488"/>
      <c r="C154" s="2488"/>
      <c r="D154" s="2488"/>
      <c r="E154" s="2488"/>
      <c r="F154" s="2488"/>
      <c r="G154" s="2489"/>
      <c r="H154" s="2488"/>
      <c r="I154" s="2489"/>
      <c r="J154" s="2488"/>
      <c r="K154" s="2488"/>
      <c r="L154" s="2489"/>
      <c r="M154" s="2488"/>
      <c r="N154" s="2488"/>
      <c r="O154" s="2489"/>
      <c r="P154" s="2488"/>
      <c r="Q154" s="2488"/>
      <c r="R154" s="2490"/>
    </row>
    <row r="155" spans="2:18" s="799" customFormat="1">
      <c r="B155" s="2488"/>
      <c r="C155" s="2488"/>
      <c r="D155" s="2488"/>
      <c r="E155" s="2488"/>
      <c r="F155" s="2488"/>
      <c r="G155" s="2489"/>
      <c r="H155" s="2488"/>
      <c r="I155" s="2489"/>
      <c r="J155" s="2488"/>
      <c r="K155" s="2488"/>
      <c r="L155" s="2489"/>
      <c r="M155" s="2488"/>
      <c r="N155" s="2488"/>
      <c r="O155" s="2489"/>
      <c r="P155" s="2488"/>
      <c r="Q155" s="2488"/>
      <c r="R155" s="2490"/>
    </row>
    <row r="156" spans="2:18" s="799" customFormat="1">
      <c r="B156" s="2488"/>
      <c r="C156" s="2488"/>
      <c r="D156" s="2488"/>
      <c r="E156" s="2488"/>
      <c r="F156" s="2488"/>
      <c r="G156" s="2489"/>
      <c r="H156" s="2488"/>
      <c r="I156" s="2489"/>
      <c r="J156" s="2488"/>
      <c r="K156" s="2488"/>
      <c r="L156" s="2489"/>
      <c r="M156" s="2488"/>
      <c r="N156" s="2488"/>
      <c r="O156" s="2489"/>
      <c r="P156" s="2488"/>
      <c r="Q156" s="2488"/>
      <c r="R156" s="2490"/>
    </row>
    <row r="157" spans="2:18" s="799" customFormat="1">
      <c r="B157" s="2488"/>
      <c r="C157" s="2488"/>
      <c r="D157" s="2488"/>
      <c r="E157" s="2488"/>
      <c r="F157" s="2488"/>
      <c r="G157" s="2489"/>
      <c r="H157" s="2488"/>
      <c r="I157" s="2489"/>
      <c r="J157" s="2488"/>
      <c r="K157" s="2488"/>
      <c r="L157" s="2489"/>
      <c r="M157" s="2488"/>
      <c r="N157" s="2488"/>
      <c r="O157" s="2489"/>
      <c r="P157" s="2488"/>
      <c r="Q157" s="2488"/>
      <c r="R157" s="2490"/>
    </row>
    <row r="158" spans="2:18" s="799" customFormat="1">
      <c r="B158" s="2488"/>
      <c r="C158" s="2488"/>
      <c r="D158" s="2488"/>
      <c r="E158" s="2488"/>
      <c r="F158" s="2488"/>
      <c r="G158" s="2489"/>
      <c r="H158" s="2488"/>
      <c r="I158" s="2489"/>
      <c r="J158" s="2488"/>
      <c r="K158" s="2488"/>
      <c r="L158" s="2489"/>
      <c r="M158" s="2488"/>
      <c r="N158" s="2488"/>
      <c r="O158" s="2489"/>
      <c r="P158" s="2488"/>
      <c r="Q158" s="2488"/>
      <c r="R158" s="2490"/>
    </row>
    <row r="159" spans="2:18" s="799" customFormat="1">
      <c r="B159" s="2488"/>
      <c r="C159" s="2488"/>
      <c r="D159" s="2488"/>
      <c r="E159" s="2488"/>
      <c r="F159" s="2488"/>
      <c r="G159" s="2489"/>
      <c r="H159" s="2488"/>
      <c r="I159" s="2489"/>
      <c r="J159" s="2488"/>
      <c r="K159" s="2488"/>
      <c r="L159" s="2489"/>
      <c r="M159" s="2488"/>
      <c r="N159" s="2488"/>
      <c r="O159" s="2489"/>
      <c r="P159" s="2488"/>
      <c r="Q159" s="2488"/>
      <c r="R159" s="2490"/>
    </row>
    <row r="160" spans="2:18" s="799" customFormat="1">
      <c r="B160" s="2488"/>
      <c r="C160" s="2488"/>
      <c r="D160" s="2488"/>
      <c r="E160" s="2488"/>
      <c r="F160" s="2488"/>
      <c r="G160" s="2489"/>
      <c r="H160" s="2488"/>
      <c r="I160" s="2489"/>
      <c r="J160" s="2488"/>
      <c r="K160" s="2488"/>
      <c r="L160" s="2489"/>
      <c r="M160" s="2488"/>
      <c r="N160" s="2488"/>
      <c r="O160" s="2489"/>
      <c r="P160" s="2488"/>
      <c r="Q160" s="2488"/>
      <c r="R160" s="2490"/>
    </row>
    <row r="161" spans="2:18" s="799" customFormat="1">
      <c r="B161" s="2488"/>
      <c r="C161" s="2488"/>
      <c r="D161" s="2488"/>
      <c r="E161" s="2488"/>
      <c r="F161" s="2488"/>
      <c r="G161" s="2489"/>
      <c r="H161" s="2488"/>
      <c r="I161" s="2489"/>
      <c r="J161" s="2488"/>
      <c r="K161" s="2488"/>
      <c r="L161" s="2489"/>
      <c r="M161" s="2488"/>
      <c r="N161" s="2488"/>
      <c r="O161" s="2489"/>
      <c r="P161" s="2488"/>
      <c r="Q161" s="2488"/>
      <c r="R161" s="2490"/>
    </row>
    <row r="162" spans="2:18" s="799" customFormat="1">
      <c r="B162" s="2488"/>
      <c r="C162" s="2488"/>
      <c r="D162" s="2488"/>
      <c r="E162" s="2488"/>
      <c r="F162" s="2488"/>
      <c r="G162" s="2489"/>
      <c r="H162" s="2488"/>
      <c r="I162" s="2489"/>
      <c r="J162" s="2488"/>
      <c r="K162" s="2488"/>
      <c r="L162" s="2489"/>
      <c r="M162" s="2488"/>
      <c r="N162" s="2488"/>
      <c r="O162" s="2489"/>
      <c r="P162" s="2488"/>
      <c r="Q162" s="2488"/>
      <c r="R162" s="2490"/>
    </row>
    <row r="163" spans="2:18" s="799" customFormat="1">
      <c r="B163" s="2488"/>
      <c r="C163" s="2488"/>
      <c r="D163" s="2488"/>
      <c r="E163" s="2488"/>
      <c r="F163" s="2488"/>
      <c r="G163" s="2489"/>
      <c r="H163" s="2488"/>
      <c r="I163" s="2489"/>
      <c r="J163" s="2488"/>
      <c r="K163" s="2488"/>
      <c r="L163" s="2489"/>
      <c r="M163" s="2488"/>
      <c r="N163" s="2488"/>
      <c r="O163" s="2489"/>
      <c r="P163" s="2488"/>
      <c r="Q163" s="2488"/>
      <c r="R163" s="2490"/>
    </row>
    <row r="164" spans="2:18" s="799" customFormat="1">
      <c r="B164" s="2488"/>
      <c r="C164" s="2488"/>
      <c r="D164" s="2488"/>
      <c r="E164" s="2488"/>
      <c r="F164" s="2488"/>
      <c r="G164" s="2489"/>
      <c r="H164" s="2488"/>
      <c r="I164" s="2489"/>
      <c r="J164" s="2488"/>
      <c r="K164" s="2488"/>
      <c r="L164" s="2489"/>
      <c r="M164" s="2488"/>
      <c r="N164" s="2488"/>
      <c r="O164" s="2489"/>
      <c r="P164" s="2488"/>
      <c r="Q164" s="2488"/>
      <c r="R164" s="2490"/>
    </row>
    <row r="165" spans="2:18" s="799" customFormat="1">
      <c r="B165" s="2488"/>
      <c r="C165" s="2488"/>
      <c r="D165" s="2488"/>
      <c r="E165" s="2488"/>
      <c r="F165" s="2488"/>
      <c r="G165" s="2489"/>
      <c r="H165" s="2488"/>
      <c r="I165" s="2489"/>
      <c r="J165" s="2488"/>
      <c r="K165" s="2488"/>
      <c r="L165" s="2489"/>
      <c r="M165" s="2488"/>
      <c r="N165" s="2488"/>
      <c r="O165" s="2489"/>
      <c r="P165" s="2488"/>
      <c r="Q165" s="2488"/>
      <c r="R165" s="2490"/>
    </row>
    <row r="166" spans="2:18" s="799" customFormat="1">
      <c r="B166" s="2488"/>
      <c r="C166" s="2488"/>
      <c r="D166" s="2488"/>
      <c r="E166" s="2488"/>
      <c r="F166" s="2488"/>
      <c r="G166" s="2489"/>
      <c r="H166" s="2488"/>
      <c r="I166" s="2489"/>
      <c r="J166" s="2488"/>
      <c r="K166" s="2488"/>
      <c r="L166" s="2489"/>
      <c r="M166" s="2488"/>
      <c r="N166" s="2488"/>
      <c r="O166" s="2489"/>
      <c r="P166" s="2488"/>
      <c r="Q166" s="2488"/>
      <c r="R166" s="2490"/>
    </row>
    <row r="167" spans="2:18" s="799" customFormat="1">
      <c r="B167" s="2488"/>
      <c r="C167" s="2488"/>
      <c r="D167" s="2488"/>
      <c r="E167" s="2488"/>
      <c r="F167" s="2488"/>
      <c r="G167" s="2489"/>
      <c r="H167" s="2488"/>
      <c r="I167" s="2489"/>
      <c r="J167" s="2488"/>
      <c r="K167" s="2488"/>
      <c r="L167" s="2489"/>
      <c r="M167" s="2488"/>
      <c r="N167" s="2488"/>
      <c r="O167" s="2489"/>
      <c r="P167" s="2488"/>
      <c r="Q167" s="2488"/>
      <c r="R167" s="2490"/>
    </row>
    <row r="168" spans="2:18" s="799" customFormat="1">
      <c r="B168" s="2488"/>
      <c r="C168" s="2488"/>
      <c r="D168" s="2488"/>
      <c r="E168" s="2488"/>
      <c r="F168" s="2488"/>
      <c r="G168" s="2489"/>
      <c r="H168" s="2488"/>
      <c r="I168" s="2489"/>
      <c r="J168" s="2488"/>
      <c r="K168" s="2488"/>
      <c r="L168" s="2489"/>
      <c r="M168" s="2488"/>
      <c r="N168" s="2488"/>
      <c r="O168" s="2489"/>
      <c r="P168" s="2488"/>
      <c r="Q168" s="2488"/>
      <c r="R168" s="2490"/>
    </row>
    <row r="169" spans="2:18" s="799" customFormat="1">
      <c r="B169" s="2488"/>
      <c r="C169" s="2488"/>
      <c r="D169" s="2488"/>
      <c r="E169" s="2488"/>
      <c r="F169" s="2488"/>
      <c r="G169" s="2489"/>
      <c r="H169" s="2488"/>
      <c r="I169" s="2489"/>
      <c r="J169" s="2488"/>
      <c r="K169" s="2488"/>
      <c r="L169" s="2489"/>
      <c r="M169" s="2488"/>
      <c r="N169" s="2488"/>
      <c r="O169" s="2489"/>
      <c r="P169" s="2488"/>
      <c r="Q169" s="2488"/>
      <c r="R169" s="2490"/>
    </row>
    <row r="170" spans="2:18" s="799" customFormat="1">
      <c r="B170" s="2488"/>
      <c r="C170" s="2488"/>
      <c r="D170" s="2488"/>
      <c r="E170" s="2488"/>
      <c r="F170" s="2488"/>
      <c r="G170" s="2489"/>
      <c r="H170" s="2488"/>
      <c r="I170" s="2489"/>
      <c r="J170" s="2488"/>
      <c r="K170" s="2488"/>
      <c r="L170" s="2489"/>
      <c r="M170" s="2488"/>
      <c r="N170" s="2488"/>
      <c r="O170" s="2489"/>
      <c r="P170" s="2488"/>
      <c r="Q170" s="2488"/>
      <c r="R170" s="2490"/>
    </row>
    <row r="171" spans="2:18" s="799" customFormat="1">
      <c r="B171" s="2488"/>
      <c r="C171" s="2488"/>
      <c r="D171" s="2488"/>
      <c r="E171" s="2488"/>
      <c r="F171" s="2488"/>
      <c r="G171" s="2489"/>
      <c r="H171" s="2488"/>
      <c r="I171" s="2489"/>
      <c r="J171" s="2488"/>
      <c r="K171" s="2488"/>
      <c r="L171" s="2489"/>
      <c r="M171" s="2488"/>
      <c r="N171" s="2488"/>
      <c r="O171" s="2489"/>
      <c r="P171" s="2488"/>
      <c r="Q171" s="2488"/>
      <c r="R171" s="2490"/>
    </row>
    <row r="172" spans="2:18" s="799" customFormat="1">
      <c r="B172" s="2488"/>
      <c r="C172" s="2488"/>
      <c r="D172" s="2488"/>
      <c r="E172" s="2488"/>
      <c r="F172" s="2488"/>
      <c r="G172" s="2489"/>
      <c r="H172" s="2488"/>
      <c r="I172" s="2489"/>
      <c r="J172" s="2488"/>
      <c r="K172" s="2488"/>
      <c r="L172" s="2489"/>
      <c r="M172" s="2488"/>
      <c r="N172" s="2488"/>
      <c r="O172" s="2489"/>
      <c r="P172" s="2488"/>
      <c r="Q172" s="2488"/>
      <c r="R172" s="2490"/>
    </row>
    <row r="173" spans="2:18" s="799" customFormat="1">
      <c r="B173" s="2488"/>
      <c r="C173" s="2488"/>
      <c r="D173" s="2488"/>
      <c r="E173" s="2488"/>
      <c r="F173" s="2488"/>
      <c r="G173" s="2489"/>
      <c r="H173" s="2488"/>
      <c r="I173" s="2489"/>
      <c r="J173" s="2488"/>
      <c r="K173" s="2488"/>
      <c r="L173" s="2489"/>
      <c r="M173" s="2488"/>
      <c r="N173" s="2488"/>
      <c r="O173" s="2489"/>
      <c r="P173" s="2488"/>
      <c r="Q173" s="2488"/>
      <c r="R173" s="2490"/>
    </row>
    <row r="174" spans="2:18" s="799" customFormat="1">
      <c r="B174" s="2488"/>
      <c r="C174" s="2488"/>
      <c r="D174" s="2488"/>
      <c r="E174" s="2488"/>
      <c r="F174" s="2488"/>
      <c r="G174" s="2489"/>
      <c r="H174" s="2488"/>
      <c r="I174" s="2489"/>
      <c r="J174" s="2488"/>
      <c r="K174" s="2488"/>
      <c r="L174" s="2489"/>
      <c r="M174" s="2488"/>
      <c r="N174" s="2488"/>
      <c r="O174" s="2489"/>
      <c r="P174" s="2488"/>
      <c r="Q174" s="2488"/>
      <c r="R174" s="2490"/>
    </row>
    <row r="175" spans="2:18" s="799" customFormat="1">
      <c r="B175" s="2488"/>
      <c r="C175" s="2488"/>
      <c r="D175" s="2488"/>
      <c r="E175" s="2488"/>
      <c r="F175" s="2488"/>
      <c r="G175" s="2489"/>
      <c r="H175" s="2488"/>
      <c r="I175" s="2489"/>
      <c r="J175" s="2488"/>
      <c r="K175" s="2488"/>
      <c r="L175" s="2489"/>
      <c r="M175" s="2488"/>
      <c r="N175" s="2488"/>
      <c r="O175" s="2489"/>
      <c r="P175" s="2488"/>
      <c r="Q175" s="2488"/>
      <c r="R175" s="2490"/>
    </row>
    <row r="176" spans="2:18" s="799" customFormat="1">
      <c r="B176" s="2488"/>
      <c r="C176" s="2488"/>
      <c r="D176" s="2488"/>
      <c r="E176" s="2488"/>
      <c r="F176" s="2488"/>
      <c r="G176" s="2489"/>
      <c r="H176" s="2488"/>
      <c r="I176" s="2489"/>
      <c r="J176" s="2488"/>
      <c r="K176" s="2488"/>
      <c r="L176" s="2489"/>
      <c r="M176" s="2488"/>
      <c r="N176" s="2488"/>
      <c r="O176" s="2489"/>
      <c r="P176" s="2488"/>
      <c r="Q176" s="2488"/>
      <c r="R176" s="2490"/>
    </row>
    <row r="177" spans="1:18" s="799" customFormat="1">
      <c r="B177" s="2488"/>
      <c r="C177" s="2488"/>
      <c r="D177" s="2488"/>
      <c r="E177" s="2488"/>
      <c r="F177" s="2488"/>
      <c r="G177" s="2489"/>
      <c r="H177" s="2488"/>
      <c r="I177" s="2489"/>
      <c r="J177" s="2488"/>
      <c r="K177" s="2488"/>
      <c r="L177" s="2489"/>
      <c r="M177" s="2488"/>
      <c r="N177" s="2488"/>
      <c r="O177" s="2489"/>
      <c r="P177" s="2488"/>
      <c r="Q177" s="2488"/>
      <c r="R177" s="2490"/>
    </row>
    <row r="178" spans="1:18" s="799" customFormat="1">
      <c r="B178" s="2488"/>
      <c r="C178" s="2488"/>
      <c r="D178" s="2488"/>
      <c r="E178" s="2488"/>
      <c r="F178" s="2488"/>
      <c r="G178" s="2489"/>
      <c r="H178" s="2488"/>
      <c r="I178" s="2489"/>
      <c r="J178" s="2488"/>
      <c r="K178" s="2488"/>
      <c r="L178" s="2489"/>
      <c r="M178" s="2488"/>
      <c r="N178" s="2488"/>
      <c r="O178" s="2489"/>
      <c r="P178" s="2488"/>
      <c r="Q178" s="2488"/>
      <c r="R178" s="2490"/>
    </row>
    <row r="179" spans="1:18" s="799" customFormat="1">
      <c r="B179" s="2488"/>
      <c r="C179" s="2488"/>
      <c r="D179" s="2488"/>
      <c r="E179" s="2488"/>
      <c r="F179" s="2488"/>
      <c r="G179" s="2489"/>
      <c r="H179" s="2488"/>
      <c r="I179" s="2489"/>
      <c r="J179" s="2488"/>
      <c r="K179" s="2488"/>
      <c r="L179" s="2489"/>
      <c r="M179" s="2488"/>
      <c r="N179" s="2488"/>
      <c r="O179" s="2489"/>
      <c r="P179" s="2488"/>
      <c r="Q179" s="2488"/>
      <c r="R179" s="2490"/>
    </row>
    <row r="180" spans="1:18" s="799" customFormat="1">
      <c r="B180" s="2488"/>
      <c r="C180" s="2488"/>
      <c r="D180" s="2488"/>
      <c r="E180" s="2488"/>
      <c r="F180" s="2488"/>
      <c r="G180" s="2489"/>
      <c r="H180" s="2488"/>
      <c r="I180" s="2489"/>
      <c r="J180" s="2488"/>
      <c r="K180" s="2488"/>
      <c r="L180" s="2489"/>
      <c r="M180" s="2488"/>
      <c r="N180" s="2488"/>
      <c r="O180" s="2489"/>
      <c r="P180" s="2488"/>
      <c r="Q180" s="2488"/>
      <c r="R180" s="2490"/>
    </row>
    <row r="181" spans="1:18" s="799" customFormat="1">
      <c r="B181" s="2488"/>
      <c r="C181" s="2488"/>
      <c r="D181" s="2488"/>
      <c r="E181" s="2488"/>
      <c r="F181" s="2488"/>
      <c r="G181" s="2489"/>
      <c r="H181" s="2488"/>
      <c r="I181" s="2489"/>
      <c r="J181" s="2488"/>
      <c r="K181" s="2488"/>
      <c r="L181" s="2489"/>
      <c r="M181" s="2488"/>
      <c r="N181" s="2488"/>
      <c r="O181" s="2489"/>
      <c r="P181" s="2488"/>
      <c r="Q181" s="2488"/>
      <c r="R181" s="2490"/>
    </row>
    <row r="182" spans="1:18" s="799" customFormat="1">
      <c r="B182" s="2488"/>
      <c r="C182" s="2488"/>
      <c r="D182" s="2488"/>
      <c r="E182" s="2488"/>
      <c r="F182" s="2488"/>
      <c r="G182" s="2489"/>
      <c r="H182" s="2488"/>
      <c r="I182" s="2489"/>
      <c r="J182" s="2488"/>
      <c r="K182" s="2488"/>
      <c r="L182" s="2489"/>
      <c r="M182" s="2488"/>
      <c r="N182" s="2488"/>
      <c r="O182" s="2489"/>
      <c r="P182" s="2488"/>
      <c r="Q182" s="2488"/>
      <c r="R182" s="2490"/>
    </row>
    <row r="183" spans="1:18" s="799" customFormat="1">
      <c r="B183" s="2488"/>
      <c r="C183" s="2488"/>
      <c r="D183" s="2488"/>
      <c r="E183" s="2488"/>
      <c r="F183" s="2488"/>
      <c r="G183" s="2489"/>
      <c r="H183" s="2488"/>
      <c r="I183" s="2489"/>
      <c r="J183" s="2488"/>
      <c r="K183" s="2488"/>
      <c r="L183" s="2489"/>
      <c r="M183" s="2488"/>
      <c r="N183" s="2488"/>
      <c r="O183" s="2489"/>
      <c r="P183" s="2488"/>
      <c r="Q183" s="2488"/>
      <c r="R183" s="2490"/>
    </row>
    <row r="184" spans="1:18" s="799" customFormat="1">
      <c r="B184" s="2488"/>
      <c r="C184" s="2488"/>
      <c r="D184" s="2488"/>
      <c r="E184" s="2488"/>
      <c r="F184" s="2488"/>
      <c r="G184" s="2489"/>
      <c r="H184" s="2488"/>
      <c r="I184" s="2489"/>
      <c r="J184" s="2488"/>
      <c r="K184" s="2488"/>
      <c r="L184" s="2489"/>
      <c r="M184" s="2488"/>
      <c r="N184" s="2488"/>
      <c r="O184" s="2489"/>
      <c r="P184" s="2488"/>
      <c r="Q184" s="2488"/>
      <c r="R184" s="2490"/>
    </row>
    <row r="185" spans="1:18" s="799"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9"/>
      <c r="B186" s="2488"/>
      <c r="C186" s="2488"/>
      <c r="E186" s="2488"/>
      <c r="F186" s="2488"/>
      <c r="G186" s="2489"/>
    </row>
    <row r="187" spans="1:18">
      <c r="A187" s="799"/>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16" sqref="F16"/>
    </sheetView>
  </sheetViews>
  <sheetFormatPr defaultColWidth="9" defaultRowHeight="14.4"/>
  <cols>
    <col min="1" max="1" width="25" style="2510" customWidth="1"/>
    <col min="2" max="9" width="15.77734375" style="2510" customWidth="1"/>
    <col min="10" max="16384" width="9" style="2510"/>
  </cols>
  <sheetData>
    <row r="1" spans="1:11" ht="16.2">
      <c r="A1" s="2509" t="s">
        <v>665</v>
      </c>
      <c r="B1" s="2509">
        <f>SUM(B14:B23)</f>
        <v>375.87</v>
      </c>
      <c r="C1" s="2683"/>
      <c r="D1" s="2683"/>
      <c r="E1" s="2683"/>
      <c r="F1" s="2683"/>
      <c r="G1" s="2684"/>
      <c r="H1" s="2685"/>
      <c r="I1" s="2685"/>
      <c r="J1" s="2685"/>
      <c r="K1" s="2685"/>
    </row>
    <row r="2" spans="1:11" ht="16.2">
      <c r="A2" s="2509" t="s">
        <v>653</v>
      </c>
      <c r="B2" s="2509">
        <f>SUM(C14:C23)</f>
        <v>0</v>
      </c>
      <c r="C2" s="2683"/>
      <c r="D2" s="2683"/>
      <c r="E2" s="2683"/>
      <c r="F2" s="2683"/>
      <c r="G2" s="2684"/>
      <c r="H2" s="2685"/>
      <c r="I2" s="2685"/>
      <c r="J2" s="2685"/>
      <c r="K2" s="2685"/>
    </row>
    <row r="3" spans="1:11" ht="15.6">
      <c r="A3" s="2509" t="s">
        <v>662</v>
      </c>
      <c r="B3" s="2511">
        <f>项目基本情况!D3</f>
        <v>45622</v>
      </c>
      <c r="C3" s="2683"/>
      <c r="D3" s="2683"/>
      <c r="E3" s="2683"/>
      <c r="F3" s="2683"/>
      <c r="G3" s="2684"/>
      <c r="H3" s="2685"/>
      <c r="I3" s="2685"/>
      <c r="J3" s="2685"/>
      <c r="K3" s="2685"/>
    </row>
    <row r="4" spans="1:11" ht="31.2">
      <c r="A4" s="2509" t="s">
        <v>661</v>
      </c>
      <c r="B4" s="2509" t="s">
        <v>660</v>
      </c>
      <c r="C4" s="2509" t="s">
        <v>659</v>
      </c>
      <c r="D4" s="2509" t="s">
        <v>658</v>
      </c>
      <c r="E4" s="2683"/>
      <c r="F4" s="2684"/>
      <c r="G4" s="2684"/>
      <c r="H4" s="2685"/>
      <c r="I4" s="2685"/>
      <c r="J4" s="2685"/>
      <c r="K4" s="2685"/>
    </row>
    <row r="5" spans="1:11" ht="15.6">
      <c r="A5" s="2509" t="s">
        <v>657</v>
      </c>
      <c r="B5" s="2509">
        <f ca="1">SUM(D14:D23)</f>
        <v>3830</v>
      </c>
      <c r="C5" s="2509" t="e">
        <f ca="1">IF(B5=D14,结果表!H102,ROUND(B5*10000/$B$1,0))</f>
        <v>#DIV/0!</v>
      </c>
      <c r="D5" s="2509" t="e">
        <f ca="1">ROUND(B5*10000/$B$2,0)</f>
        <v>#DIV/0!</v>
      </c>
      <c r="E5" s="2683"/>
      <c r="F5" s="2684"/>
      <c r="G5" s="2684"/>
      <c r="H5" s="2685"/>
      <c r="I5" s="2685"/>
      <c r="J5" s="2685"/>
      <c r="K5" s="2685"/>
    </row>
    <row r="6" spans="1:11" ht="15.6">
      <c r="A6" s="2509" t="s">
        <v>656</v>
      </c>
      <c r="B6" s="2509">
        <f>SUM(G14:G23)</f>
        <v>0</v>
      </c>
      <c r="C6" s="2509">
        <f ca="1">IF(B6=G14,结果表!H108,ROUND(B6*10000/$B$1,0))</f>
        <v>0</v>
      </c>
      <c r="D6" s="2509" t="e">
        <f>ROUND(B6*10000/$B$2,0)</f>
        <v>#DIV/0!</v>
      </c>
      <c r="E6" s="2683"/>
      <c r="F6" s="2684"/>
      <c r="G6" s="2684"/>
      <c r="H6" s="2685"/>
      <c r="I6" s="2685"/>
      <c r="J6" s="2685"/>
      <c r="K6" s="2685"/>
    </row>
    <row r="7" spans="1:11" ht="15.6">
      <c r="A7" s="2509" t="s">
        <v>664</v>
      </c>
      <c r="B7" s="2509">
        <f>SUM(H14:H23)</f>
        <v>0</v>
      </c>
      <c r="C7" s="2509" t="str">
        <f>IF(B7=H14,结果表!H110,ROUND(B7*10000/$B$1,0))</f>
        <v>——</v>
      </c>
      <c r="D7" s="2509" t="e">
        <f>ROUND(B7*10000/$B$2,0)</f>
        <v>#DIV/0!</v>
      </c>
      <c r="E7" s="2683"/>
      <c r="F7" s="2684"/>
      <c r="G7" s="2684"/>
      <c r="H7" s="2685"/>
      <c r="I7" s="2685"/>
      <c r="J7" s="2685"/>
      <c r="K7" s="2685"/>
    </row>
    <row r="8" spans="1:11" ht="15.6">
      <c r="A8" s="2509" t="s">
        <v>587</v>
      </c>
      <c r="B8" s="2509">
        <f>SUM(I14:I23)</f>
        <v>0</v>
      </c>
      <c r="C8" s="2509" t="str">
        <f>IF(B8=I14,结果表!H112,ROUND(B8*10000/$B$1,0))</f>
        <v>——</v>
      </c>
      <c r="D8" s="2509" t="e">
        <f>ROUND(B8*10000/$B$2,0)</f>
        <v>#DIV/0!</v>
      </c>
      <c r="E8" s="2683"/>
      <c r="F8" s="2684"/>
      <c r="G8" s="2684"/>
      <c r="H8" s="2685"/>
      <c r="I8" s="2685"/>
      <c r="J8" s="2685"/>
      <c r="K8" s="2685"/>
    </row>
    <row r="9" spans="1:11" ht="15.6">
      <c r="A9" s="2509" t="s">
        <v>655</v>
      </c>
      <c r="B9" s="2517"/>
      <c r="C9" s="2683"/>
      <c r="D9" s="2683"/>
      <c r="E9" s="2683"/>
      <c r="F9" s="2684"/>
      <c r="G9" s="2684"/>
      <c r="H9" s="2685"/>
      <c r="I9" s="2685"/>
      <c r="J9" s="2685"/>
      <c r="K9" s="2685"/>
    </row>
    <row r="10" spans="1:11" ht="15.6">
      <c r="A10" s="2509" t="s">
        <v>654</v>
      </c>
      <c r="B10" s="2509">
        <f>IF(E10="",0,ROUND(B1*(E10*365/G10)/10000,0))</f>
        <v>0</v>
      </c>
      <c r="C10" s="2509" t="s">
        <v>3353</v>
      </c>
      <c r="D10" s="2509" t="s">
        <v>3354</v>
      </c>
      <c r="E10" s="3438"/>
      <c r="F10" s="3442" t="s">
        <v>3355</v>
      </c>
      <c r="G10" s="3439"/>
      <c r="H10" s="2685"/>
      <c r="I10" s="2685"/>
      <c r="J10" s="2685"/>
      <c r="K10" s="2685"/>
    </row>
    <row r="11" spans="1:11" ht="15.6">
      <c r="A11" s="2509" t="s">
        <v>670</v>
      </c>
      <c r="B11" s="2517"/>
      <c r="C11" s="2683"/>
      <c r="D11" s="2683"/>
      <c r="E11" s="2683"/>
      <c r="F11" s="2684"/>
      <c r="G11" s="2684"/>
      <c r="H11" s="2685"/>
      <c r="I11" s="2685"/>
      <c r="J11" s="2685"/>
      <c r="K11" s="2685"/>
    </row>
    <row r="12" spans="1:11" ht="15.6">
      <c r="A12" s="2683"/>
      <c r="B12" s="2683"/>
      <c r="C12" s="2683"/>
      <c r="D12" s="2683"/>
      <c r="E12" s="2683"/>
      <c r="F12" s="2684"/>
      <c r="G12" s="2684"/>
      <c r="H12" s="2685"/>
      <c r="I12" s="2685"/>
      <c r="J12" s="2685"/>
      <c r="K12" s="2685"/>
    </row>
    <row r="13" spans="1:11" ht="31.8">
      <c r="A13" s="2512" t="s">
        <v>669</v>
      </c>
      <c r="B13" s="2513" t="s">
        <v>666</v>
      </c>
      <c r="C13" s="2513" t="s">
        <v>668</v>
      </c>
      <c r="D13" s="2513" t="s">
        <v>667</v>
      </c>
      <c r="E13" s="2509" t="s">
        <v>659</v>
      </c>
      <c r="F13" s="2509" t="s">
        <v>658</v>
      </c>
      <c r="G13" s="2513" t="s">
        <v>652</v>
      </c>
      <c r="H13" s="2513" t="s">
        <v>663</v>
      </c>
      <c r="I13" s="2513" t="s">
        <v>651</v>
      </c>
      <c r="J13" s="2684"/>
      <c r="K13" s="2685"/>
    </row>
    <row r="14" spans="1:11" ht="15.6">
      <c r="A14" s="2514" t="s">
        <v>650</v>
      </c>
      <c r="B14" s="2515">
        <f>'数据-基础表'!I13</f>
        <v>375.87</v>
      </c>
      <c r="C14" s="2515"/>
      <c r="D14" s="2515">
        <f ca="1">结果表!G19</f>
        <v>3830</v>
      </c>
      <c r="E14" s="2515">
        <f ca="1">结果表!G20</f>
        <v>101908</v>
      </c>
      <c r="F14" s="2515" t="e">
        <f ca="1">ROUND(D14*10000/C14,0)</f>
        <v>#DIV/0!</v>
      </c>
      <c r="G14" s="2515"/>
      <c r="H14" s="2515"/>
      <c r="I14" s="2515"/>
      <c r="J14" s="2684"/>
      <c r="K14" s="2685"/>
    </row>
    <row r="15" spans="1:11" ht="15.6">
      <c r="A15" s="2514" t="s">
        <v>649</v>
      </c>
      <c r="B15" s="2516"/>
      <c r="C15" s="2516"/>
      <c r="D15" s="2516"/>
      <c r="E15" s="2515" t="e">
        <f t="shared" ref="E15:E23" si="0">ROUND(D15*10000/B15,0)</f>
        <v>#DIV/0!</v>
      </c>
      <c r="F15" s="2515" t="e">
        <f t="shared" ref="F15:F23" si="1">ROUND(D15*10000/C15,0)</f>
        <v>#DIV/0!</v>
      </c>
      <c r="G15" s="1330"/>
      <c r="H15" s="1330"/>
      <c r="I15" s="2516"/>
      <c r="J15" s="2684"/>
      <c r="K15" s="2685"/>
    </row>
    <row r="16" spans="1:11" ht="15.6">
      <c r="A16" s="2514" t="s">
        <v>648</v>
      </c>
      <c r="B16" s="2516"/>
      <c r="C16" s="2516"/>
      <c r="D16" s="2516"/>
      <c r="E16" s="2515" t="e">
        <f t="shared" si="0"/>
        <v>#DIV/0!</v>
      </c>
      <c r="F16" s="2515" t="e">
        <f t="shared" si="1"/>
        <v>#DIV/0!</v>
      </c>
      <c r="G16" s="1330"/>
      <c r="H16" s="1330"/>
      <c r="I16" s="2516"/>
      <c r="J16" s="2685"/>
      <c r="K16" s="2685"/>
    </row>
    <row r="17" spans="1:11" ht="15.6">
      <c r="A17" s="2514" t="s">
        <v>647</v>
      </c>
      <c r="B17" s="2516"/>
      <c r="C17" s="2516"/>
      <c r="D17" s="2516"/>
      <c r="E17" s="2515" t="e">
        <f t="shared" si="0"/>
        <v>#DIV/0!</v>
      </c>
      <c r="F17" s="2515" t="e">
        <f t="shared" si="1"/>
        <v>#DIV/0!</v>
      </c>
      <c r="G17" s="1330"/>
      <c r="H17" s="1330"/>
      <c r="I17" s="2516"/>
      <c r="J17" s="2685"/>
      <c r="K17" s="2685"/>
    </row>
    <row r="18" spans="1:11" ht="15.6">
      <c r="A18" s="2514" t="s">
        <v>646</v>
      </c>
      <c r="B18" s="2516"/>
      <c r="C18" s="2516"/>
      <c r="D18" s="2516"/>
      <c r="E18" s="2515" t="e">
        <f t="shared" si="0"/>
        <v>#DIV/0!</v>
      </c>
      <c r="F18" s="2515" t="e">
        <f t="shared" si="1"/>
        <v>#DIV/0!</v>
      </c>
      <c r="G18" s="2516"/>
      <c r="H18" s="2516"/>
      <c r="I18" s="2516"/>
      <c r="J18" s="2685"/>
      <c r="K18" s="2685"/>
    </row>
    <row r="19" spans="1:11" ht="15.6">
      <c r="A19" s="2514" t="s">
        <v>645</v>
      </c>
      <c r="B19" s="2516"/>
      <c r="C19" s="2516"/>
      <c r="D19" s="2516"/>
      <c r="E19" s="2515" t="e">
        <f t="shared" si="0"/>
        <v>#DIV/0!</v>
      </c>
      <c r="F19" s="2515" t="e">
        <f t="shared" si="1"/>
        <v>#DIV/0!</v>
      </c>
      <c r="G19" s="2516"/>
      <c r="H19" s="2516"/>
      <c r="I19" s="2516"/>
      <c r="J19" s="2685"/>
      <c r="K19" s="2685"/>
    </row>
    <row r="20" spans="1:11" ht="15.6">
      <c r="A20" s="2514" t="s">
        <v>644</v>
      </c>
      <c r="B20" s="2516"/>
      <c r="C20" s="2516"/>
      <c r="D20" s="2516"/>
      <c r="E20" s="2515" t="e">
        <f t="shared" si="0"/>
        <v>#DIV/0!</v>
      </c>
      <c r="F20" s="2515" t="e">
        <f t="shared" si="1"/>
        <v>#DIV/0!</v>
      </c>
      <c r="G20" s="2516"/>
      <c r="H20" s="2516"/>
      <c r="I20" s="2516"/>
      <c r="J20" s="2685"/>
      <c r="K20" s="2685"/>
    </row>
    <row r="21" spans="1:11" ht="15.6">
      <c r="A21" s="2514" t="s">
        <v>643</v>
      </c>
      <c r="B21" s="2516"/>
      <c r="C21" s="2516"/>
      <c r="D21" s="2516"/>
      <c r="E21" s="2515" t="e">
        <f t="shared" si="0"/>
        <v>#DIV/0!</v>
      </c>
      <c r="F21" s="2515" t="e">
        <f t="shared" si="1"/>
        <v>#DIV/0!</v>
      </c>
      <c r="G21" s="2516"/>
      <c r="H21" s="2516"/>
      <c r="I21" s="2516"/>
      <c r="J21" s="2685"/>
      <c r="K21" s="2685"/>
    </row>
    <row r="22" spans="1:11" ht="15.6">
      <c r="A22" s="2514" t="s">
        <v>642</v>
      </c>
      <c r="B22" s="2516"/>
      <c r="C22" s="2516"/>
      <c r="D22" s="2516"/>
      <c r="E22" s="2515" t="e">
        <f t="shared" si="0"/>
        <v>#DIV/0!</v>
      </c>
      <c r="F22" s="2515" t="e">
        <f t="shared" si="1"/>
        <v>#DIV/0!</v>
      </c>
      <c r="G22" s="2516"/>
      <c r="H22" s="2516"/>
      <c r="I22" s="2516"/>
      <c r="J22" s="2685"/>
      <c r="K22" s="2685"/>
    </row>
    <row r="23" spans="1:11" ht="15.6">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20" sqref="D20"/>
    </sheetView>
  </sheetViews>
  <sheetFormatPr defaultColWidth="12.6640625" defaultRowHeight="21.75" customHeight="1"/>
  <cols>
    <col min="1" max="2" width="12.6640625" style="1752"/>
    <col min="3" max="4" width="12.6640625" style="1752" customWidth="1"/>
    <col min="5" max="9" width="12.6640625" style="1752"/>
    <col min="10" max="11" width="12.6640625" style="725" customWidth="1"/>
    <col min="12" max="12" width="12.6640625" style="725"/>
    <col min="13" max="13" width="14.109375" style="725" bestFit="1" customWidth="1"/>
    <col min="14" max="26" width="12.6640625" style="725"/>
    <col min="27" max="35" width="12.6640625" style="1751"/>
    <col min="36" max="16384" width="12.6640625" style="1752"/>
  </cols>
  <sheetData>
    <row r="1" spans="1:12" ht="21.75" customHeight="1" thickBot="1">
      <c r="A1" s="1636" t="s">
        <v>1262</v>
      </c>
      <c r="B1" s="1746"/>
      <c r="C1" s="1747" t="s">
        <v>3392</v>
      </c>
      <c r="D1" s="1746"/>
      <c r="E1" s="1746"/>
      <c r="F1" s="1748" t="s">
        <v>1263</v>
      </c>
      <c r="G1" s="1560"/>
      <c r="H1" s="1749" t="str">
        <f>IF(G1="现房","——","估价对象范围")</f>
        <v>估价对象范围</v>
      </c>
      <c r="I1" s="1750"/>
    </row>
    <row r="2" spans="1:12" ht="21.75" customHeight="1" thickBot="1">
      <c r="A2" s="3598" t="str">
        <f>项目基本情况!S2</f>
        <v>北京市房地产</v>
      </c>
      <c r="B2" s="3599"/>
      <c r="C2" s="3599"/>
      <c r="D2" s="3599"/>
      <c r="E2" s="3599"/>
      <c r="F2" s="3599"/>
      <c r="G2" s="3599"/>
      <c r="H2" s="3599"/>
      <c r="I2" s="3600"/>
    </row>
    <row r="3" spans="1:12" ht="13.2">
      <c r="A3" s="3602" t="s">
        <v>1264</v>
      </c>
      <c r="B3" s="3603"/>
      <c r="C3" s="3603"/>
      <c r="D3" s="3603"/>
      <c r="E3" s="3603"/>
      <c r="F3" s="3603"/>
      <c r="G3" s="3603"/>
      <c r="H3" s="3603"/>
      <c r="I3" s="3603"/>
    </row>
    <row r="4" spans="1:12" ht="14.4">
      <c r="A4" s="1753" t="s">
        <v>1265</v>
      </c>
      <c r="B4" s="1754" t="s">
        <v>1266</v>
      </c>
      <c r="C4" s="1755" t="s">
        <v>3539</v>
      </c>
      <c r="D4" s="1755" t="s">
        <v>3529</v>
      </c>
      <c r="E4" s="3604" t="s">
        <v>1267</v>
      </c>
      <c r="F4" s="3605"/>
      <c r="G4" s="3605"/>
      <c r="H4" s="3605"/>
      <c r="I4" s="360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3.2">
      <c r="A5" s="3578" t="s">
        <v>1268</v>
      </c>
      <c r="B5" s="3565">
        <v>25</v>
      </c>
      <c r="C5" s="3581">
        <v>8</v>
      </c>
      <c r="D5" s="3601">
        <f>10-C5</f>
        <v>2</v>
      </c>
      <c r="E5" s="131" t="s">
        <v>1269</v>
      </c>
      <c r="F5" s="1756"/>
      <c r="G5" s="1756"/>
      <c r="H5" s="1756"/>
      <c r="I5" s="1372"/>
    </row>
    <row r="6" spans="1:12" ht="13.2">
      <c r="A6" s="3578"/>
      <c r="B6" s="3565"/>
      <c r="C6" s="3582"/>
      <c r="D6" s="3601"/>
      <c r="E6" s="131" t="s">
        <v>1270</v>
      </c>
      <c r="F6" s="1756"/>
      <c r="G6" s="1756"/>
      <c r="H6" s="1756"/>
      <c r="I6" s="1372"/>
    </row>
    <row r="7" spans="1:12" ht="13.2">
      <c r="A7" s="3578"/>
      <c r="B7" s="3565"/>
      <c r="C7" s="3583"/>
      <c r="D7" s="3601"/>
      <c r="E7" s="131" t="s">
        <v>1271</v>
      </c>
      <c r="F7" s="1756"/>
      <c r="G7" s="1756"/>
      <c r="H7" s="1756"/>
      <c r="I7" s="1372"/>
    </row>
    <row r="8" spans="1:12" ht="13.2">
      <c r="A8" s="3578" t="s">
        <v>1272</v>
      </c>
      <c r="B8" s="3565">
        <v>15</v>
      </c>
      <c r="C8" s="3581"/>
      <c r="D8" s="3601"/>
      <c r="E8" s="131" t="s">
        <v>1273</v>
      </c>
      <c r="F8" s="1756"/>
      <c r="G8" s="1756"/>
      <c r="H8" s="1756"/>
      <c r="I8" s="1372"/>
    </row>
    <row r="9" spans="1:12" ht="13.2">
      <c r="A9" s="3578"/>
      <c r="B9" s="3565"/>
      <c r="C9" s="3583"/>
      <c r="D9" s="3601"/>
      <c r="E9" s="131" t="s">
        <v>1274</v>
      </c>
      <c r="F9" s="1756"/>
      <c r="G9" s="1756"/>
      <c r="H9" s="1756"/>
      <c r="I9" s="1372"/>
    </row>
    <row r="10" spans="1:12" ht="13.2">
      <c r="A10" s="3578" t="s">
        <v>1275</v>
      </c>
      <c r="B10" s="3565">
        <v>15</v>
      </c>
      <c r="C10" s="3581"/>
      <c r="D10" s="3601"/>
      <c r="E10" s="131" t="s">
        <v>1276</v>
      </c>
      <c r="F10" s="1756"/>
      <c r="G10" s="1756"/>
      <c r="H10" s="1756"/>
      <c r="I10" s="1372"/>
    </row>
    <row r="11" spans="1:12" ht="13.2">
      <c r="A11" s="3578"/>
      <c r="B11" s="3565"/>
      <c r="C11" s="3583"/>
      <c r="D11" s="3601"/>
      <c r="E11" s="131" t="s">
        <v>1277</v>
      </c>
      <c r="F11" s="1756"/>
      <c r="G11" s="1756"/>
      <c r="H11" s="1756"/>
      <c r="I11" s="1372"/>
    </row>
    <row r="12" spans="1:12" ht="13.2">
      <c r="A12" s="3578" t="s">
        <v>1278</v>
      </c>
      <c r="B12" s="3565">
        <v>15</v>
      </c>
      <c r="C12" s="3581"/>
      <c r="D12" s="3601"/>
      <c r="E12" s="131" t="s">
        <v>1279</v>
      </c>
      <c r="F12" s="1756"/>
      <c r="G12" s="1756"/>
      <c r="H12" s="1756"/>
      <c r="I12" s="1372"/>
    </row>
    <row r="13" spans="1:12" ht="13.2">
      <c r="A13" s="3578"/>
      <c r="B13" s="3565"/>
      <c r="C13" s="3583"/>
      <c r="D13" s="3601"/>
      <c r="E13" s="131" t="s">
        <v>1280</v>
      </c>
      <c r="F13" s="1756"/>
      <c r="G13" s="1756"/>
      <c r="H13" s="1756"/>
      <c r="I13" s="1372"/>
    </row>
    <row r="14" spans="1:12" ht="13.2">
      <c r="A14" s="3578" t="s">
        <v>1281</v>
      </c>
      <c r="B14" s="3565">
        <v>30</v>
      </c>
      <c r="C14" s="3581"/>
      <c r="D14" s="3601"/>
      <c r="E14" s="131" t="s">
        <v>1282</v>
      </c>
      <c r="F14" s="1756"/>
      <c r="G14" s="1756"/>
      <c r="H14" s="1756"/>
      <c r="I14" s="1372"/>
    </row>
    <row r="15" spans="1:12" ht="13.2">
      <c r="A15" s="3578"/>
      <c r="B15" s="3565"/>
      <c r="C15" s="3582"/>
      <c r="D15" s="3601"/>
      <c r="E15" s="131" t="s">
        <v>1283</v>
      </c>
      <c r="F15" s="1756"/>
      <c r="G15" s="1756"/>
      <c r="H15" s="1756"/>
      <c r="I15" s="1372"/>
    </row>
    <row r="16" spans="1:12" ht="13.2">
      <c r="A16" s="3578"/>
      <c r="B16" s="3565"/>
      <c r="C16" s="3583"/>
      <c r="D16" s="3601"/>
      <c r="E16" s="131" t="s">
        <v>1284</v>
      </c>
      <c r="F16" s="1756"/>
      <c r="G16" s="1756"/>
      <c r="H16" s="1756"/>
      <c r="I16" s="1372"/>
    </row>
    <row r="17" spans="1:36" ht="14.4">
      <c r="A17" s="1757" t="s">
        <v>1285</v>
      </c>
      <c r="B17" s="56"/>
      <c r="C17" s="132">
        <f>SUM(C5:C16)</f>
        <v>8</v>
      </c>
      <c r="D17" s="132">
        <f>SUM(D5:D16)</f>
        <v>2</v>
      </c>
      <c r="E17" s="129"/>
      <c r="F17" s="129"/>
      <c r="G17" s="129"/>
      <c r="H17" s="129"/>
      <c r="I17" s="129"/>
      <c r="K17" s="302"/>
      <c r="L17" s="302" t="s">
        <v>1286</v>
      </c>
      <c r="M17" s="302" t="s">
        <v>1287</v>
      </c>
    </row>
    <row r="18" spans="1:36" ht="31.95" customHeight="1" thickBot="1">
      <c r="A18" s="1758" t="s">
        <v>1288</v>
      </c>
      <c r="B18" s="1759"/>
      <c r="C18" s="133">
        <f>ROUND(C17/SUM(C17:D17),2)</f>
        <v>0.8</v>
      </c>
      <c r="D18" s="133">
        <f>1-C18</f>
        <v>0.19999999999999996</v>
      </c>
      <c r="E18" s="3588" t="s">
        <v>2129</v>
      </c>
      <c r="F18" s="3589"/>
      <c r="G18" s="3589"/>
      <c r="H18" s="3589"/>
      <c r="I18" s="3589"/>
      <c r="K18" s="302" t="s">
        <v>1289</v>
      </c>
      <c r="L18" s="302">
        <f>IF(C1="",'数据-汇总表'!E3,SUMIF(项目类型,C1,'数据-汇总表'!E17:E26)+SUMIF(项目类型,C1,'数据-汇总表'!I17:I26))</f>
        <v>375.87</v>
      </c>
      <c r="M18" s="302">
        <f>IF(C1="",'数据-汇总表'!E3,SUMIF(项目类型,C1,'数据-汇总表'!E17:E26))</f>
        <v>375.87</v>
      </c>
    </row>
    <row r="19" spans="1:36" ht="14.4">
      <c r="A19" s="1760" t="s">
        <v>1290</v>
      </c>
      <c r="B19" s="1761" t="s">
        <v>1291</v>
      </c>
      <c r="C19" s="134">
        <f ca="1">SUMIF(INDIRECT("'"&amp;C4&amp;"'"&amp;"!A:A"),结果表!B19,INDIRECT("'"&amp;C4&amp;"'"&amp;"!B:B"))</f>
        <v>4167.7217000000001</v>
      </c>
      <c r="D19" s="135">
        <f ca="1">SUMIF(INDIRECT("'"&amp;D4&amp;"'"&amp;"!A:A"),结果表!B19,INDIRECT("'"&amp;D4&amp;"'"&amp;"!B:B"))</f>
        <v>2481.2460000000001</v>
      </c>
      <c r="E19" s="1760" t="s">
        <v>1292</v>
      </c>
      <c r="F19" s="1761" t="s">
        <v>1291</v>
      </c>
      <c r="G19" s="136">
        <f ca="1">ROUND(C19*$C$18+D19*$D$18,0)</f>
        <v>3830</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3"/>
      <c r="B20" s="1026" t="s">
        <v>1295</v>
      </c>
      <c r="C20" s="137">
        <f ca="1">SUMIF(INDIRECT("'"&amp;C4&amp;"'"&amp;"!A:A"),结果表!B20,INDIRECT("'"&amp;C4&amp;"'"&amp;"!B:B"))</f>
        <v>110882</v>
      </c>
      <c r="D20" s="138">
        <f ca="1">SUMIF(INDIRECT("'"&amp;D4&amp;"'"&amp;"!A:A"),结果表!B20,INDIRECT("'"&amp;D4&amp;"'"&amp;"!B:B"))</f>
        <v>66013</v>
      </c>
      <c r="E20" s="1763"/>
      <c r="F20" s="1026" t="s">
        <v>1295</v>
      </c>
      <c r="G20" s="139">
        <f ca="1">ROUND(C20*$C$18+D20*$D$18,0)</f>
        <v>101908</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0.67968903526695867</v>
      </c>
      <c r="E22" s="129"/>
      <c r="F22" s="129"/>
      <c r="G22" s="129"/>
      <c r="H22" s="129"/>
      <c r="I22" s="129"/>
    </row>
    <row r="23" spans="1:36" ht="13.8" thickBot="1">
      <c r="A23" s="1746"/>
      <c r="B23" s="1746"/>
      <c r="C23" s="1746"/>
      <c r="D23" s="1746"/>
      <c r="E23" s="129"/>
      <c r="F23" s="129"/>
      <c r="G23" s="129"/>
      <c r="H23" s="129"/>
      <c r="I23" s="129"/>
    </row>
    <row r="24" spans="1:36" ht="14.4">
      <c r="A24" s="3572" t="s">
        <v>1299</v>
      </c>
      <c r="B24" s="1761" t="s">
        <v>1291</v>
      </c>
      <c r="C24" s="136">
        <f>IF(B30=0,0,D30)</f>
        <v>0</v>
      </c>
      <c r="D24" s="1768"/>
      <c r="E24" s="129"/>
      <c r="F24" s="129"/>
      <c r="G24" s="129"/>
      <c r="H24" s="129"/>
      <c r="I24" s="129"/>
    </row>
    <row r="25" spans="1:36" ht="14.4">
      <c r="A25" s="3573"/>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3.8">
      <c r="A27" s="1770"/>
      <c r="B27" s="142">
        <v>0</v>
      </c>
      <c r="C27" s="142">
        <v>0</v>
      </c>
      <c r="D27" s="143">
        <f>ROUND(C27*B27/10000,0)</f>
        <v>0</v>
      </c>
      <c r="E27" s="129"/>
      <c r="F27" s="129"/>
      <c r="G27" s="129"/>
      <c r="H27" s="129"/>
      <c r="I27" s="129"/>
    </row>
    <row r="28" spans="1:36" ht="13.8">
      <c r="A28" s="1770"/>
      <c r="B28" s="142"/>
      <c r="C28" s="142"/>
      <c r="D28" s="143"/>
      <c r="E28" s="129"/>
      <c r="F28" s="129"/>
      <c r="G28" s="129"/>
      <c r="H28" s="129"/>
      <c r="I28" s="129"/>
    </row>
    <row r="29" spans="1:36" ht="13.8">
      <c r="A29" s="1770"/>
      <c r="B29" s="142"/>
      <c r="C29" s="142"/>
      <c r="D29" s="143"/>
      <c r="E29" s="129"/>
      <c r="F29" s="129"/>
      <c r="G29" s="129"/>
      <c r="H29" s="129"/>
      <c r="I29" s="129"/>
    </row>
    <row r="30" spans="1:36" ht="15" thickBot="1">
      <c r="A30" s="142" t="s">
        <v>1304</v>
      </c>
      <c r="B30" s="142"/>
      <c r="C30" s="142"/>
      <c r="D30" s="142"/>
      <c r="E30" s="2302" t="s">
        <v>2130</v>
      </c>
      <c r="F30" s="129"/>
      <c r="G30" s="129"/>
      <c r="H30" s="129"/>
      <c r="I30" s="129"/>
    </row>
    <row r="31" spans="1:36" s="2308" customFormat="1" ht="26.4" customHeight="1" thickTop="1" thickBot="1">
      <c r="A31" s="2303"/>
      <c r="B31" s="2304"/>
      <c r="C31" s="2304"/>
      <c r="D31" s="2304"/>
      <c r="E31" s="2304"/>
      <c r="F31" s="2304"/>
      <c r="G31" s="2304"/>
      <c r="H31" s="2304"/>
      <c r="I31" s="2305" t="s">
        <v>2131</v>
      </c>
      <c r="J31" s="2686"/>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6" thickTop="1" thickBot="1">
      <c r="A32" s="1772" t="s">
        <v>1305</v>
      </c>
      <c r="B32" s="1773"/>
      <c r="C32" s="144">
        <f ca="1">IF(D32="总价",G19-C24,G20-C25)</f>
        <v>101908</v>
      </c>
      <c r="D32" s="1774"/>
      <c r="E32" s="129"/>
      <c r="F32" s="129"/>
      <c r="G32" s="129"/>
      <c r="H32" s="129"/>
      <c r="I32" s="129"/>
    </row>
    <row r="33" spans="1:15" ht="14.4">
      <c r="A33" s="786" t="s">
        <v>1306</v>
      </c>
      <c r="B33" s="1775"/>
      <c r="C33" s="1776"/>
      <c r="D33" s="1777"/>
      <c r="E33" s="1778" t="s">
        <v>1307</v>
      </c>
      <c r="F33" s="1779" t="str">
        <f>IF(D32="楼面单价","取值（单价）","取值（总价）")</f>
        <v>取值（总价）</v>
      </c>
      <c r="G33" s="129"/>
      <c r="H33" s="129"/>
      <c r="I33" s="129"/>
    </row>
    <row r="34" spans="1:15" ht="14.4">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 thickBot="1">
      <c r="A36" s="3592" t="s">
        <v>1312</v>
      </c>
      <c r="B36" s="1786" t="s">
        <v>1313</v>
      </c>
      <c r="C36" s="145"/>
      <c r="D36" s="1787"/>
      <c r="E36" s="1788"/>
      <c r="F36" s="1789"/>
      <c r="G36" s="129"/>
      <c r="H36" s="129"/>
      <c r="I36" s="129"/>
    </row>
    <row r="37" spans="1:15" ht="15" thickBot="1">
      <c r="A37" s="3593"/>
      <c r="B37" s="1673" t="s">
        <v>1314</v>
      </c>
      <c r="C37" s="147"/>
      <c r="D37" s="1139"/>
      <c r="E37" s="1139"/>
      <c r="F37" s="1789"/>
      <c r="G37" s="129"/>
      <c r="H37" s="129"/>
      <c r="I37" s="129"/>
    </row>
    <row r="38" spans="1:15" ht="15" thickBot="1">
      <c r="A38" s="3594"/>
      <c r="B38" s="1790" t="s">
        <v>1315</v>
      </c>
      <c r="C38" s="674"/>
      <c r="D38" s="1791" t="s">
        <v>1316</v>
      </c>
      <c r="E38" s="1139"/>
      <c r="F38" s="1789"/>
      <c r="G38" s="129"/>
      <c r="H38" s="129"/>
      <c r="I38" s="129"/>
    </row>
    <row r="39" spans="1:15" ht="14.4">
      <c r="A39" s="1763" t="s">
        <v>1317</v>
      </c>
      <c r="B39" s="1792" t="s">
        <v>1318</v>
      </c>
      <c r="C39" s="1793" t="s">
        <v>1319</v>
      </c>
      <c r="D39" s="1793" t="s">
        <v>1320</v>
      </c>
      <c r="E39" s="1794" t="s">
        <v>1321</v>
      </c>
      <c r="F39" s="1789"/>
      <c r="G39" s="129"/>
      <c r="H39" s="129"/>
      <c r="I39" s="129"/>
    </row>
    <row r="40" spans="1:15" ht="13.8">
      <c r="A40" s="1795" t="s">
        <v>1322</v>
      </c>
      <c r="B40" s="149"/>
      <c r="C40" s="150"/>
      <c r="D40" s="150"/>
      <c r="E40" s="151"/>
      <c r="F40" s="1789"/>
      <c r="G40" s="129"/>
      <c r="H40" s="129"/>
      <c r="I40" s="129"/>
    </row>
    <row r="41" spans="1:15" ht="13.8">
      <c r="A41" s="1795" t="s">
        <v>1323</v>
      </c>
      <c r="B41" s="149"/>
      <c r="C41" s="150"/>
      <c r="D41" s="150"/>
      <c r="E41" s="151"/>
      <c r="F41" s="1789"/>
      <c r="G41" s="129"/>
      <c r="H41" s="129"/>
      <c r="I41" s="129"/>
    </row>
    <row r="42" spans="1:15" ht="14.4" thickBot="1">
      <c r="A42" s="1796"/>
      <c r="B42" s="152"/>
      <c r="C42" s="153"/>
      <c r="D42" s="153"/>
      <c r="E42" s="154"/>
      <c r="F42" s="1789"/>
      <c r="G42" s="129"/>
      <c r="H42" s="129"/>
      <c r="I42" s="129"/>
    </row>
    <row r="43" spans="1:15" ht="13.2">
      <c r="A43" s="1576"/>
      <c r="B43" s="1576"/>
      <c r="C43" s="1576"/>
      <c r="D43" s="1576"/>
      <c r="E43" s="1576"/>
      <c r="F43" s="1797"/>
      <c r="G43" s="1797"/>
      <c r="H43" s="1797"/>
      <c r="I43" s="1798"/>
    </row>
    <row r="44" spans="1:15" ht="17.399999999999999">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569" t="s">
        <v>1326</v>
      </c>
      <c r="B45" s="3570"/>
      <c r="C45" s="3571"/>
      <c r="D45" s="155" t="e">
        <f ca="1">ROUND(H101*F45,0)</f>
        <v>#REF!</v>
      </c>
      <c r="E45" s="156" t="s">
        <v>1327</v>
      </c>
      <c r="F45" s="157">
        <v>1</v>
      </c>
      <c r="G45" s="158" t="s">
        <v>1328</v>
      </c>
      <c r="H45" s="129"/>
      <c r="I45" s="129"/>
      <c r="J45" s="3647" t="s">
        <v>1329</v>
      </c>
      <c r="K45" s="3647"/>
      <c r="L45" s="3647"/>
      <c r="M45" s="3647"/>
      <c r="N45" s="3647"/>
      <c r="O45" s="3647"/>
    </row>
    <row r="46" spans="1:15" ht="14.25" customHeight="1">
      <c r="A46" s="3566" t="s">
        <v>1330</v>
      </c>
      <c r="B46" s="3567"/>
      <c r="C46" s="3567"/>
      <c r="D46" s="3567"/>
      <c r="E46" s="3567"/>
      <c r="F46" s="3567"/>
      <c r="G46" s="3568"/>
      <c r="H46" s="1805"/>
      <c r="I46" s="159"/>
      <c r="J46" s="2520">
        <v>1</v>
      </c>
      <c r="K46" s="3628" t="s">
        <v>1331</v>
      </c>
      <c r="L46" s="3628"/>
      <c r="M46" s="3648"/>
      <c r="N46" s="3648"/>
      <c r="O46" s="3648"/>
    </row>
    <row r="47" spans="1:15" ht="12" customHeight="1">
      <c r="A47" s="160" t="s">
        <v>1332</v>
      </c>
      <c r="B47" s="161"/>
      <c r="C47" s="162"/>
      <c r="D47" s="1087" t="s">
        <v>1333</v>
      </c>
      <c r="E47" s="302" t="s">
        <v>1334</v>
      </c>
      <c r="F47" s="163" t="s">
        <v>1335</v>
      </c>
      <c r="G47" s="2543" t="s">
        <v>1336</v>
      </c>
      <c r="H47" s="2544"/>
      <c r="I47" s="159"/>
      <c r="J47" s="2520">
        <v>2</v>
      </c>
      <c r="K47" s="3628" t="s">
        <v>1337</v>
      </c>
      <c r="L47" s="3628"/>
      <c r="M47" s="3649">
        <f>'数据-取费表'!B2</f>
        <v>45622</v>
      </c>
      <c r="N47" s="3649"/>
      <c r="O47" s="3649"/>
    </row>
    <row r="48" spans="1:15" ht="26.4">
      <c r="A48" s="3597" t="s">
        <v>1338</v>
      </c>
      <c r="B48" s="3580"/>
      <c r="C48" s="3580"/>
      <c r="D48" s="2323" t="b">
        <f>IF(H48="情况1",0,IF(H48="情况2",D52,IF(H48="情况3",D53,IF(H48="情况4",D54))))</f>
        <v>0</v>
      </c>
      <c r="E48" s="2333" t="str">
        <f>IF(H48="情况4","(销售额-原购置价)×税（费）率","销售额×税（费）率")</f>
        <v>销售额×税（费）率</v>
      </c>
      <c r="F48" s="2545">
        <f>IF(H48="情况1","免征",'数据-取费表'!B41)</f>
        <v>5.6000000000000001E-2</v>
      </c>
      <c r="G48" s="2546" t="s">
        <v>1339</v>
      </c>
      <c r="H48" s="2547"/>
      <c r="I48" s="1805"/>
      <c r="J48" s="2520">
        <v>3</v>
      </c>
      <c r="K48" s="3628" t="s">
        <v>1340</v>
      </c>
      <c r="L48" s="3628"/>
      <c r="M48" s="3650" t="e">
        <f ca="1">H101</f>
        <v>#REF!</v>
      </c>
      <c r="N48" s="3650"/>
      <c r="O48" s="3650"/>
    </row>
    <row r="49" spans="1:35" ht="25.5" customHeight="1">
      <c r="A49" s="2332" t="s">
        <v>1341</v>
      </c>
      <c r="B49" s="3564" t="s">
        <v>1342</v>
      </c>
      <c r="C49" s="3564"/>
      <c r="D49" s="1589">
        <v>0</v>
      </c>
      <c r="E49" s="324" t="s">
        <v>1343</v>
      </c>
      <c r="F49" s="2423" t="s">
        <v>28</v>
      </c>
      <c r="G49" s="3634"/>
      <c r="H49" s="2309" t="s">
        <v>2132</v>
      </c>
      <c r="I49" s="2310"/>
      <c r="J49" s="2520">
        <v>4</v>
      </c>
      <c r="K49" s="3628" t="str">
        <f>IF(项目基本情况!E8="房地产抵押价值","房地产抵押价值","抵押担保权已注销时的房地产抵押价值")</f>
        <v>抵押担保权已注销时的房地产抵押价值</v>
      </c>
      <c r="L49" s="3628"/>
      <c r="M49" s="3650" t="str">
        <f>IF(项目基本情况!E8="房地产抵押价值",H107,H109)</f>
        <v>——</v>
      </c>
      <c r="N49" s="3650"/>
      <c r="O49" s="3650"/>
    </row>
    <row r="50" spans="1:35" ht="25.5" customHeight="1">
      <c r="A50" s="2548"/>
      <c r="B50" s="3564" t="s">
        <v>1344</v>
      </c>
      <c r="C50" s="3564"/>
      <c r="D50" s="2549"/>
      <c r="E50" s="332"/>
      <c r="F50" s="2423"/>
      <c r="G50" s="3635"/>
      <c r="H50" s="2311" t="s">
        <v>2133</v>
      </c>
      <c r="I50" s="2310"/>
      <c r="J50" s="3647" t="s">
        <v>1345</v>
      </c>
      <c r="K50" s="3647"/>
      <c r="L50" s="3647"/>
      <c r="M50" s="3647"/>
      <c r="N50" s="3647"/>
      <c r="O50" s="3647"/>
    </row>
    <row r="51" spans="1:35" ht="20.399999999999999" customHeight="1">
      <c r="A51" s="2550"/>
      <c r="B51" s="3564" t="s">
        <v>1346</v>
      </c>
      <c r="C51" s="3564"/>
      <c r="D51" s="1087"/>
      <c r="E51" s="327"/>
      <c r="F51" s="2423"/>
      <c r="G51" s="3636"/>
      <c r="H51" s="2311" t="s">
        <v>2134</v>
      </c>
      <c r="I51" s="2310"/>
      <c r="J51" s="2521" t="s">
        <v>1347</v>
      </c>
      <c r="K51" s="3628" t="s">
        <v>1348</v>
      </c>
      <c r="L51" s="3628"/>
      <c r="M51" s="2521" t="s">
        <v>1349</v>
      </c>
      <c r="N51" s="2521" t="s">
        <v>1350</v>
      </c>
      <c r="O51" s="2521" t="s">
        <v>1351</v>
      </c>
    </row>
    <row r="52" spans="1:35" ht="24" customHeight="1">
      <c r="A52" s="2334" t="s">
        <v>1352</v>
      </c>
      <c r="B52" s="3564" t="s">
        <v>1353</v>
      </c>
      <c r="C52" s="3564"/>
      <c r="D52" s="1087" t="e">
        <f ca="1">ROUND(D45*'数据-取费表'!B41/(1+'数据-取费表'!C42),0)</f>
        <v>#REF!</v>
      </c>
      <c r="E52" s="2333" t="s">
        <v>1354</v>
      </c>
      <c r="F52" s="2551">
        <f>'数据-取费表'!B41</f>
        <v>5.6000000000000001E-2</v>
      </c>
      <c r="G52" s="2552"/>
      <c r="H52" s="2541"/>
      <c r="I52" s="1806"/>
      <c r="J52" s="2520">
        <v>1</v>
      </c>
      <c r="K52" s="3629" t="s">
        <v>1355</v>
      </c>
      <c r="L52" s="3629"/>
      <c r="M52" s="2522" t="b">
        <f>D48</f>
        <v>0</v>
      </c>
      <c r="N52" s="2520" t="str">
        <f>E48</f>
        <v>销售额×税（费）率</v>
      </c>
      <c r="O52" s="2523">
        <f>F48</f>
        <v>5.6000000000000001E-2</v>
      </c>
    </row>
    <row r="53" spans="1:35" ht="12" customHeight="1">
      <c r="A53" s="2334" t="s">
        <v>1356</v>
      </c>
      <c r="B53" s="3590" t="s">
        <v>2287</v>
      </c>
      <c r="C53" s="3591"/>
      <c r="D53" s="1087" t="e">
        <f ca="1">ROUND(D45*'数据-取费表'!B41/(1+'数据-取费表'!C42),0)</f>
        <v>#REF!</v>
      </c>
      <c r="E53" s="2333" t="s">
        <v>1354</v>
      </c>
      <c r="F53" s="2551">
        <f>'数据-取费表'!B41</f>
        <v>5.6000000000000001E-2</v>
      </c>
      <c r="G53" s="2552"/>
      <c r="H53" s="2541"/>
      <c r="I53" s="1806"/>
      <c r="J53" s="2520">
        <v>2</v>
      </c>
      <c r="K53" s="3629" t="s">
        <v>1357</v>
      </c>
      <c r="L53" s="3629"/>
      <c r="M53" s="2522" t="e">
        <f t="shared" ref="M53:O54" ca="1" si="0">D55</f>
        <v>#REF!</v>
      </c>
      <c r="N53" s="2520" t="str">
        <f t="shared" si="0"/>
        <v>销售额×税（费）率</v>
      </c>
      <c r="O53" s="2523" t="str">
        <f t="shared" si="0"/>
        <v>免征</v>
      </c>
    </row>
    <row r="54" spans="1:35" ht="12" customHeight="1">
      <c r="A54" s="2334" t="s">
        <v>1358</v>
      </c>
      <c r="B54" s="3590" t="s">
        <v>2288</v>
      </c>
      <c r="C54" s="3591"/>
      <c r="D54" s="1087" t="e">
        <f ca="1">C68</f>
        <v>#REF!</v>
      </c>
      <c r="E54" s="327" t="s">
        <v>1359</v>
      </c>
      <c r="F54" s="2551">
        <f>'数据-取费表'!B41</f>
        <v>5.6000000000000001E-2</v>
      </c>
      <c r="G54" s="2552"/>
      <c r="H54" s="2553"/>
      <c r="I54" s="1806"/>
      <c r="J54" s="2520">
        <v>3</v>
      </c>
      <c r="K54" s="3629" t="s">
        <v>1360</v>
      </c>
      <c r="L54" s="3629"/>
      <c r="M54" s="2522" t="e">
        <f t="shared" ca="1" si="0"/>
        <v>#REF!</v>
      </c>
      <c r="N54" s="2520" t="str">
        <f t="shared" si="0"/>
        <v>增值额×税（费）率</v>
      </c>
      <c r="O54" s="2524" t="str">
        <f t="shared" si="0"/>
        <v>免征</v>
      </c>
    </row>
    <row r="55" spans="1:35" ht="24" customHeight="1">
      <c r="A55" s="3579" t="s">
        <v>1361</v>
      </c>
      <c r="B55" s="3580"/>
      <c r="C55" s="3580"/>
      <c r="D55" s="2323" t="e">
        <f ca="1">IF(H55="个人住宅",0,ROUND(D45*I55,0))</f>
        <v>#REF!</v>
      </c>
      <c r="E55" s="2333" t="s">
        <v>1362</v>
      </c>
      <c r="F55" s="2551" t="str">
        <f>IF(H55="正常",I55,"免征")</f>
        <v>免征</v>
      </c>
      <c r="G55" s="2552"/>
      <c r="H55" s="2547"/>
      <c r="I55" s="165">
        <f>'数据-取费表'!B49</f>
        <v>5.0000000000000001E-4</v>
      </c>
      <c r="J55" s="2520">
        <f>IF(H59="非个人房产","",4)</f>
        <v>4</v>
      </c>
      <c r="K55" s="3629" t="str">
        <f>IF(H59="非个人房产","——","个人所得税")</f>
        <v>个人所得税</v>
      </c>
      <c r="L55" s="3629"/>
      <c r="M55" s="2525" t="e">
        <f ca="1">D59</f>
        <v>#REF!</v>
      </c>
      <c r="N55" s="2039" t="str">
        <f>E59</f>
        <v>差额计税</v>
      </c>
      <c r="O55" s="2526">
        <f>F59</f>
        <v>0.01</v>
      </c>
    </row>
    <row r="56" spans="1:35" ht="25.2">
      <c r="A56" s="3579" t="s">
        <v>1363</v>
      </c>
      <c r="B56" s="3580"/>
      <c r="C56" s="3580"/>
      <c r="D56" s="2323" t="e">
        <f ca="1">IF(H56="个人住宅",D57,D58)</f>
        <v>#REF!</v>
      </c>
      <c r="E56" s="2333" t="s">
        <v>1364</v>
      </c>
      <c r="F56" s="2551" t="str">
        <f>IF(H56="正常",F58,"免征")</f>
        <v>免征</v>
      </c>
      <c r="G56" s="2554" t="s">
        <v>1365</v>
      </c>
      <c r="H56" s="2555"/>
      <c r="I56" s="1807"/>
      <c r="J56" s="2520" t="str">
        <f>IF(项目基本情况!K6="上海银行",IF(J55="",4,J55+1),"")</f>
        <v/>
      </c>
      <c r="K56" s="3652" t="str">
        <f>IF(项目基本情况!K6="上海银行","其他处置费用","")</f>
        <v/>
      </c>
      <c r="L56" s="3653"/>
      <c r="M56" s="2522" t="str">
        <f>IF(项目基本情况!K6="上海银行",M69,"")</f>
        <v/>
      </c>
      <c r="N56" s="3652" t="str">
        <f>IF(项目基本情况!K6="上海银行","包含处置中涉及的律师、诉讼、拍卖、评估等费用","")</f>
        <v/>
      </c>
      <c r="O56" s="3655"/>
    </row>
    <row r="57" spans="1:35" ht="13.2">
      <c r="A57" s="2334" t="s">
        <v>1341</v>
      </c>
      <c r="B57" s="3590" t="s">
        <v>1366</v>
      </c>
      <c r="C57" s="3591"/>
      <c r="D57" s="1589">
        <v>0</v>
      </c>
      <c r="E57" s="324" t="s">
        <v>1343</v>
      </c>
      <c r="F57" s="302"/>
      <c r="G57" s="2552"/>
      <c r="H57" s="2556"/>
      <c r="I57" s="1807"/>
      <c r="J57" s="3629">
        <f>IF(AND(J55="",J56=""),4,IF(项目基本情况!K6="上海银行",结果表!J56+1,结果表!J55+1))</f>
        <v>5</v>
      </c>
      <c r="K57" s="3629" t="s">
        <v>1367</v>
      </c>
      <c r="L57" s="2527" t="s">
        <v>1368</v>
      </c>
      <c r="M57" s="2528"/>
      <c r="N57" s="2529">
        <f ca="1">SUMIF(M52:M56,"&lt;9e307")</f>
        <v>0</v>
      </c>
      <c r="O57" s="2530"/>
      <c r="P57" s="2687" t="e">
        <f ca="1">N57/M49</f>
        <v>#VALUE!</v>
      </c>
    </row>
    <row r="58" spans="1:35" ht="25.2">
      <c r="A58" s="2334" t="s">
        <v>1352</v>
      </c>
      <c r="B58" s="3590" t="s">
        <v>1369</v>
      </c>
      <c r="C58" s="3564"/>
      <c r="D58" s="2323" t="e">
        <f ca="1">IF(H58="转让取得",C81,C97)</f>
        <v>#REF!</v>
      </c>
      <c r="E58" s="2333" t="s">
        <v>1364</v>
      </c>
      <c r="F58" s="302" t="s">
        <v>28</v>
      </c>
      <c r="G58" s="2552"/>
      <c r="H58" s="2555"/>
      <c r="I58" s="1807"/>
      <c r="J58" s="3629"/>
      <c r="K58" s="3629"/>
      <c r="L58" s="2527" t="s">
        <v>1370</v>
      </c>
      <c r="M58" s="2531"/>
      <c r="N58" s="2532" t="str">
        <f ca="1">NUMBERSTRING(INT(N57*10000),2)&amp;"元整"</f>
        <v>零元整</v>
      </c>
      <c r="O58" s="2533"/>
    </row>
    <row r="59" spans="1:35" ht="24.6" thickBot="1">
      <c r="A59" s="3632" t="s">
        <v>1371</v>
      </c>
      <c r="B59" s="3633"/>
      <c r="C59" s="3633"/>
      <c r="D59" s="2557" t="e">
        <f ca="1">IF(H59="非个人房产","——",IF(H59="个人住宅（满五唯一有凭证）",0,IF(H59="个人其他（无凭证）",ROUND(D45*F59,0),ROUND(C67*F59,0))))</f>
        <v>#REF!</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3"/>
      <c r="I59" s="2312" t="s">
        <v>2135</v>
      </c>
      <c r="J59" s="3630">
        <f>J57+1</f>
        <v>6</v>
      </c>
      <c r="K59" s="3629" t="s">
        <v>1372</v>
      </c>
      <c r="L59" s="2520" t="s">
        <v>1368</v>
      </c>
      <c r="M59" s="2534"/>
      <c r="N59" s="2535" t="e">
        <f ca="1">M49-N57</f>
        <v>#VALUE!</v>
      </c>
      <c r="O59" s="2536"/>
    </row>
    <row r="60" spans="1:35" ht="12" customHeight="1">
      <c r="A60" s="1808"/>
      <c r="B60" s="1746"/>
      <c r="C60" s="1746"/>
      <c r="D60" s="1746"/>
      <c r="E60" s="1577"/>
      <c r="F60" s="1807"/>
      <c r="G60" s="1807"/>
      <c r="H60" s="1809"/>
      <c r="I60" s="129"/>
      <c r="J60" s="3631"/>
      <c r="K60" s="3629"/>
      <c r="L60" s="2527" t="s">
        <v>1370</v>
      </c>
      <c r="M60" s="2531"/>
      <c r="N60" s="2532" t="e">
        <f ca="1">NUMBERSTRING(INT(N59*10000),2)&amp;"元整"</f>
        <v>#VALUE!</v>
      </c>
      <c r="O60" s="2533"/>
    </row>
    <row r="61" spans="1:35" ht="13.8" thickBot="1">
      <c r="A61" s="3577" t="s">
        <v>1373</v>
      </c>
      <c r="B61" s="3577"/>
      <c r="C61" s="3577"/>
      <c r="D61" s="3577"/>
      <c r="E61" s="3577"/>
      <c r="F61" s="1807"/>
      <c r="G61" s="1807"/>
      <c r="H61" s="1809"/>
      <c r="I61" s="129"/>
      <c r="J61" s="2520">
        <f>J59+1</f>
        <v>7</v>
      </c>
      <c r="K61" s="3629" t="s">
        <v>1374</v>
      </c>
      <c r="L61" s="3629"/>
      <c r="M61" s="2537"/>
      <c r="N61" s="2538" t="e">
        <f ca="1">ROUND(N59*10000/'数据-汇总表'!E3,0)</f>
        <v>#VALUE!</v>
      </c>
      <c r="O61" s="2539"/>
    </row>
    <row r="62" spans="1:35" ht="13.2">
      <c r="A62" s="3595" t="s">
        <v>1375</v>
      </c>
      <c r="B62" s="3596"/>
      <c r="C62" s="2020"/>
      <c r="D62" s="2020" t="s">
        <v>1376</v>
      </c>
      <c r="E62" s="166" t="s">
        <v>1377</v>
      </c>
      <c r="F62" s="1807"/>
      <c r="G62" s="1807"/>
      <c r="H62" s="1809"/>
      <c r="I62" s="129"/>
    </row>
    <row r="63" spans="1:35" ht="13.2">
      <c r="A63" s="173" t="s">
        <v>330</v>
      </c>
      <c r="B63" s="167" t="s">
        <v>1378</v>
      </c>
      <c r="C63" s="2561" t="e">
        <f ca="1">ROUND((C64+C65)/(1+'数据-取费表'!C42),0)</f>
        <v>#REF!</v>
      </c>
      <c r="D63" s="167"/>
      <c r="E63" s="168"/>
      <c r="F63" s="1807"/>
      <c r="G63" s="1807"/>
      <c r="H63" s="1809"/>
      <c r="I63" s="129"/>
      <c r="J63" s="3654" t="s">
        <v>1379</v>
      </c>
      <c r="K63" s="1331" t="s">
        <v>1380</v>
      </c>
      <c r="L63" s="1331" t="e">
        <f>IF(M49&gt;10000,M49*0.5%,IF(AND(M49&gt;1000,M49&lt;=10000),M49*1%,IF(AND(M49&gt;100,M49&lt;=1000),M49*3%,IF(AND(M49&gt;10,M49&lt;=100),M49*5%,M49*8%))))</f>
        <v>#VALUE!</v>
      </c>
      <c r="M63" s="302" t="e">
        <f>ROUND(L63,1)</f>
        <v>#VALUE!</v>
      </c>
      <c r="N63" s="2540"/>
      <c r="Z63" s="1751"/>
      <c r="AI63" s="1752"/>
    </row>
    <row r="64" spans="1:35" ht="14.25" customHeight="1">
      <c r="A64" s="169" t="s">
        <v>325</v>
      </c>
      <c r="B64" s="170" t="s">
        <v>1381</v>
      </c>
      <c r="C64" s="2562" t="e">
        <f ca="1">D45</f>
        <v>#REF!</v>
      </c>
      <c r="D64" s="170" t="s">
        <v>26</v>
      </c>
      <c r="E64" s="172"/>
      <c r="F64" s="1807"/>
      <c r="G64" s="1807"/>
      <c r="H64" s="1809"/>
      <c r="I64" s="129"/>
      <c r="J64" s="3654"/>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1" t="s">
        <v>1383</v>
      </c>
      <c r="Z64" s="1751"/>
      <c r="AI64" s="1752"/>
    </row>
    <row r="65" spans="1:35" ht="14.25" customHeight="1">
      <c r="A65" s="169" t="s">
        <v>326</v>
      </c>
      <c r="B65" s="170" t="s">
        <v>1384</v>
      </c>
      <c r="C65" s="2563"/>
      <c r="D65" s="170"/>
      <c r="E65" s="172"/>
      <c r="F65" s="1807"/>
      <c r="G65" s="1807"/>
      <c r="H65" s="1809"/>
      <c r="I65" s="129"/>
      <c r="J65" s="3654"/>
      <c r="K65" s="1331" t="s">
        <v>1385</v>
      </c>
      <c r="L65" s="1331" t="e">
        <f>IF(M49&gt;1000,M49*0.1%,IF(AND(M49&gt;500,M49&lt;=1000),M49*0.5%,IF(AND(M49&gt;50,M49&lt;=500),M49*1%,IF(AND(M49&gt;1,M49&lt;=50),M49*1.5%))))</f>
        <v>#VALUE!</v>
      </c>
      <c r="M65" s="302" t="e">
        <f t="shared" si="1"/>
        <v>#VALUE!</v>
      </c>
      <c r="N65" s="2541" t="s">
        <v>1383</v>
      </c>
      <c r="Z65" s="1751"/>
      <c r="AI65" s="1752"/>
    </row>
    <row r="66" spans="1:35" ht="14.25" customHeight="1">
      <c r="A66" s="173" t="s">
        <v>327</v>
      </c>
      <c r="B66" s="174" t="s">
        <v>1386</v>
      </c>
      <c r="C66" s="2564"/>
      <c r="D66" s="174" t="s">
        <v>26</v>
      </c>
      <c r="E66" s="1337" t="s">
        <v>671</v>
      </c>
      <c r="F66" s="1807"/>
      <c r="G66" s="1807"/>
      <c r="H66" s="1809"/>
      <c r="I66" s="129"/>
      <c r="J66" s="3654"/>
      <c r="K66" s="1331" t="s">
        <v>1387</v>
      </c>
      <c r="L66" s="1331" t="e">
        <f>M49*0.5%</f>
        <v>#VALUE!</v>
      </c>
      <c r="M66" s="302" t="e">
        <f>IF(L66&gt;0.5,0.5,ROUND(L66,0))</f>
        <v>#VALUE!</v>
      </c>
      <c r="N66" s="2541" t="s">
        <v>1388</v>
      </c>
      <c r="Z66" s="1751"/>
      <c r="AI66" s="1752"/>
    </row>
    <row r="67" spans="1:35" ht="14.25" customHeight="1">
      <c r="A67" s="173" t="s">
        <v>328</v>
      </c>
      <c r="B67" s="174" t="s">
        <v>1389</v>
      </c>
      <c r="C67" s="2565" t="e">
        <f ca="1">C63-C66</f>
        <v>#REF!</v>
      </c>
      <c r="D67" s="170" t="s">
        <v>26</v>
      </c>
      <c r="E67" s="172"/>
      <c r="F67" s="1807"/>
      <c r="G67" s="1807"/>
      <c r="H67" s="1809"/>
      <c r="I67" s="129"/>
      <c r="J67" s="3654"/>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0"/>
      <c r="Z67" s="1751"/>
      <c r="AI67" s="1752"/>
    </row>
    <row r="68" spans="1:35" ht="14.25" customHeight="1" thickBot="1">
      <c r="A68" s="176" t="s">
        <v>329</v>
      </c>
      <c r="B68" s="177" t="s">
        <v>1391</v>
      </c>
      <c r="C68" s="2566" t="e">
        <f ca="1">IF(C67&lt;=0,0,ROUND(C67*D68,0))</f>
        <v>#REF!</v>
      </c>
      <c r="D68" s="2567">
        <f>'数据-取费表'!B41</f>
        <v>5.6000000000000001E-2</v>
      </c>
      <c r="E68" s="178"/>
      <c r="F68" s="1807"/>
      <c r="G68" s="1807"/>
      <c r="H68" s="1809"/>
      <c r="I68" s="129"/>
      <c r="J68" s="3654"/>
      <c r="K68" s="1331" t="s">
        <v>1392</v>
      </c>
      <c r="L68" s="1331" t="e">
        <f>IF(M49&gt;10000,M49*0.5%,IF(AND(M49&gt;5000,M49&lt;=10000),M49*1%,IF(AND(M49&gt;1000,M49&lt;=5000),M49*2%,IF(AND(M49&gt;200,M49&lt;=1000),M49*3%,M49*5%))))</f>
        <v>#VALUE!</v>
      </c>
      <c r="M68" s="302" t="e">
        <f>ROUND(L68,1)</f>
        <v>#VALUE!</v>
      </c>
      <c r="N68" s="2540"/>
      <c r="Z68" s="1751"/>
      <c r="AI68" s="1752"/>
    </row>
    <row r="69" spans="1:35" s="1771" customFormat="1" ht="16.5" customHeight="1">
      <c r="A69" s="1810"/>
      <c r="B69" s="1811"/>
      <c r="C69" s="1812"/>
      <c r="D69" s="1813"/>
      <c r="E69" s="1814"/>
      <c r="F69" s="1577"/>
      <c r="G69" s="1577"/>
      <c r="H69" s="1576"/>
      <c r="I69" s="1746"/>
      <c r="J69" s="3654"/>
      <c r="K69" s="1331" t="s">
        <v>1393</v>
      </c>
      <c r="L69" s="1331"/>
      <c r="M69" s="302" t="e">
        <f>ROUND(SUM(M63:M68),0)</f>
        <v>#VALUE!</v>
      </c>
      <c r="N69" s="2542"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4.4" thickBot="1">
      <c r="A70" s="3616" t="s">
        <v>1394</v>
      </c>
      <c r="B70" s="3617"/>
      <c r="C70" s="3617"/>
      <c r="D70" s="3617"/>
      <c r="E70" s="3617"/>
      <c r="F70" s="3617"/>
      <c r="G70" s="3617"/>
      <c r="H70" s="3617"/>
      <c r="I70" s="1815"/>
      <c r="J70" s="2688"/>
      <c r="K70" s="2688"/>
      <c r="L70" s="2688"/>
      <c r="M70" s="2688"/>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3.8">
      <c r="A71" s="3595" t="s">
        <v>1375</v>
      </c>
      <c r="B71" s="3596"/>
      <c r="C71" s="2020"/>
      <c r="D71" s="2020" t="s">
        <v>1376</v>
      </c>
      <c r="E71" s="179" t="s">
        <v>1377</v>
      </c>
      <c r="F71" s="180"/>
      <c r="G71" s="180"/>
      <c r="H71" s="181"/>
      <c r="I71" s="1819"/>
      <c r="J71" s="2688"/>
      <c r="K71" s="2688"/>
      <c r="L71" s="2688"/>
      <c r="M71" s="2688"/>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3.8">
      <c r="A72" s="173" t="s">
        <v>330</v>
      </c>
      <c r="B72" s="174" t="s">
        <v>1395</v>
      </c>
      <c r="C72" s="2565" t="e">
        <f ca="1">ROUND(D45/(1+'数据-取费表'!C42),0)</f>
        <v>#REF!</v>
      </c>
      <c r="D72" s="170" t="s">
        <v>26</v>
      </c>
      <c r="E72" s="2330"/>
      <c r="F72" s="2329"/>
      <c r="G72" s="2329"/>
      <c r="H72" s="182"/>
      <c r="I72" s="1819"/>
      <c r="J72" s="2688"/>
      <c r="K72" s="2688"/>
      <c r="L72" s="2688"/>
      <c r="M72" s="2688"/>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3.8">
      <c r="A73" s="173" t="s">
        <v>327</v>
      </c>
      <c r="B73" s="163" t="s">
        <v>1396</v>
      </c>
      <c r="C73" s="2565" t="e">
        <f ca="1">C74+C78</f>
        <v>#REF!</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28.8">
      <c r="A75" s="169" t="s">
        <v>331</v>
      </c>
      <c r="B75" s="170" t="s">
        <v>1398</v>
      </c>
      <c r="C75" s="2568"/>
      <c r="D75" s="170" t="s">
        <v>26</v>
      </c>
      <c r="E75" s="184" t="s">
        <v>1399</v>
      </c>
      <c r="F75" s="2569"/>
      <c r="G75" s="184" t="s">
        <v>1400</v>
      </c>
      <c r="H75" s="2570"/>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71">
        <v>0.05</v>
      </c>
      <c r="E76" s="3590" t="s">
        <v>1402</v>
      </c>
      <c r="F76" s="3564"/>
      <c r="G76" s="3564"/>
      <c r="H76" s="3615"/>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2">
        <f>'数据-取费表'!B48+'数据-取费表'!B49</f>
        <v>3.0499999999999999E-2</v>
      </c>
      <c r="E77" s="2323" t="s">
        <v>1404</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3" t="e">
        <f ca="1">ROUND(D45*D78/(1+'数据-取费表'!C42),0)</f>
        <v>#REF!</v>
      </c>
      <c r="D78" s="2574">
        <f>'数据-取费表'!B43</f>
        <v>6.000000000000001E-3</v>
      </c>
      <c r="E78" s="3574" t="s">
        <v>1406</v>
      </c>
      <c r="F78" s="3575"/>
      <c r="G78" s="3575"/>
      <c r="H78" s="3584"/>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3.8">
      <c r="A79" s="173" t="s">
        <v>334</v>
      </c>
      <c r="B79" s="174" t="s">
        <v>1407</v>
      </c>
      <c r="C79" s="2565" t="e">
        <f ca="1">C72-C73</f>
        <v>#REF!</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5" t="e">
        <f ca="1">IF(C79&lt;=0,0,C79/C73)</f>
        <v>#REF!</v>
      </c>
      <c r="D80" s="170" t="s">
        <v>26</v>
      </c>
      <c r="E80" s="2323" t="e">
        <f ca="1">IF(C80&gt;=200%,"增值额超过扣除项目金额200%",IF(C80&gt;=100%,"增值额超过扣除项目金额100%，未超过200%",IF(C80&gt;=50%,"增值额超过扣除项目金额50%，未超过100%",IF(C80&lt;50%,"增值额未超过扣除项目金额50%"))))</f>
        <v>#REF!</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6" thickBot="1">
      <c r="A81" s="176" t="s">
        <v>336</v>
      </c>
      <c r="B81" s="177" t="s">
        <v>1409</v>
      </c>
      <c r="C81" s="2576" t="e">
        <f ca="1">ROUND(IF(C79&lt;=0,0,IF(C80&gt;=200%,C79*60%-C73*35%,IF(C80&gt;=100%,C79*50%-C73*15%,IF(C80&gt;=50%,C79*40%-C73*5%,IF(C80&lt;50%,C79*30%,0))))),0)</f>
        <v>#REF!</v>
      </c>
      <c r="D81" s="2577"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4.4" thickBot="1">
      <c r="A83" s="3616" t="s">
        <v>1410</v>
      </c>
      <c r="B83" s="3617"/>
      <c r="C83" s="3617"/>
      <c r="D83" s="3617"/>
      <c r="E83" s="3617"/>
      <c r="F83" s="3617"/>
      <c r="G83" s="3617"/>
      <c r="H83" s="3617"/>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3.8">
      <c r="A84" s="3595" t="s">
        <v>1375</v>
      </c>
      <c r="B84" s="3596"/>
      <c r="C84" s="2020"/>
      <c r="D84" s="2020"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3.8">
      <c r="A85" s="173" t="s">
        <v>330</v>
      </c>
      <c r="B85" s="174" t="s">
        <v>1395</v>
      </c>
      <c r="C85" s="2565" t="e">
        <f ca="1">ROUND(D45/(1+'数据-取费表'!C42),0)</f>
        <v>#REF!</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3.8">
      <c r="A86" s="173" t="s">
        <v>327</v>
      </c>
      <c r="B86" s="163" t="s">
        <v>1396</v>
      </c>
      <c r="C86" s="2565" t="e">
        <f ca="1">IF(H88="仅含出让金",C87+C90+C91+C92+C93+C94,C87+C91+C92+C93+C94)</f>
        <v>#REF!</v>
      </c>
      <c r="D86" s="2578"/>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3.8">
      <c r="A87" s="169" t="s">
        <v>325</v>
      </c>
      <c r="B87" s="170" t="s">
        <v>1411</v>
      </c>
      <c r="C87" s="2573">
        <f>C88+C89</f>
        <v>0</v>
      </c>
      <c r="D87" s="2574"/>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4">
      <c r="A88" s="169" t="s">
        <v>331</v>
      </c>
      <c r="B88" s="170" t="s">
        <v>1412</v>
      </c>
      <c r="C88" s="2579"/>
      <c r="D88" s="2574"/>
      <c r="E88" s="193" t="s">
        <v>1413</v>
      </c>
      <c r="F88" s="2326"/>
      <c r="G88" s="194" t="s">
        <v>1414</v>
      </c>
      <c r="H88" s="1823"/>
      <c r="I88" s="1820"/>
      <c r="J88" s="2518" t="s">
        <v>2284</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3.8">
      <c r="A89" s="169" t="s">
        <v>332</v>
      </c>
      <c r="B89" s="170" t="s">
        <v>1403</v>
      </c>
      <c r="C89" s="2573">
        <f>ROUND(C88*D89,0)</f>
        <v>0</v>
      </c>
      <c r="D89" s="2574">
        <f>'数据-取费表'!B48+'数据-取费表'!B49</f>
        <v>3.0499999999999999E-2</v>
      </c>
      <c r="E89" s="193" t="s">
        <v>1415</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4">
      <c r="A90" s="169" t="s">
        <v>326</v>
      </c>
      <c r="B90" s="170" t="s">
        <v>1416</v>
      </c>
      <c r="C90" s="2579"/>
      <c r="D90" s="2574"/>
      <c r="E90" s="193" t="str">
        <f>IF(H88="-","土地取得成本中已包含该笔费用"," ")</f>
        <v xml:space="preserve"> </v>
      </c>
      <c r="F90" s="2326"/>
      <c r="G90" s="3656" t="s">
        <v>2127</v>
      </c>
      <c r="H90" s="3657"/>
      <c r="I90" s="1820"/>
      <c r="J90" s="2518" t="s">
        <v>2285</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3">
        <f>IF(H91="——",成本法!C33,I91)</f>
        <v>0</v>
      </c>
      <c r="D91" s="2574"/>
      <c r="E91" s="3574" t="s">
        <v>1419</v>
      </c>
      <c r="F91" s="3575"/>
      <c r="G91" s="357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3">
        <f>ROUND((C87+C90+C91)*D92,0)</f>
        <v>0</v>
      </c>
      <c r="D92" s="2580"/>
      <c r="E92" s="3574" t="s">
        <v>1422</v>
      </c>
      <c r="F92" s="3575"/>
      <c r="G92" s="3575"/>
      <c r="H92" s="3584"/>
      <c r="I92" s="1820"/>
      <c r="J92" s="2519" t="s">
        <v>2286</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3" t="e">
        <f ca="1">ROUND(D45*D93/(1+'数据-取费表'!C42),0)</f>
        <v>#REF!</v>
      </c>
      <c r="D93" s="2574">
        <f>'数据-取费表'!B43</f>
        <v>6.000000000000001E-3</v>
      </c>
      <c r="E93" s="3574" t="s">
        <v>1406</v>
      </c>
      <c r="F93" s="3575"/>
      <c r="G93" s="3575"/>
      <c r="H93" s="3584"/>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9">
        <f>ROUND((C87+C90+C91)*D94,0)</f>
        <v>0</v>
      </c>
      <c r="D94" s="2574">
        <v>0.2</v>
      </c>
      <c r="E94" s="3585" t="s">
        <v>1426</v>
      </c>
      <c r="F94" s="3586"/>
      <c r="G94" s="3586"/>
      <c r="H94" s="3587"/>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3.8">
      <c r="A95" s="173" t="s">
        <v>334</v>
      </c>
      <c r="B95" s="174" t="s">
        <v>1407</v>
      </c>
      <c r="C95" s="2565" t="e">
        <f ca="1">ROUND(C85-C86,0)</f>
        <v>#REF!</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5" t="e">
        <f ca="1">IF(C95&lt;=0,0,C95/C86)</f>
        <v>#REF!</v>
      </c>
      <c r="D96" s="170" t="s">
        <v>26</v>
      </c>
      <c r="E96" s="2323" t="e">
        <f ca="1">IF(C96&gt;=200%,"增值额超过扣除项目金额200%",IF(C96&gt;=100%,"增值额超过扣除项目金额100%，未超过200%",IF(C96&gt;=50%,"增值额超过扣除项目金额50%，未超过100%",IF(C96&lt;50%,"增值额未超过扣除项目金额50%"))))</f>
        <v>#REF!</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6" thickBot="1">
      <c r="A97" s="176" t="s">
        <v>336</v>
      </c>
      <c r="B97" s="177" t="s">
        <v>1409</v>
      </c>
      <c r="C97" s="2576" t="e">
        <f ca="1">ROUND(IF(C95&lt;=0,0,IF(C96&gt;=200%,C95*60%-C86*35%,IF(C96&gt;=100%,C95*50%-C86*15%,IF(C96&gt;=50%,C95*40%-C86*5%,IF(C96&lt;50%,C95*30%,0))))),0)</f>
        <v>#REF!</v>
      </c>
      <c r="D97" s="2577"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8" t="s">
        <v>1428</v>
      </c>
      <c r="B100" s="3559"/>
      <c r="C100" s="3559"/>
      <c r="D100" s="3576"/>
      <c r="E100" s="3559" t="s">
        <v>1429</v>
      </c>
      <c r="F100" s="3559"/>
      <c r="G100" s="3559"/>
      <c r="H100" s="3576"/>
      <c r="I100" s="129"/>
    </row>
    <row r="101" spans="1:35" ht="18.75" customHeight="1">
      <c r="A101" s="3637" t="s">
        <v>1430</v>
      </c>
      <c r="B101" s="3638"/>
      <c r="C101" s="2582" t="str">
        <f>C4</f>
        <v>比较法-住宅（新）</v>
      </c>
      <c r="D101" s="2583" t="str">
        <f>D4</f>
        <v>成本法 (元)</v>
      </c>
      <c r="E101" s="3651" t="s">
        <v>1431</v>
      </c>
      <c r="F101" s="3608"/>
      <c r="G101" s="1826" t="s">
        <v>1432</v>
      </c>
      <c r="H101" s="2592" t="e">
        <f ca="1">H118</f>
        <v>#REF!</v>
      </c>
      <c r="I101" s="129"/>
    </row>
    <row r="102" spans="1:35" ht="18.75" customHeight="1">
      <c r="A102" s="3610" t="s">
        <v>1433</v>
      </c>
      <c r="B102" s="2581" t="s">
        <v>1432</v>
      </c>
      <c r="C102" s="2582">
        <f ca="1">IF(D32="楼面单价",ROUND(C19,0),C19)</f>
        <v>4167.7217000000001</v>
      </c>
      <c r="D102" s="2583">
        <f ca="1">IF(D32="楼面单价",ROUND(D19,0),D19)</f>
        <v>2481.2460000000001</v>
      </c>
      <c r="E102" s="3651"/>
      <c r="F102" s="3608"/>
      <c r="G102" s="1826" t="s">
        <v>1434</v>
      </c>
      <c r="H102" s="2552" t="e">
        <f ca="1">I118</f>
        <v>#REF!</v>
      </c>
      <c r="I102" s="129"/>
    </row>
    <row r="103" spans="1:35" ht="42.75" customHeight="1">
      <c r="A103" s="3610"/>
      <c r="B103" s="2581" t="s">
        <v>1434</v>
      </c>
      <c r="C103" s="2584">
        <f ca="1">C20</f>
        <v>110882</v>
      </c>
      <c r="D103" s="2585">
        <f ca="1">D20</f>
        <v>66013</v>
      </c>
      <c r="E103" s="3645" t="s">
        <v>1435</v>
      </c>
      <c r="F103" s="3646"/>
      <c r="G103" s="1827" t="s">
        <v>1436</v>
      </c>
      <c r="H103" s="2592">
        <f>IF(D36="正常操作",H104+H105+H106,H105+H106)</f>
        <v>0</v>
      </c>
      <c r="I103" s="129"/>
    </row>
    <row r="104" spans="1:35" ht="18.75" customHeight="1">
      <c r="A104" s="3610" t="s">
        <v>1437</v>
      </c>
      <c r="B104" s="2586" t="s">
        <v>1432</v>
      </c>
      <c r="C104" s="2587" t="e">
        <f ca="1">H118</f>
        <v>#REF!</v>
      </c>
      <c r="D104" s="2588"/>
      <c r="E104" s="1673" t="s">
        <v>1438</v>
      </c>
      <c r="F104" s="1665"/>
      <c r="G104" s="1827" t="s">
        <v>1436</v>
      </c>
      <c r="H104" s="2593">
        <f>IF(D36="同一抵押权人同一抵押物续贷",C36&amp;"（续贷，未扣减，详见特别提示）",C36)</f>
        <v>0</v>
      </c>
      <c r="I104" s="129"/>
    </row>
    <row r="105" spans="1:35" ht="18.75" customHeight="1" thickBot="1">
      <c r="A105" s="3611"/>
      <c r="B105" s="2589" t="s">
        <v>1434</v>
      </c>
      <c r="C105" s="2590" t="e">
        <f ca="1">I118</f>
        <v>#REF!</v>
      </c>
      <c r="D105" s="2591"/>
      <c r="E105" s="1673" t="s">
        <v>1439</v>
      </c>
      <c r="F105" s="1665"/>
      <c r="G105" s="1827" t="s">
        <v>1436</v>
      </c>
      <c r="H105" s="2594">
        <f>C37</f>
        <v>0</v>
      </c>
      <c r="I105" s="129"/>
    </row>
    <row r="106" spans="1:35" ht="18.75" customHeight="1">
      <c r="A106" s="1746" t="s">
        <v>1440</v>
      </c>
      <c r="B106" s="1746"/>
      <c r="C106" s="1746"/>
      <c r="D106" s="1746"/>
      <c r="E106" s="1828" t="s">
        <v>1441</v>
      </c>
      <c r="F106" s="1665"/>
      <c r="G106" s="1827" t="s">
        <v>1436</v>
      </c>
      <c r="H106" s="2594">
        <f>C38</f>
        <v>0</v>
      </c>
      <c r="I106" s="129"/>
    </row>
    <row r="107" spans="1:35" ht="18.75" customHeight="1">
      <c r="A107" s="129"/>
      <c r="B107" s="129"/>
      <c r="C107" s="129"/>
      <c r="D107" s="129"/>
      <c r="E107" s="3607" t="str">
        <f>IF(项目基本情况!E8="已注销","——","3.房地产抵押价值")</f>
        <v>3.房地产抵押价值</v>
      </c>
      <c r="F107" s="3608"/>
      <c r="G107" s="1826" t="s">
        <v>1432</v>
      </c>
      <c r="H107" s="2592" t="e">
        <f ca="1">IF(E107="——","——",H101-H103)</f>
        <v>#REF!</v>
      </c>
      <c r="I107" s="129"/>
    </row>
    <row r="108" spans="1:35" ht="18.75" customHeight="1">
      <c r="A108" s="129"/>
      <c r="B108" s="129"/>
      <c r="C108" s="129"/>
      <c r="D108" s="129"/>
      <c r="E108" s="3607"/>
      <c r="F108" s="3608"/>
      <c r="G108" s="1826" t="s">
        <v>1434</v>
      </c>
      <c r="H108" s="2552">
        <f ca="1">IF(H107=H101,H102,ROUND(H107*10000/'数据-汇总表'!E3,0))</f>
        <v>0</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608"/>
      <c r="G109" s="1826" t="s">
        <v>1432</v>
      </c>
      <c r="H109" s="2595" t="str">
        <f>IF(E109="——","——",H101-H105-H106)</f>
        <v>——</v>
      </c>
      <c r="I109" s="129"/>
    </row>
    <row r="110" spans="1:35" ht="18.75" customHeight="1">
      <c r="A110" s="129"/>
      <c r="B110" s="129"/>
      <c r="C110" s="129"/>
      <c r="D110" s="129"/>
      <c r="E110" s="3607"/>
      <c r="F110" s="3608"/>
      <c r="G110" s="1826" t="s">
        <v>1434</v>
      </c>
      <c r="H110" s="2552" t="str">
        <f>IF(H109="——","——",ROUND(H109*10000/'数据-汇总表'!E3,0))</f>
        <v>——</v>
      </c>
      <c r="I110" s="129"/>
    </row>
    <row r="111" spans="1:35" ht="18.75" customHeight="1">
      <c r="A111" s="129"/>
      <c r="B111" s="129"/>
      <c r="C111" s="129"/>
      <c r="D111" s="129"/>
      <c r="E111" s="3639" t="str">
        <f>IF(项目基本情况!E9="抵押净值",IF(OR(项目基本情况!E8="已注销",项目基本情况!E8="房地产抵押价值"),"4.抵押净值","5.抵押净值"),"——")</f>
        <v>——</v>
      </c>
      <c r="F111" s="3609"/>
      <c r="G111" s="1826" t="s">
        <v>1432</v>
      </c>
      <c r="H111" s="2592" t="str">
        <f>IF(E111="——","——",N59)</f>
        <v>——</v>
      </c>
      <c r="I111" s="129"/>
    </row>
    <row r="112" spans="1:35" ht="18.75" customHeight="1" thickBot="1">
      <c r="A112" s="129"/>
      <c r="B112" s="129"/>
      <c r="C112" s="129"/>
      <c r="D112" s="129"/>
      <c r="E112" s="3640"/>
      <c r="F112" s="3641"/>
      <c r="G112" s="1829" t="s">
        <v>1434</v>
      </c>
      <c r="H112" s="2596" t="str">
        <f>IF(E111="——","——",N61)</f>
        <v>——</v>
      </c>
      <c r="I112" s="129"/>
    </row>
    <row r="113" spans="1:27" ht="18.75" customHeight="1">
      <c r="A113" s="129"/>
      <c r="B113" s="129"/>
      <c r="C113" s="129"/>
      <c r="D113" s="129"/>
      <c r="E113" s="3612" t="s">
        <v>1440</v>
      </c>
      <c r="F113" s="3612"/>
      <c r="G113" s="3612"/>
      <c r="H113" s="3612"/>
      <c r="I113" s="129"/>
    </row>
    <row r="114" spans="1:27" ht="3.75" customHeight="1">
      <c r="A114" s="1746"/>
      <c r="B114" s="1746"/>
      <c r="C114" s="1746"/>
      <c r="D114" s="1746"/>
      <c r="E114" s="1808"/>
      <c r="F114" s="1808"/>
      <c r="G114" s="1808"/>
      <c r="H114" s="1808"/>
      <c r="I114" s="1746"/>
    </row>
    <row r="115" spans="1:27" ht="18.75" customHeight="1">
      <c r="A115" s="3622" t="s">
        <v>1442</v>
      </c>
      <c r="B115" s="3623"/>
      <c r="C115" s="3623"/>
      <c r="D115" s="3623"/>
      <c r="E115" s="3623"/>
      <c r="F115" s="3623"/>
      <c r="G115" s="3623"/>
      <c r="H115" s="3623"/>
      <c r="I115" s="3624"/>
    </row>
    <row r="116" spans="1:27" ht="27" customHeight="1">
      <c r="A116" s="3578" t="s">
        <v>1443</v>
      </c>
      <c r="B116" s="3613" t="s">
        <v>1444</v>
      </c>
      <c r="C116" s="3613" t="s">
        <v>1445</v>
      </c>
      <c r="D116" s="3626" t="s">
        <v>1446</v>
      </c>
      <c r="E116" s="3627"/>
      <c r="F116" s="3621" t="s">
        <v>1447</v>
      </c>
      <c r="G116" s="3621"/>
      <c r="H116" s="3578" t="s">
        <v>1448</v>
      </c>
      <c r="I116" s="3578"/>
    </row>
    <row r="117" spans="1:27" ht="18.75" customHeight="1">
      <c r="A117" s="3578"/>
      <c r="B117" s="3614"/>
      <c r="C117" s="3614"/>
      <c r="D117" s="2328" t="s">
        <v>1449</v>
      </c>
      <c r="E117" s="2328" t="s">
        <v>1450</v>
      </c>
      <c r="F117" s="2328" t="s">
        <v>1449</v>
      </c>
      <c r="G117" s="2328" t="s">
        <v>1451</v>
      </c>
      <c r="H117" s="2328" t="s">
        <v>1449</v>
      </c>
      <c r="I117" s="2328" t="s">
        <v>1451</v>
      </c>
    </row>
    <row r="118" spans="1:27" ht="24.75" customHeight="1">
      <c r="A118" s="2597" t="str">
        <f>项目基本情况!S2</f>
        <v>北京市房地产</v>
      </c>
      <c r="B118" s="2328">
        <f>M18</f>
        <v>375.87</v>
      </c>
      <c r="C118" s="2328">
        <f>M19</f>
        <v>0</v>
      </c>
      <c r="D118" s="2328" t="e">
        <f ca="1">ROUND(IF(D32="总价",C34,E118*B118/10000),0)</f>
        <v>#REF!</v>
      </c>
      <c r="E118" s="2328" t="e">
        <f ca="1">ROUND(IF(C33="自定义",IF(D32="楼面单价",C34,D118*10000/B118),I118-G118),0)</f>
        <v>#REF!</v>
      </c>
      <c r="F118" s="2328" t="e">
        <f ca="1">ROUND(IF(D32="总价",C35,G118*B118/10000),0)</f>
        <v>#REF!</v>
      </c>
      <c r="G118" s="2328" t="e">
        <f ca="1">ROUND(IF(D32="楼面单价",C35,F118*10000/B118),0)</f>
        <v>#REF!</v>
      </c>
      <c r="H118" s="2328" t="e">
        <f ca="1">ROUND(IF(D32="总价",C32,I118*B118/10000),0)</f>
        <v>#REF!</v>
      </c>
      <c r="I118" s="2328" t="e">
        <f ca="1">ROUND(IF(D32="楼面单价",C32,H118*10000/B118),0)</f>
        <v>#REF!</v>
      </c>
    </row>
    <row r="119" spans="1:27" ht="18.75" customHeight="1">
      <c r="A119" s="3578" t="s">
        <v>1452</v>
      </c>
      <c r="B119" s="3578"/>
      <c r="C119" s="3578"/>
      <c r="D119" s="3618" t="e">
        <f ca="1">NUMBERSTRING(INT(D118*10000),2)&amp;"元整"</f>
        <v>#REF!</v>
      </c>
      <c r="E119" s="3620"/>
      <c r="F119" s="3618" t="e">
        <f ca="1">NUMBERSTRING(INT(F118*10000),2)&amp;"元整"</f>
        <v>#REF!</v>
      </c>
      <c r="G119" s="3620"/>
      <c r="H119" s="3618" t="e">
        <f ca="1">NUMBERSTRING(INT(H118*10000),2)&amp;"元整"</f>
        <v>#REF!</v>
      </c>
      <c r="I119" s="3620"/>
    </row>
    <row r="120" spans="1:27" ht="18.75" customHeight="1">
      <c r="A120" s="3642" t="str">
        <f>IF(项目基本情况!B9="房地产市场价值","",MID(E103,3,LEN(E103)-2))</f>
        <v/>
      </c>
      <c r="B120" s="3643"/>
      <c r="C120" s="3644"/>
      <c r="D120" s="3642">
        <f>H103</f>
        <v>0</v>
      </c>
      <c r="E120" s="3643"/>
      <c r="F120" s="3643"/>
      <c r="G120" s="3643"/>
      <c r="H120" s="3643"/>
      <c r="I120" s="3644"/>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618" t="s">
        <v>1452</v>
      </c>
      <c r="B121" s="3619"/>
      <c r="C121" s="3620"/>
      <c r="D121" s="3618" t="str">
        <f>IF(D120=0,"零元整",NUMBERSTRING(INT(D120*10000),2)&amp;"元整")</f>
        <v>零元整</v>
      </c>
      <c r="E121" s="3619"/>
      <c r="F121" s="3619"/>
      <c r="G121" s="3619"/>
      <c r="H121" s="3619"/>
      <c r="I121" s="3620"/>
      <c r="AA121" s="725"/>
    </row>
    <row r="122" spans="1:27" ht="18.75" customHeight="1">
      <c r="A122" s="3609" t="str">
        <f>IF(项目基本情况!B9="房地产市场价值","",MID(E107,3,LEN(E107)-2))</f>
        <v/>
      </c>
      <c r="B122" s="3609"/>
      <c r="C122" s="3609"/>
      <c r="D122" s="3642" t="e">
        <f ca="1">H107</f>
        <v>#REF!</v>
      </c>
      <c r="E122" s="3643"/>
      <c r="F122" s="3643"/>
      <c r="G122" s="3643"/>
      <c r="H122" s="3643"/>
      <c r="I122" s="3644"/>
      <c r="AA122" s="725"/>
    </row>
    <row r="123" spans="1:27" ht="18.75" customHeight="1">
      <c r="A123" s="3578" t="s">
        <v>1452</v>
      </c>
      <c r="B123" s="3578"/>
      <c r="C123" s="3578"/>
      <c r="D123" s="3618" t="e">
        <f ca="1">NUMBERSTRING(INT(D122*10000),2)&amp;"元整"</f>
        <v>#REF!</v>
      </c>
      <c r="E123" s="3619"/>
      <c r="F123" s="3619"/>
      <c r="G123" s="3619"/>
      <c r="H123" s="3619"/>
      <c r="I123" s="3620"/>
      <c r="AA123" s="725"/>
    </row>
    <row r="124" spans="1:27" ht="18.75" customHeight="1">
      <c r="A124" s="3609" t="str">
        <f>IF(项目基本情况!B9="房地产市场价值","",MID(E109,3,LEN(E109)-2))</f>
        <v/>
      </c>
      <c r="B124" s="3609"/>
      <c r="C124" s="3609"/>
      <c r="D124" s="3642" t="str">
        <f>H109</f>
        <v>——</v>
      </c>
      <c r="E124" s="3643"/>
      <c r="F124" s="3643"/>
      <c r="G124" s="3643"/>
      <c r="H124" s="3643"/>
      <c r="I124" s="3644"/>
      <c r="AA124" s="725"/>
    </row>
    <row r="125" spans="1:27" ht="18.75" customHeight="1">
      <c r="A125" s="3578" t="s">
        <v>1452</v>
      </c>
      <c r="B125" s="3578"/>
      <c r="C125" s="3578"/>
      <c r="D125" s="3618" t="e">
        <f>NUMBERSTRING(INT(D124*10000),2)&amp;"元整"</f>
        <v>#VALUE!</v>
      </c>
      <c r="E125" s="3619"/>
      <c r="F125" s="3619"/>
      <c r="G125" s="3619"/>
      <c r="H125" s="3619"/>
      <c r="I125" s="3620"/>
      <c r="AA125" s="725"/>
    </row>
    <row r="126" spans="1:27" ht="18.75" customHeight="1">
      <c r="A126" s="3609" t="str">
        <f>IF(项目基本情况!B9="房地产市场价值","",MID(E111,3,LEN(E111)-2))</f>
        <v/>
      </c>
      <c r="B126" s="3609"/>
      <c r="C126" s="3609"/>
      <c r="D126" s="3642" t="str">
        <f>H111</f>
        <v>——</v>
      </c>
      <c r="E126" s="3643"/>
      <c r="F126" s="3643"/>
      <c r="G126" s="3643"/>
      <c r="H126" s="3643"/>
      <c r="I126" s="3644"/>
      <c r="AA126" s="725"/>
    </row>
    <row r="127" spans="1:27" ht="18.75" customHeight="1">
      <c r="A127" s="3578" t="s">
        <v>1452</v>
      </c>
      <c r="B127" s="3578"/>
      <c r="C127" s="3578"/>
      <c r="D127" s="3618" t="e">
        <f>NUMBERSTRING(INT(D126*10000),2)&amp;"元整"</f>
        <v>#VALUE!</v>
      </c>
      <c r="E127" s="3619"/>
      <c r="F127" s="3619"/>
      <c r="G127" s="3619"/>
      <c r="H127" s="3619"/>
      <c r="I127" s="3620"/>
      <c r="AA127" s="725"/>
    </row>
    <row r="128" spans="1:27" ht="21.75" customHeight="1">
      <c r="A128" s="3625" t="s">
        <v>1453</v>
      </c>
      <c r="B128" s="3625"/>
      <c r="C128" s="3625"/>
      <c r="D128" s="3625"/>
      <c r="E128" s="3625"/>
      <c r="F128" s="3625"/>
      <c r="G128" s="3625"/>
      <c r="H128" s="3625"/>
      <c r="I128" s="3625"/>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1" sqref="C1"/>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69"/>
      <c r="C1" s="198"/>
      <c r="D1" s="198"/>
      <c r="E1" s="198"/>
      <c r="F1" s="198"/>
      <c r="G1" s="1126">
        <f>MATCH(B1,'数据-取费表'!A6:A16,0)+5</f>
        <v>7</v>
      </c>
    </row>
    <row r="2" spans="1:9" s="200" customFormat="1" ht="18" customHeight="1">
      <c r="A2" s="201" t="s">
        <v>1462</v>
      </c>
      <c r="B2" s="202">
        <f ca="1">IF(D2="——",C52,C52-E2)</f>
        <v>1220</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32458</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5"/>
    </row>
    <row r="9" spans="1:9" s="214" customFormat="1" ht="13.5" customHeight="1">
      <c r="A9" s="779" t="s">
        <v>355</v>
      </c>
      <c r="B9" s="224" t="s">
        <v>1478</v>
      </c>
      <c r="C9" s="225">
        <f ca="1">ROUND(D9*E9/10000,0)</f>
        <v>6</v>
      </c>
      <c r="D9" s="845">
        <f ca="1">IF(B1="",'数据-汇总表'!E5,IF(INDIRECT("'数据-取费表'!c"&amp;$G$1)="住宅",INDIRECT("'数据-取费表'!k"&amp;$G$1),0))</f>
        <v>375.87</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8</v>
      </c>
      <c r="D19" s="849">
        <f ca="1">D9+D10</f>
        <v>375.87</v>
      </c>
      <c r="E19" s="211">
        <f>'数据-取费表'!B31</f>
        <v>200</v>
      </c>
      <c r="F19" s="231"/>
      <c r="G19" s="1855"/>
    </row>
    <row r="20" spans="1:7" s="214" customFormat="1" ht="13.5" customHeight="1">
      <c r="A20" s="255" t="s">
        <v>1493</v>
      </c>
      <c r="B20" s="210" t="s">
        <v>1494</v>
      </c>
      <c r="C20" s="232">
        <f ca="1">ROUND((C5+C19)*F20,0)</f>
        <v>0</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1</v>
      </c>
      <c r="D22" s="235">
        <f ca="1">C26</f>
        <v>1.4E-3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6.4">
      <c r="A27" s="255" t="s">
        <v>1512</v>
      </c>
      <c r="B27" s="244" t="s">
        <v>1513</v>
      </c>
      <c r="C27" s="245">
        <f ca="1">C28</f>
        <v>2</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2</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933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752</v>
      </c>
      <c r="D34" s="217"/>
      <c r="E34" s="220"/>
      <c r="F34" s="257">
        <f ca="1">IF('数据-取费表'!B24=0,1,IF(B1="",'数据-取费表'!N16,INDIRECT("'数据-取费表'!n"&amp;$G$1)))</f>
        <v>1</v>
      </c>
      <c r="G34" s="219" t="s">
        <v>1526</v>
      </c>
    </row>
    <row r="35" spans="1:7" ht="13.5" customHeight="1">
      <c r="A35" s="780" t="s">
        <v>351</v>
      </c>
      <c r="B35" s="215" t="s">
        <v>1527</v>
      </c>
      <c r="C35" s="220">
        <f ca="1">ROUND(C34*F35,0)</f>
        <v>75</v>
      </c>
      <c r="D35" s="220"/>
      <c r="E35" s="220"/>
      <c r="F35" s="259">
        <f>'数据-取费表'!B33</f>
        <v>0.1</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75</v>
      </c>
      <c r="D36" s="220"/>
      <c r="E36" s="220"/>
      <c r="F36" s="259">
        <f>'数据-取费表'!B34</f>
        <v>0.1</v>
      </c>
      <c r="G36" s="260" t="s">
        <v>1530</v>
      </c>
    </row>
    <row r="37" spans="1:7" s="258" customFormat="1" ht="13.5" customHeight="1">
      <c r="A37" s="780" t="s">
        <v>353</v>
      </c>
      <c r="B37" s="215" t="s">
        <v>1531</v>
      </c>
      <c r="C37" s="249">
        <f ca="1">ROUND(E37*D37*F34/10000,0)</f>
        <v>8</v>
      </c>
      <c r="D37" s="217">
        <f ca="1">D19</f>
        <v>375.87</v>
      </c>
      <c r="E37" s="249">
        <f>'数据-取费表'!B35</f>
        <v>200</v>
      </c>
      <c r="F37" s="259"/>
      <c r="G37" s="261" t="s">
        <v>1532</v>
      </c>
    </row>
    <row r="38" spans="1:7" ht="13.5" customHeight="1">
      <c r="A38" s="780" t="s">
        <v>354</v>
      </c>
      <c r="B38" s="215" t="s">
        <v>1533</v>
      </c>
      <c r="C38" s="220">
        <f ca="1">ROUND(C34*F38,0)</f>
        <v>23</v>
      </c>
      <c r="D38" s="220"/>
      <c r="E38" s="220"/>
      <c r="F38" s="259">
        <f>'数据-取费表'!B36</f>
        <v>0.03</v>
      </c>
      <c r="G38" s="219" t="s">
        <v>1528</v>
      </c>
    </row>
    <row r="39" spans="1:7" s="214" customFormat="1" ht="13.5" customHeight="1">
      <c r="A39" s="255" t="s">
        <v>1534</v>
      </c>
      <c r="B39" s="210" t="s">
        <v>1535</v>
      </c>
      <c r="C39" s="232">
        <f ca="1">ROUND(C33*F20,0)</f>
        <v>28</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45</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44</v>
      </c>
      <c r="D42" s="238"/>
      <c r="E42" s="238"/>
      <c r="F42" s="239"/>
      <c r="G42" s="3658" t="s">
        <v>1544</v>
      </c>
    </row>
    <row r="43" spans="1:7" ht="13.5" customHeight="1">
      <c r="A43" s="780" t="s">
        <v>347</v>
      </c>
      <c r="B43" s="215" t="s">
        <v>1545</v>
      </c>
      <c r="C43" s="238">
        <f ca="1">ROUND(IF('数据-取费表'!B22&lt;=1,C39*F22*'数据-取费表'!B21/2,C39*(POWER((1+F22),'数据-取费表'!B21/2)-1)),0)</f>
        <v>1</v>
      </c>
      <c r="D43" s="238"/>
      <c r="E43" s="238"/>
      <c r="F43" s="239"/>
      <c r="G43" s="3659"/>
    </row>
    <row r="44" spans="1:7" ht="13.5" customHeight="1">
      <c r="A44" s="780" t="s">
        <v>348</v>
      </c>
      <c r="B44" s="215" t="s">
        <v>1546</v>
      </c>
      <c r="C44" s="238">
        <f ca="1">ROUND(IF('数据-取费表'!B22&lt;=1,C40*F22*'数据-取费表'!B21/2,C40*(POWER((1+F22),'数据-取费表'!B21/2)-1)),4)</f>
        <v>1.4E-3</v>
      </c>
      <c r="D44" s="238"/>
      <c r="E44" s="238"/>
      <c r="F44" s="239"/>
      <c r="G44" s="3660"/>
    </row>
    <row r="45" spans="1:7" s="214" customFormat="1" ht="13.5" customHeight="1">
      <c r="A45" s="255" t="s">
        <v>1547</v>
      </c>
      <c r="B45" s="244" t="s">
        <v>1513</v>
      </c>
      <c r="C45" s="245">
        <f ca="1">C46</f>
        <v>240</v>
      </c>
      <c r="D45" s="235">
        <f ca="1">C47</f>
        <v>7.4999999999999997E-3</v>
      </c>
      <c r="E45" s="236" t="s">
        <v>1539</v>
      </c>
      <c r="F45" s="246">
        <f ca="1">F27</f>
        <v>0.25</v>
      </c>
      <c r="G45" s="247" t="s">
        <v>1548</v>
      </c>
    </row>
    <row r="46" spans="1:7" s="214" customFormat="1" ht="13.5" customHeight="1">
      <c r="A46" s="780" t="s">
        <v>346</v>
      </c>
      <c r="B46" s="248" t="s">
        <v>1549</v>
      </c>
      <c r="C46" s="249">
        <f ca="1">ROUND((C33+C39)*F27,0)</f>
        <v>240</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1373</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1208</v>
      </c>
      <c r="D51" s="232"/>
      <c r="E51" s="232"/>
      <c r="F51" s="264"/>
      <c r="G51" s="234" t="s">
        <v>1560</v>
      </c>
    </row>
    <row r="52" spans="1:7" s="208" customFormat="1" ht="16.8" thickBot="1">
      <c r="A52" s="265" t="s">
        <v>1561</v>
      </c>
      <c r="B52" s="266"/>
      <c r="C52" s="267">
        <f ca="1">C31+C51</f>
        <v>1220</v>
      </c>
      <c r="D52" s="266"/>
      <c r="E52" s="266"/>
      <c r="F52" s="266"/>
      <c r="G52" s="268"/>
    </row>
    <row r="55" spans="1:7" ht="15">
      <c r="B55" s="270" t="s">
        <v>1562</v>
      </c>
      <c r="C55" s="271"/>
    </row>
    <row r="56" spans="1:7">
      <c r="B56" s="273" t="s">
        <v>802</v>
      </c>
      <c r="C56" s="275">
        <f ca="1">1-C57</f>
        <v>1.0000000000000009E-2</v>
      </c>
    </row>
    <row r="57" spans="1:7">
      <c r="B57" s="273" t="s">
        <v>803</v>
      </c>
      <c r="C57" s="274">
        <f ca="1">ROUND(C51/C52,3)</f>
        <v>0.99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75" t="str">
        <f>项目基本情况!B1</f>
        <v>北京市房地产市场价值预评估</v>
      </c>
      <c r="C37" s="3475"/>
      <c r="D37" s="3475"/>
      <c r="E37" s="3475"/>
      <c r="F37" s="3475"/>
      <c r="G37" s="3475"/>
      <c r="H37" s="3475"/>
      <c r="I37" s="3475"/>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22" zoomScale="85" zoomScaleNormal="60" zoomScaleSheetLayoutView="85" workbookViewId="0">
      <selection activeCell="C42" sqref="C42"/>
    </sheetView>
  </sheetViews>
  <sheetFormatPr defaultColWidth="9" defaultRowHeight="13.8"/>
  <cols>
    <col min="1" max="1" width="10.44140625" style="357" customWidth="1"/>
    <col min="2" max="2" width="15.77734375" style="357" customWidth="1"/>
    <col min="3" max="3" width="17.55468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1" width="6.109375" style="357" customWidth="1"/>
    <col min="22" max="22" width="8.218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1661</v>
      </c>
      <c r="C1" s="1237" t="s">
        <v>1662</v>
      </c>
      <c r="D1" s="1224" t="s">
        <v>3392</v>
      </c>
      <c r="E1" s="3423" t="s">
        <v>3492</v>
      </c>
      <c r="F1" s="1878" t="s">
        <v>3493</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f>IF(E1="项目模式",IF(C2="——",ROUND(C49*D3/10000,0),ROUND(C49*D3/10000,0)-D2),IF(E1="单套模式",IF(C2="——",ROUND(C49*D3/10000,4),ROUND(C49*D3/10000,4)-D2)))</f>
        <v>4167.7217000000001</v>
      </c>
      <c r="C2" s="1880" t="s">
        <v>43</v>
      </c>
      <c r="D2" s="1115" t="e">
        <f ca="1">IF(E1="项目模式",SUMIF(INDIRECT("'"&amp;F2&amp;"'"&amp;"!A:A"),"承租人权益价值",INDIRECT("'"&amp;F2&amp;"'"&amp;"!c:c")),SUMIF(INDIRECT("'"&amp;F2&amp;"'"&amp;"!A:A"),"承租人权益价值（单套）",INDIRECT("'"&amp;F2&amp;"'"&amp;"!c:c")))</f>
        <v>#REF!</v>
      </c>
      <c r="E2" s="1881" t="s">
        <v>1463</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110882</v>
      </c>
      <c r="C3" s="354" t="s">
        <v>1665</v>
      </c>
      <c r="D3" s="353">
        <f>IF(D1="",'数据-汇总表'!E3,SUMIF('数据-汇总表'!$C19:$C33,D1,'数据-汇总表'!$E19:$E33))</f>
        <v>375.87</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4.4">
      <c r="A4" s="355" t="s">
        <v>1666</v>
      </c>
      <c r="B4" s="356"/>
      <c r="C4" s="3689" t="s">
        <v>1667</v>
      </c>
      <c r="D4" s="3690"/>
      <c r="E4" s="3691" t="s">
        <v>1668</v>
      </c>
      <c r="F4" s="3692"/>
      <c r="G4" s="3689" t="s">
        <v>1669</v>
      </c>
      <c r="H4" s="3690"/>
      <c r="I4" s="3689" t="s">
        <v>1670</v>
      </c>
      <c r="J4" s="3690"/>
      <c r="K4" s="1888" t="s">
        <v>1671</v>
      </c>
      <c r="L4" s="2712"/>
      <c r="M4" s="2713"/>
      <c r="N4" s="2713"/>
      <c r="O4" s="2713"/>
      <c r="P4" s="3693" t="s">
        <v>1672</v>
      </c>
      <c r="Q4" s="3694"/>
      <c r="R4" s="3679" t="s">
        <v>1668</v>
      </c>
      <c r="S4" s="3680"/>
      <c r="T4" s="3679" t="s">
        <v>1669</v>
      </c>
      <c r="U4" s="3680"/>
      <c r="V4" s="3685" t="s">
        <v>1670</v>
      </c>
      <c r="W4" s="3685"/>
      <c r="X4" s="3464"/>
      <c r="Y4" s="3679" t="s">
        <v>1672</v>
      </c>
      <c r="Z4" s="3680"/>
      <c r="AA4" s="3686" t="s">
        <v>1668</v>
      </c>
      <c r="AB4" s="3686" t="s">
        <v>1669</v>
      </c>
      <c r="AC4" s="3686" t="s">
        <v>1670</v>
      </c>
    </row>
    <row r="5" spans="1:29">
      <c r="A5" s="358"/>
      <c r="B5" s="359"/>
      <c r="C5" s="3699" t="s">
        <v>3535</v>
      </c>
      <c r="D5" s="3700"/>
      <c r="E5" s="3701" t="str">
        <f>C5</f>
        <v>梵悦万国府</v>
      </c>
      <c r="F5" s="3702"/>
      <c r="G5" s="3699" t="str">
        <f>C5</f>
        <v>梵悦万国府</v>
      </c>
      <c r="H5" s="3700"/>
      <c r="I5" s="3699" t="str">
        <f>C5</f>
        <v>梵悦万国府</v>
      </c>
      <c r="J5" s="3700"/>
      <c r="K5" s="1889"/>
      <c r="L5" s="2712"/>
      <c r="M5" s="2713"/>
      <c r="N5" s="2713"/>
      <c r="O5" s="2713"/>
      <c r="P5" s="3695"/>
      <c r="Q5" s="3696"/>
      <c r="R5" s="3681"/>
      <c r="S5" s="3682"/>
      <c r="T5" s="3681"/>
      <c r="U5" s="3682"/>
      <c r="V5" s="3685"/>
      <c r="W5" s="3685"/>
      <c r="X5" s="3464"/>
      <c r="Y5" s="3681"/>
      <c r="Z5" s="3682"/>
      <c r="AA5" s="3687"/>
      <c r="AB5" s="3687"/>
      <c r="AC5" s="3687"/>
    </row>
    <row r="6" spans="1:29" ht="15" thickBot="1">
      <c r="A6" s="360"/>
      <c r="B6" s="361"/>
      <c r="C6" s="3703">
        <v>3110</v>
      </c>
      <c r="D6" s="3704"/>
      <c r="E6" s="3705">
        <v>2509</v>
      </c>
      <c r="F6" s="3706"/>
      <c r="G6" s="3703">
        <v>2711</v>
      </c>
      <c r="H6" s="3704"/>
      <c r="I6" s="3703">
        <v>2811</v>
      </c>
      <c r="J6" s="3704"/>
      <c r="K6" s="1889" t="s">
        <v>1678</v>
      </c>
      <c r="L6" s="2712"/>
      <c r="M6" s="2713"/>
      <c r="N6" s="2713"/>
      <c r="O6" s="2713"/>
      <c r="P6" s="3697"/>
      <c r="Q6" s="3698"/>
      <c r="R6" s="3681"/>
      <c r="S6" s="3682"/>
      <c r="T6" s="3683"/>
      <c r="U6" s="3684"/>
      <c r="V6" s="3685"/>
      <c r="W6" s="3685"/>
      <c r="X6" s="3464"/>
      <c r="Y6" s="3683"/>
      <c r="Z6" s="3684"/>
      <c r="AA6" s="3688"/>
      <c r="AB6" s="3688"/>
      <c r="AC6" s="3688"/>
    </row>
    <row r="7" spans="1:29" s="108" customFormat="1" ht="15" thickBot="1">
      <c r="A7" s="362" t="s">
        <v>1679</v>
      </c>
      <c r="B7" s="363"/>
      <c r="C7" s="364">
        <f>'数据-取费表'!B2</f>
        <v>45622</v>
      </c>
      <c r="D7" s="365">
        <v>100</v>
      </c>
      <c r="E7" s="366">
        <v>45598</v>
      </c>
      <c r="F7" s="367">
        <f>SUMIF(58:58,YEAR(E7)&amp;"-"&amp;MONTH(E7),59:59)</f>
        <v>100</v>
      </c>
      <c r="G7" s="366">
        <v>45069</v>
      </c>
      <c r="H7" s="365">
        <f>SUMIF(58:58,YEAR(G7)&amp;"-"&amp;MONTH(G7),59:59)</f>
        <v>101.20000000000002</v>
      </c>
      <c r="I7" s="366">
        <v>45042</v>
      </c>
      <c r="J7" s="365">
        <f>SUMIF(58:58,YEAR(I7)&amp;"-"&amp;MONTH(I7),59:59)</f>
        <v>101.20000000000002</v>
      </c>
      <c r="K7" s="1890"/>
      <c r="L7" s="2714"/>
      <c r="M7" s="2715"/>
      <c r="N7" s="2715"/>
      <c r="O7" s="2715"/>
      <c r="P7" s="3675" t="s">
        <v>1680</v>
      </c>
      <c r="Q7" s="3676"/>
      <c r="R7" s="701" t="s">
        <v>14</v>
      </c>
      <c r="S7" s="702">
        <f t="shared" ref="S7:S15" si="0">F7</f>
        <v>100</v>
      </c>
      <c r="T7" s="701" t="s">
        <v>14</v>
      </c>
      <c r="U7" s="702">
        <f t="shared" ref="U7:U15" si="1">H7</f>
        <v>101.20000000000002</v>
      </c>
      <c r="V7" s="701" t="s">
        <v>14</v>
      </c>
      <c r="W7" s="702">
        <f t="shared" ref="W7:W15" si="2">J7</f>
        <v>101.20000000000002</v>
      </c>
      <c r="X7" s="703"/>
      <c r="Y7" s="3675" t="s">
        <v>1680</v>
      </c>
      <c r="Z7" s="3677"/>
      <c r="AA7" s="704">
        <f>D7/F7</f>
        <v>1</v>
      </c>
      <c r="AB7" s="704">
        <f>D7/H7</f>
        <v>0.98814229249011842</v>
      </c>
      <c r="AC7" s="704">
        <f>D7/J7</f>
        <v>0.98814229249011842</v>
      </c>
    </row>
    <row r="8" spans="1:29" s="108" customFormat="1" ht="15" thickBot="1">
      <c r="A8" s="362" t="s">
        <v>1681</v>
      </c>
      <c r="B8" s="363"/>
      <c r="C8" s="368" t="s">
        <v>3475</v>
      </c>
      <c r="D8" s="365">
        <v>100</v>
      </c>
      <c r="E8" s="1891" t="s">
        <v>3475</v>
      </c>
      <c r="F8" s="367">
        <f>SUMIF(61:61,E8,62:62)-SUMIF(61:61,C8,62:62)+100</f>
        <v>100</v>
      </c>
      <c r="G8" s="368" t="s">
        <v>3475</v>
      </c>
      <c r="H8" s="365">
        <f>SUMIF(61:61,G8,62:62)-SUMIF(61:61,C8,62:62)+100</f>
        <v>100</v>
      </c>
      <c r="I8" s="1891" t="s">
        <v>3475</v>
      </c>
      <c r="J8" s="365">
        <f>SUMIF(61:61,I8,62:62)-SUMIF(61:61,C8,62:62)+100</f>
        <v>100</v>
      </c>
      <c r="K8" s="1890"/>
      <c r="L8" s="2714"/>
      <c r="M8" s="2715"/>
      <c r="N8" s="2715"/>
      <c r="O8" s="2715"/>
      <c r="P8" s="3675" t="s">
        <v>1683</v>
      </c>
      <c r="Q8" s="3677"/>
      <c r="R8" s="701" t="s">
        <v>14</v>
      </c>
      <c r="S8" s="702">
        <f t="shared" si="0"/>
        <v>100</v>
      </c>
      <c r="T8" s="701" t="s">
        <v>14</v>
      </c>
      <c r="U8" s="702">
        <f t="shared" si="1"/>
        <v>100</v>
      </c>
      <c r="V8" s="701" t="s">
        <v>14</v>
      </c>
      <c r="W8" s="702">
        <f t="shared" si="2"/>
        <v>100</v>
      </c>
      <c r="X8" s="703"/>
      <c r="Y8" s="3675" t="s">
        <v>1683</v>
      </c>
      <c r="Z8" s="3677"/>
      <c r="AA8" s="704">
        <f t="shared" ref="AA8:AA19" si="3">D8/F8</f>
        <v>1</v>
      </c>
      <c r="AB8" s="704">
        <f t="shared" ref="AB8:AB19" si="4">D8/H8</f>
        <v>1</v>
      </c>
      <c r="AC8" s="704">
        <f t="shared" ref="AC8:AC19" si="5">D8/J8</f>
        <v>1</v>
      </c>
    </row>
    <row r="9" spans="1:29" s="108" customFormat="1" ht="14.4">
      <c r="A9" s="369" t="s">
        <v>1684</v>
      </c>
      <c r="B9" s="63" t="s">
        <v>1685</v>
      </c>
      <c r="C9" s="3448" t="s">
        <v>3476</v>
      </c>
      <c r="D9" s="126">
        <v>100</v>
      </c>
      <c r="E9" s="371" t="s">
        <v>3392</v>
      </c>
      <c r="F9" s="372">
        <f>SUMIF(63:63,E9,64:64)-SUMIF(63:63,C9,64:64)+100</f>
        <v>100</v>
      </c>
      <c r="G9" s="373" t="s">
        <v>3392</v>
      </c>
      <c r="H9" s="126">
        <f>SUMIF(63:63,G9,64:64)-SUMIF(63:63,C9,64:64)+100</f>
        <v>100</v>
      </c>
      <c r="I9" s="373" t="s">
        <v>3392</v>
      </c>
      <c r="J9" s="126">
        <f>SUMIF(63:63,I9,64:64)-SUMIF(63:63,C9,64:64)+100</f>
        <v>100</v>
      </c>
      <c r="K9" s="1890"/>
      <c r="L9" s="2714"/>
      <c r="M9" s="2715"/>
      <c r="N9" s="2715"/>
      <c r="O9" s="2715"/>
      <c r="P9" s="3678" t="s">
        <v>1686</v>
      </c>
      <c r="Q9" s="3461" t="str">
        <f t="shared" ref="Q9:Q15" si="6">B9</f>
        <v>用途</v>
      </c>
      <c r="R9" s="701" t="s">
        <v>14</v>
      </c>
      <c r="S9" s="702">
        <f t="shared" si="0"/>
        <v>100</v>
      </c>
      <c r="T9" s="701" t="s">
        <v>14</v>
      </c>
      <c r="U9" s="702">
        <f t="shared" si="1"/>
        <v>100</v>
      </c>
      <c r="V9" s="701" t="s">
        <v>14</v>
      </c>
      <c r="W9" s="702">
        <f t="shared" si="2"/>
        <v>100</v>
      </c>
      <c r="X9" s="703"/>
      <c r="Y9" s="3565" t="s">
        <v>1687</v>
      </c>
      <c r="Z9" s="3460"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678"/>
      <c r="Q10" s="3461" t="str">
        <f t="shared" si="6"/>
        <v>土地使用年限（年）</v>
      </c>
      <c r="R10" s="701" t="s">
        <v>14</v>
      </c>
      <c r="S10" s="702">
        <f t="shared" si="0"/>
        <v>100</v>
      </c>
      <c r="T10" s="701" t="s">
        <v>14</v>
      </c>
      <c r="U10" s="702">
        <f t="shared" si="1"/>
        <v>100</v>
      </c>
      <c r="V10" s="701" t="s">
        <v>14</v>
      </c>
      <c r="W10" s="702">
        <f t="shared" si="2"/>
        <v>100</v>
      </c>
      <c r="X10" s="703"/>
      <c r="Y10" s="3565"/>
      <c r="Z10" s="3460" t="str">
        <f t="shared" si="7"/>
        <v>土地使用年限（年）</v>
      </c>
      <c r="AA10" s="704">
        <f t="shared" si="3"/>
        <v>1</v>
      </c>
      <c r="AB10" s="704">
        <f t="shared" si="4"/>
        <v>1</v>
      </c>
      <c r="AC10" s="704">
        <f t="shared" si="5"/>
        <v>1</v>
      </c>
    </row>
    <row r="11" spans="1:29" ht="15">
      <c r="A11" s="379"/>
      <c r="B11" s="375" t="s">
        <v>1689</v>
      </c>
      <c r="C11" s="380">
        <v>11.72</v>
      </c>
      <c r="D11" s="127">
        <v>100</v>
      </c>
      <c r="E11" s="381">
        <f>C11</f>
        <v>11.72</v>
      </c>
      <c r="F11" s="376">
        <f>LOOKUP(E11,68:68,69:69)-LOOKUP(C11,68:68,69:69)+100</f>
        <v>100</v>
      </c>
      <c r="G11" s="380">
        <f>C11</f>
        <v>11.72</v>
      </c>
      <c r="H11" s="127">
        <f>LOOKUP(G11,68:68,69:69)-LOOKUP(C11,68:68,69:69)+100</f>
        <v>100</v>
      </c>
      <c r="I11" s="380">
        <f>C11</f>
        <v>11.72</v>
      </c>
      <c r="J11" s="127">
        <f>LOOKUP(I11,68:68,69:69)-LOOKUP(C11,68:68,69:69)+100</f>
        <v>100</v>
      </c>
      <c r="K11" s="377"/>
      <c r="L11" s="2718"/>
      <c r="M11" s="2713"/>
      <c r="N11" s="2713"/>
      <c r="O11" s="2713"/>
      <c r="P11" s="3678"/>
      <c r="Q11" s="3461" t="str">
        <f t="shared" si="6"/>
        <v>容积率</v>
      </c>
      <c r="R11" s="701" t="s">
        <v>14</v>
      </c>
      <c r="S11" s="702">
        <f t="shared" si="0"/>
        <v>100</v>
      </c>
      <c r="T11" s="701" t="s">
        <v>14</v>
      </c>
      <c r="U11" s="702">
        <f t="shared" si="1"/>
        <v>100</v>
      </c>
      <c r="V11" s="701" t="s">
        <v>14</v>
      </c>
      <c r="W11" s="702">
        <f t="shared" si="2"/>
        <v>100</v>
      </c>
      <c r="X11" s="703"/>
      <c r="Y11" s="3565"/>
      <c r="Z11" s="3460" t="str">
        <f t="shared" si="7"/>
        <v>容积率</v>
      </c>
      <c r="AA11" s="704">
        <f t="shared" si="3"/>
        <v>1</v>
      </c>
      <c r="AB11" s="704">
        <f t="shared" si="4"/>
        <v>1</v>
      </c>
      <c r="AC11" s="704">
        <f t="shared" si="5"/>
        <v>1</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78"/>
      <c r="Q12" s="3461">
        <f t="shared" si="6"/>
        <v>111</v>
      </c>
      <c r="R12" s="701" t="s">
        <v>14</v>
      </c>
      <c r="S12" s="702">
        <f t="shared" si="0"/>
        <v>100</v>
      </c>
      <c r="T12" s="701" t="s">
        <v>14</v>
      </c>
      <c r="U12" s="702">
        <f t="shared" si="1"/>
        <v>100</v>
      </c>
      <c r="V12" s="701" t="s">
        <v>14</v>
      </c>
      <c r="W12" s="702">
        <f t="shared" si="2"/>
        <v>100</v>
      </c>
      <c r="X12" s="703"/>
      <c r="Y12" s="3565"/>
      <c r="Z12" s="3460">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78"/>
      <c r="Q13" s="3461">
        <f t="shared" si="6"/>
        <v>111</v>
      </c>
      <c r="R13" s="701" t="s">
        <v>14</v>
      </c>
      <c r="S13" s="702">
        <f t="shared" si="0"/>
        <v>100</v>
      </c>
      <c r="T13" s="701" t="s">
        <v>14</v>
      </c>
      <c r="U13" s="702">
        <f t="shared" si="1"/>
        <v>100</v>
      </c>
      <c r="V13" s="701" t="s">
        <v>14</v>
      </c>
      <c r="W13" s="702">
        <f t="shared" si="2"/>
        <v>100</v>
      </c>
      <c r="X13" s="703"/>
      <c r="Y13" s="3565"/>
      <c r="Z13" s="3460">
        <f t="shared" si="7"/>
        <v>111</v>
      </c>
      <c r="AA13" s="704">
        <f t="shared" si="3"/>
        <v>1</v>
      </c>
      <c r="AB13" s="704">
        <f t="shared" si="4"/>
        <v>1</v>
      </c>
      <c r="AC13" s="704">
        <f t="shared" si="5"/>
        <v>1</v>
      </c>
    </row>
    <row r="14" spans="1:29" ht="15.6"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78"/>
      <c r="Q14" s="3461">
        <f t="shared" si="6"/>
        <v>111</v>
      </c>
      <c r="R14" s="701" t="s">
        <v>14</v>
      </c>
      <c r="S14" s="702">
        <f t="shared" si="0"/>
        <v>100</v>
      </c>
      <c r="T14" s="701" t="s">
        <v>14</v>
      </c>
      <c r="U14" s="702">
        <f t="shared" si="1"/>
        <v>100</v>
      </c>
      <c r="V14" s="701" t="s">
        <v>14</v>
      </c>
      <c r="W14" s="702">
        <f t="shared" si="2"/>
        <v>100</v>
      </c>
      <c r="X14" s="703"/>
      <c r="Y14" s="3565"/>
      <c r="Z14" s="3460">
        <f t="shared" si="7"/>
        <v>111</v>
      </c>
      <c r="AA14" s="704">
        <f t="shared" si="3"/>
        <v>1</v>
      </c>
      <c r="AB14" s="704">
        <f t="shared" si="4"/>
        <v>1</v>
      </c>
      <c r="AC14" s="704">
        <f t="shared" si="5"/>
        <v>1</v>
      </c>
    </row>
    <row r="15" spans="1:29" ht="82.8">
      <c r="A15" s="391" t="s">
        <v>1690</v>
      </c>
      <c r="B15" s="61" t="s">
        <v>1257</v>
      </c>
      <c r="C15" s="1895" t="str">
        <f>估价对象房地状况!C3</f>
        <v>估价对象周边有梵悦108、使馆壹号院、海晟名苑、万国城MOMA等住宅小区，综合评价居住社区成熟度较好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66" t="s">
        <v>1691</v>
      </c>
      <c r="Q15" s="3462" t="str">
        <f t="shared" si="6"/>
        <v>居住社区成熟度</v>
      </c>
      <c r="R15" s="705" t="s">
        <v>14</v>
      </c>
      <c r="S15" s="706">
        <f t="shared" si="0"/>
        <v>100</v>
      </c>
      <c r="T15" s="705" t="s">
        <v>14</v>
      </c>
      <c r="U15" s="706">
        <f t="shared" si="1"/>
        <v>100</v>
      </c>
      <c r="V15" s="705" t="s">
        <v>14</v>
      </c>
      <c r="W15" s="706">
        <f t="shared" si="2"/>
        <v>100</v>
      </c>
      <c r="X15" s="3464"/>
      <c r="Y15" s="3668" t="s">
        <v>1691</v>
      </c>
      <c r="Z15" s="3465" t="str">
        <f t="shared" si="7"/>
        <v>居住社区成熟度</v>
      </c>
      <c r="AA15" s="3463">
        <f t="shared" si="3"/>
        <v>1</v>
      </c>
      <c r="AB15" s="3463">
        <f t="shared" si="4"/>
        <v>1</v>
      </c>
      <c r="AC15" s="3463">
        <f t="shared" si="5"/>
        <v>1</v>
      </c>
    </row>
    <row r="16" spans="1:29" ht="15">
      <c r="A16" s="379"/>
      <c r="B16" s="397"/>
      <c r="C16" s="398"/>
      <c r="D16" s="399"/>
      <c r="E16" s="1896"/>
      <c r="F16" s="399"/>
      <c r="G16" s="1897"/>
      <c r="H16" s="401"/>
      <c r="I16" s="1897"/>
      <c r="J16" s="399"/>
      <c r="K16" s="1898"/>
      <c r="L16" s="2719"/>
      <c r="M16" s="2713"/>
      <c r="N16" s="2713"/>
      <c r="O16" s="2713"/>
      <c r="P16" s="3667"/>
      <c r="Q16" s="3462"/>
      <c r="R16" s="705"/>
      <c r="S16" s="706"/>
      <c r="T16" s="705"/>
      <c r="U16" s="706"/>
      <c r="V16" s="705"/>
      <c r="W16" s="706"/>
      <c r="X16" s="3464"/>
      <c r="Y16" s="3669"/>
      <c r="Z16" s="3465"/>
      <c r="AA16" s="3463">
        <v>1</v>
      </c>
      <c r="AB16" s="3463">
        <v>1</v>
      </c>
      <c r="AC16" s="3463">
        <v>1</v>
      </c>
    </row>
    <row r="17" spans="1:29" ht="138">
      <c r="A17" s="379"/>
      <c r="B17" s="402" t="s">
        <v>1259</v>
      </c>
      <c r="C17" s="1899" t="str">
        <f>估价对象房地状况!C6</f>
        <v>估价对象周边有24路、117路、123路、132路、135路、413路、515路等多条公交线路，地铁2号线及13号线换乘站（东直门站），东直门长途汽车站等，综合评价交通便捷度较好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67"/>
      <c r="Q17" s="3462" t="str">
        <f>B17</f>
        <v>交通便捷度</v>
      </c>
      <c r="R17" s="705" t="s">
        <v>14</v>
      </c>
      <c r="S17" s="706">
        <f>F17</f>
        <v>100</v>
      </c>
      <c r="T17" s="705" t="s">
        <v>14</v>
      </c>
      <c r="U17" s="706">
        <f>H17</f>
        <v>100</v>
      </c>
      <c r="V17" s="705" t="s">
        <v>14</v>
      </c>
      <c r="W17" s="706">
        <f>J17</f>
        <v>100</v>
      </c>
      <c r="X17" s="3464"/>
      <c r="Y17" s="3669"/>
      <c r="Z17" s="3465" t="str">
        <f>Q17</f>
        <v>交通便捷度</v>
      </c>
      <c r="AA17" s="3463">
        <f t="shared" si="3"/>
        <v>1</v>
      </c>
      <c r="AB17" s="3463">
        <f t="shared" si="4"/>
        <v>1</v>
      </c>
      <c r="AC17" s="3463">
        <f t="shared" si="5"/>
        <v>1</v>
      </c>
    </row>
    <row r="18" spans="1:29" ht="15">
      <c r="A18" s="379"/>
      <c r="B18" s="407"/>
      <c r="C18" s="1900"/>
      <c r="D18" s="401"/>
      <c r="E18" s="1901"/>
      <c r="F18" s="401"/>
      <c r="G18" s="1902"/>
      <c r="H18" s="399"/>
      <c r="I18" s="1902"/>
      <c r="J18" s="399"/>
      <c r="K18" s="1898"/>
      <c r="L18" s="2719"/>
      <c r="M18" s="2713"/>
      <c r="N18" s="2713"/>
      <c r="O18" s="2713"/>
      <c r="P18" s="3667"/>
      <c r="Q18" s="3462"/>
      <c r="R18" s="705"/>
      <c r="S18" s="706"/>
      <c r="T18" s="705"/>
      <c r="U18" s="706"/>
      <c r="V18" s="705"/>
      <c r="W18" s="706"/>
      <c r="X18" s="3464"/>
      <c r="Y18" s="3669"/>
      <c r="Z18" s="3465"/>
      <c r="AA18" s="3463">
        <v>1</v>
      </c>
      <c r="AB18" s="3463">
        <v>1</v>
      </c>
      <c r="AC18" s="3463">
        <v>1</v>
      </c>
    </row>
    <row r="19" spans="1:29" ht="41.4">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67"/>
      <c r="Q19" s="3462" t="str">
        <f>B19</f>
        <v>公共配套设施</v>
      </c>
      <c r="R19" s="705" t="s">
        <v>14</v>
      </c>
      <c r="S19" s="706">
        <f>F19</f>
        <v>100</v>
      </c>
      <c r="T19" s="705" t="s">
        <v>14</v>
      </c>
      <c r="U19" s="706">
        <f>H19</f>
        <v>100</v>
      </c>
      <c r="V19" s="705" t="s">
        <v>14</v>
      </c>
      <c r="W19" s="706">
        <f>J19</f>
        <v>100</v>
      </c>
      <c r="X19" s="3464"/>
      <c r="Y19" s="3669"/>
      <c r="Z19" s="3465" t="str">
        <f>Q19</f>
        <v>公共配套设施</v>
      </c>
      <c r="AA19" s="3463">
        <f t="shared" si="3"/>
        <v>1</v>
      </c>
      <c r="AB19" s="3463">
        <f t="shared" si="4"/>
        <v>1</v>
      </c>
      <c r="AC19" s="3463">
        <f t="shared" si="5"/>
        <v>1</v>
      </c>
    </row>
    <row r="20" spans="1:29" ht="15">
      <c r="A20" s="379"/>
      <c r="B20" s="407"/>
      <c r="C20" s="398"/>
      <c r="D20" s="399"/>
      <c r="E20" s="1896"/>
      <c r="F20" s="399"/>
      <c r="G20" s="1897"/>
      <c r="H20" s="399"/>
      <c r="I20" s="1897"/>
      <c r="J20" s="399"/>
      <c r="K20" s="1898"/>
      <c r="L20" s="2719"/>
      <c r="M20" s="2713"/>
      <c r="N20" s="2713"/>
      <c r="O20" s="2713"/>
      <c r="P20" s="3667"/>
      <c r="Q20" s="3462"/>
      <c r="R20" s="705"/>
      <c r="S20" s="706"/>
      <c r="T20" s="705"/>
      <c r="U20" s="706"/>
      <c r="V20" s="705"/>
      <c r="W20" s="706"/>
      <c r="X20" s="3464"/>
      <c r="Y20" s="3669"/>
      <c r="Z20" s="3465"/>
      <c r="AA20" s="3463">
        <v>1</v>
      </c>
      <c r="AB20" s="3463">
        <v>1</v>
      </c>
      <c r="AC20" s="3463">
        <v>1</v>
      </c>
    </row>
    <row r="21" spans="1:29" ht="15">
      <c r="A21" s="379"/>
      <c r="B21" s="1131" t="s">
        <v>1260</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67"/>
      <c r="Q21" s="3462" t="str">
        <f>B21</f>
        <v>基础设施水平</v>
      </c>
      <c r="R21" s="705" t="s">
        <v>14</v>
      </c>
      <c r="S21" s="706">
        <f>F21</f>
        <v>100</v>
      </c>
      <c r="T21" s="705" t="s">
        <v>14</v>
      </c>
      <c r="U21" s="706">
        <f>H21</f>
        <v>100</v>
      </c>
      <c r="V21" s="705" t="s">
        <v>14</v>
      </c>
      <c r="W21" s="706">
        <f>J21</f>
        <v>100</v>
      </c>
      <c r="X21" s="3464"/>
      <c r="Y21" s="3669"/>
      <c r="Z21" s="3465" t="str">
        <f>Q21</f>
        <v>基础设施水平</v>
      </c>
      <c r="AA21" s="3463">
        <f t="shared" ref="AA21" si="8">D21/F21</f>
        <v>1</v>
      </c>
      <c r="AB21" s="3463">
        <f t="shared" ref="AB21" si="9">D21/H21</f>
        <v>1</v>
      </c>
      <c r="AC21" s="3463">
        <f t="shared" ref="AC21" si="10">D21/J21</f>
        <v>1</v>
      </c>
    </row>
    <row r="22" spans="1:29" ht="15">
      <c r="A22" s="379"/>
      <c r="B22" s="1131"/>
      <c r="C22" s="1900"/>
      <c r="D22" s="399"/>
      <c r="E22" s="398"/>
      <c r="F22" s="399"/>
      <c r="G22" s="1903"/>
      <c r="H22" s="399"/>
      <c r="I22" s="398"/>
      <c r="J22" s="399"/>
      <c r="K22" s="1904"/>
      <c r="L22" s="2719"/>
      <c r="M22" s="2713"/>
      <c r="N22" s="2713"/>
      <c r="O22" s="2713"/>
      <c r="P22" s="3667"/>
      <c r="Q22" s="3462"/>
      <c r="R22" s="705"/>
      <c r="S22" s="706"/>
      <c r="T22" s="705"/>
      <c r="U22" s="706"/>
      <c r="V22" s="705"/>
      <c r="W22" s="706"/>
      <c r="X22" s="3464"/>
      <c r="Y22" s="3669"/>
      <c r="Z22" s="3465"/>
      <c r="AA22" s="3463">
        <v>1</v>
      </c>
      <c r="AB22" s="3463">
        <v>1</v>
      </c>
      <c r="AC22" s="3463">
        <v>1</v>
      </c>
    </row>
    <row r="23" spans="1:29" ht="96.6">
      <c r="A23" s="379"/>
      <c r="B23" s="402" t="s">
        <v>1261</v>
      </c>
      <c r="C23" s="1899" t="str">
        <f>估价对象房地状况!C9</f>
        <v>区域自然环境：亮马河、东城区亮马河公园；人文环境：工人体育场、东直门外清真寺；综合评价环境状况较好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67"/>
      <c r="Q23" s="3462" t="str">
        <f>B23</f>
        <v>自然及人文环境</v>
      </c>
      <c r="R23" s="705" t="s">
        <v>14</v>
      </c>
      <c r="S23" s="706">
        <f>F23</f>
        <v>100</v>
      </c>
      <c r="T23" s="705" t="s">
        <v>14</v>
      </c>
      <c r="U23" s="706">
        <f>H23</f>
        <v>100</v>
      </c>
      <c r="V23" s="705" t="s">
        <v>14</v>
      </c>
      <c r="W23" s="706">
        <f>J23</f>
        <v>100</v>
      </c>
      <c r="X23" s="3464"/>
      <c r="Y23" s="3669"/>
      <c r="Z23" s="3465" t="str">
        <f>Q23</f>
        <v>自然及人文环境</v>
      </c>
      <c r="AA23" s="3463">
        <f>D23/F23</f>
        <v>1</v>
      </c>
      <c r="AB23" s="3463">
        <f>D23/H23</f>
        <v>1</v>
      </c>
      <c r="AC23" s="3463">
        <f>D23/J23</f>
        <v>1</v>
      </c>
    </row>
    <row r="24" spans="1:29" ht="15">
      <c r="A24" s="379"/>
      <c r="B24" s="407"/>
      <c r="C24" s="398"/>
      <c r="D24" s="399"/>
      <c r="E24" s="1896"/>
      <c r="F24" s="399"/>
      <c r="G24" s="1897"/>
      <c r="H24" s="399"/>
      <c r="I24" s="1897"/>
      <c r="J24" s="399"/>
      <c r="K24" s="1898"/>
      <c r="L24" s="2719"/>
      <c r="M24" s="2713"/>
      <c r="N24" s="2713"/>
      <c r="O24" s="2713"/>
      <c r="P24" s="3667"/>
      <c r="Q24" s="3462"/>
      <c r="R24" s="705"/>
      <c r="S24" s="706"/>
      <c r="T24" s="705"/>
      <c r="U24" s="706"/>
      <c r="V24" s="705"/>
      <c r="W24" s="706"/>
      <c r="X24" s="3464"/>
      <c r="Y24" s="3669"/>
      <c r="Z24" s="3465"/>
      <c r="AA24" s="3463">
        <v>1</v>
      </c>
      <c r="AB24" s="3463">
        <v>1</v>
      </c>
      <c r="AC24" s="3463">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667"/>
      <c r="Q25" s="3462" t="str">
        <f t="shared" ref="Q25:Q46" si="11">B25</f>
        <v>楼层-1</v>
      </c>
      <c r="R25" s="705" t="s">
        <v>14</v>
      </c>
      <c r="S25" s="706">
        <f t="shared" ref="S25:S46" si="12">F25</f>
        <v>100</v>
      </c>
      <c r="T25" s="705" t="s">
        <v>14</v>
      </c>
      <c r="U25" s="706">
        <f t="shared" ref="U25:U46" si="13">H25</f>
        <v>100</v>
      </c>
      <c r="V25" s="705" t="s">
        <v>14</v>
      </c>
      <c r="W25" s="706">
        <f t="shared" ref="W25:W46" si="14">J25</f>
        <v>100</v>
      </c>
      <c r="X25" s="3464"/>
      <c r="Y25" s="3669"/>
      <c r="Z25" s="3465" t="str">
        <f>Q25</f>
        <v>楼层-1</v>
      </c>
      <c r="AA25" s="3463">
        <f t="shared" ref="AA25:AA46" si="15">D25/F25</f>
        <v>1</v>
      </c>
      <c r="AB25" s="3463">
        <f t="shared" ref="AB25:AB46" si="16">D25/H25</f>
        <v>1</v>
      </c>
      <c r="AC25" s="3463">
        <f t="shared" ref="AC25:AC46" si="17">D25/J25</f>
        <v>1</v>
      </c>
    </row>
    <row r="26" spans="1:29" ht="15">
      <c r="A26" s="379"/>
      <c r="B26" s="375" t="s">
        <v>1693</v>
      </c>
      <c r="C26" s="411" t="s">
        <v>3495</v>
      </c>
      <c r="D26" s="386">
        <v>100</v>
      </c>
      <c r="E26" s="3467" t="s">
        <v>3536</v>
      </c>
      <c r="F26" s="386">
        <f>SUMIF(88:88,E26,89:89)-SUMIF(88:88,C26,89:89)+100</f>
        <v>98</v>
      </c>
      <c r="G26" s="1906" t="s">
        <v>3536</v>
      </c>
      <c r="H26" s="386">
        <f>SUMIF(88:88,G26,89:89)-SUMIF(88:88,C26,89:89)+100</f>
        <v>98</v>
      </c>
      <c r="I26" s="1906" t="s">
        <v>3536</v>
      </c>
      <c r="J26" s="386">
        <f>SUMIF(88:88,I26,89:89)-SUMIF(88:88,C26,89:89)+100</f>
        <v>98</v>
      </c>
      <c r="K26" s="377">
        <v>2</v>
      </c>
      <c r="L26" s="2719"/>
      <c r="M26" s="2713"/>
      <c r="N26" s="2713"/>
      <c r="O26" s="2713"/>
      <c r="P26" s="3667"/>
      <c r="Q26" s="3462" t="str">
        <f t="shared" si="11"/>
        <v>朝向</v>
      </c>
      <c r="R26" s="705" t="s">
        <v>14</v>
      </c>
      <c r="S26" s="706">
        <f t="shared" si="12"/>
        <v>98</v>
      </c>
      <c r="T26" s="705" t="s">
        <v>14</v>
      </c>
      <c r="U26" s="706">
        <f t="shared" si="13"/>
        <v>98</v>
      </c>
      <c r="V26" s="705" t="s">
        <v>14</v>
      </c>
      <c r="W26" s="706">
        <f t="shared" si="14"/>
        <v>98</v>
      </c>
      <c r="X26" s="3464"/>
      <c r="Y26" s="3669"/>
      <c r="Z26" s="3465" t="str">
        <f>Q26</f>
        <v>朝向</v>
      </c>
      <c r="AA26" s="3463">
        <f t="shared" si="15"/>
        <v>1.0204081632653061</v>
      </c>
      <c r="AB26" s="3463">
        <f t="shared" si="16"/>
        <v>1.0204081632653061</v>
      </c>
      <c r="AC26" s="3463">
        <f t="shared" si="17"/>
        <v>1.0204081632653061</v>
      </c>
    </row>
    <row r="27" spans="1:29" s="108" customFormat="1" ht="15">
      <c r="A27" s="382"/>
      <c r="B27" s="3456" t="s">
        <v>3516</v>
      </c>
      <c r="C27" s="383" t="s">
        <v>3556</v>
      </c>
      <c r="D27" s="413">
        <v>100</v>
      </c>
      <c r="E27" s="3468" t="s">
        <v>3557</v>
      </c>
      <c r="F27" s="413">
        <f>SUMIF(90:90,E27,91:91)-SUMIF(90:90,C27,91:91)+100</f>
        <v>88</v>
      </c>
      <c r="G27" s="414" t="s">
        <v>3558</v>
      </c>
      <c r="H27" s="413">
        <f>SUMIF(90:90,G27,91:91)-SUMIF(90:90,C27,91:91)+100</f>
        <v>92</v>
      </c>
      <c r="I27" s="3469" t="s">
        <v>3559</v>
      </c>
      <c r="J27" s="413">
        <f>SUMIF(90:90,I27,91:91)-SUMIF(90:90,C27,91:91)+100</f>
        <v>94</v>
      </c>
      <c r="K27" s="1893"/>
      <c r="L27" s="2714"/>
      <c r="M27" s="2715"/>
      <c r="N27" s="2715"/>
      <c r="O27" s="2715"/>
      <c r="P27" s="3667"/>
      <c r="Q27" s="3461" t="str">
        <f t="shared" si="11"/>
        <v>楼层</v>
      </c>
      <c r="R27" s="701" t="s">
        <v>14</v>
      </c>
      <c r="S27" s="702">
        <f t="shared" si="12"/>
        <v>88</v>
      </c>
      <c r="T27" s="701" t="s">
        <v>14</v>
      </c>
      <c r="U27" s="702">
        <f t="shared" si="13"/>
        <v>92</v>
      </c>
      <c r="V27" s="701" t="s">
        <v>14</v>
      </c>
      <c r="W27" s="702">
        <f t="shared" si="14"/>
        <v>94</v>
      </c>
      <c r="X27" s="703"/>
      <c r="Y27" s="3669"/>
      <c r="Z27" s="3460" t="str">
        <f>Q27</f>
        <v>楼层</v>
      </c>
      <c r="AA27" s="3463">
        <f t="shared" si="15"/>
        <v>1.1363636363636365</v>
      </c>
      <c r="AB27" s="3463">
        <f t="shared" si="16"/>
        <v>1.0869565217391304</v>
      </c>
      <c r="AC27" s="3463">
        <f t="shared" si="17"/>
        <v>1.0638297872340425</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667"/>
      <c r="Q28" s="3462">
        <f t="shared" si="11"/>
        <v>111</v>
      </c>
      <c r="R28" s="705" t="s">
        <v>14</v>
      </c>
      <c r="S28" s="706">
        <f t="shared" si="12"/>
        <v>100</v>
      </c>
      <c r="T28" s="705" t="s">
        <v>14</v>
      </c>
      <c r="U28" s="706">
        <f t="shared" si="13"/>
        <v>100</v>
      </c>
      <c r="V28" s="705" t="s">
        <v>14</v>
      </c>
      <c r="W28" s="706">
        <f t="shared" si="14"/>
        <v>100</v>
      </c>
      <c r="X28" s="3464"/>
      <c r="Y28" s="3669"/>
      <c r="Z28" s="3465">
        <f t="shared" ref="Z28:Z46" si="18">Q28</f>
        <v>111</v>
      </c>
      <c r="AA28" s="3463">
        <f t="shared" si="15"/>
        <v>1</v>
      </c>
      <c r="AB28" s="3463">
        <f t="shared" si="16"/>
        <v>1</v>
      </c>
      <c r="AC28" s="346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667"/>
      <c r="Q29" s="3462">
        <f t="shared" si="11"/>
        <v>111</v>
      </c>
      <c r="R29" s="705" t="s">
        <v>14</v>
      </c>
      <c r="S29" s="706">
        <f t="shared" si="12"/>
        <v>100</v>
      </c>
      <c r="T29" s="705" t="s">
        <v>14</v>
      </c>
      <c r="U29" s="706">
        <f t="shared" si="13"/>
        <v>100</v>
      </c>
      <c r="V29" s="705" t="s">
        <v>14</v>
      </c>
      <c r="W29" s="706">
        <f t="shared" si="14"/>
        <v>100</v>
      </c>
      <c r="X29" s="3464"/>
      <c r="Y29" s="3669"/>
      <c r="Z29" s="3465">
        <f t="shared" si="18"/>
        <v>111</v>
      </c>
      <c r="AA29" s="3463">
        <f t="shared" si="15"/>
        <v>1</v>
      </c>
      <c r="AB29" s="3463">
        <f t="shared" si="16"/>
        <v>1</v>
      </c>
      <c r="AC29" s="346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667"/>
      <c r="Q30" s="3462">
        <f t="shared" si="11"/>
        <v>111</v>
      </c>
      <c r="R30" s="705" t="s">
        <v>14</v>
      </c>
      <c r="S30" s="706">
        <f t="shared" si="12"/>
        <v>100</v>
      </c>
      <c r="T30" s="705" t="s">
        <v>14</v>
      </c>
      <c r="U30" s="706">
        <f t="shared" si="13"/>
        <v>100</v>
      </c>
      <c r="V30" s="705" t="s">
        <v>14</v>
      </c>
      <c r="W30" s="706">
        <f t="shared" si="14"/>
        <v>100</v>
      </c>
      <c r="X30" s="3464"/>
      <c r="Y30" s="3669"/>
      <c r="Z30" s="3465">
        <f t="shared" si="18"/>
        <v>111</v>
      </c>
      <c r="AA30" s="3463">
        <f t="shared" si="15"/>
        <v>1</v>
      </c>
      <c r="AB30" s="3463">
        <f t="shared" si="16"/>
        <v>1</v>
      </c>
      <c r="AC30" s="3463">
        <f t="shared" si="17"/>
        <v>1</v>
      </c>
    </row>
    <row r="31" spans="1:29" ht="15.6"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667"/>
      <c r="Q31" s="3462">
        <f t="shared" si="11"/>
        <v>111</v>
      </c>
      <c r="R31" s="705" t="s">
        <v>14</v>
      </c>
      <c r="S31" s="706">
        <f t="shared" si="12"/>
        <v>100</v>
      </c>
      <c r="T31" s="705" t="s">
        <v>14</v>
      </c>
      <c r="U31" s="706">
        <f t="shared" si="13"/>
        <v>100</v>
      </c>
      <c r="V31" s="705" t="s">
        <v>14</v>
      </c>
      <c r="W31" s="706">
        <f t="shared" si="14"/>
        <v>100</v>
      </c>
      <c r="X31" s="3464"/>
      <c r="Y31" s="3669"/>
      <c r="Z31" s="3465">
        <f t="shared" si="18"/>
        <v>111</v>
      </c>
      <c r="AA31" s="3463">
        <f t="shared" si="15"/>
        <v>1</v>
      </c>
      <c r="AB31" s="3463">
        <f t="shared" si="16"/>
        <v>1</v>
      </c>
      <c r="AC31" s="3463">
        <f t="shared" si="17"/>
        <v>1</v>
      </c>
    </row>
    <row r="32" spans="1:29" ht="15">
      <c r="A32" s="391" t="s">
        <v>1694</v>
      </c>
      <c r="B32" s="63" t="s">
        <v>1695</v>
      </c>
      <c r="C32" s="1909" t="s">
        <v>3498</v>
      </c>
      <c r="D32" s="418">
        <v>100</v>
      </c>
      <c r="E32" s="1910" t="s">
        <v>3498</v>
      </c>
      <c r="F32" s="412">
        <f>SUMIF(100:100,E32,101:101)-SUMIF(100:100,C32,101:101)+100</f>
        <v>100</v>
      </c>
      <c r="G32" s="1909" t="s">
        <v>3498</v>
      </c>
      <c r="H32" s="418">
        <f>SUMIF(100:100,G32,101:101)-SUMIF(100:100,C32,101:101)+100</f>
        <v>100</v>
      </c>
      <c r="I32" s="1910" t="s">
        <v>3498</v>
      </c>
      <c r="J32" s="386">
        <f>SUMIF(100:100,I32,101:101)-SUMIF(100:100,C32,101:101)+100</f>
        <v>100</v>
      </c>
      <c r="K32" s="377"/>
      <c r="L32" s="2719"/>
      <c r="M32" s="2713"/>
      <c r="N32" s="2713"/>
      <c r="O32" s="2713"/>
      <c r="P32" s="3670" t="s">
        <v>1696</v>
      </c>
      <c r="Q32" s="3462" t="str">
        <f t="shared" si="11"/>
        <v>建筑类型</v>
      </c>
      <c r="R32" s="705" t="s">
        <v>14</v>
      </c>
      <c r="S32" s="706">
        <f t="shared" si="12"/>
        <v>100</v>
      </c>
      <c r="T32" s="705" t="s">
        <v>14</v>
      </c>
      <c r="U32" s="706">
        <f t="shared" si="13"/>
        <v>100</v>
      </c>
      <c r="V32" s="705" t="s">
        <v>14</v>
      </c>
      <c r="W32" s="706">
        <f t="shared" si="14"/>
        <v>100</v>
      </c>
      <c r="X32" s="3464"/>
      <c r="Y32" s="3673" t="s">
        <v>1696</v>
      </c>
      <c r="Z32" s="3465" t="str">
        <f t="shared" si="18"/>
        <v>建筑类型</v>
      </c>
      <c r="AA32" s="3463">
        <f t="shared" si="15"/>
        <v>1</v>
      </c>
      <c r="AB32" s="3463">
        <f t="shared" si="16"/>
        <v>1</v>
      </c>
      <c r="AC32" s="3463">
        <f t="shared" si="17"/>
        <v>1</v>
      </c>
    </row>
    <row r="33" spans="1:29" s="422" customFormat="1" ht="15">
      <c r="A33" s="419"/>
      <c r="B33" s="375" t="s">
        <v>1697</v>
      </c>
      <c r="C33" s="420">
        <f>'数据-基础表'!I13</f>
        <v>375.87</v>
      </c>
      <c r="D33" s="127">
        <v>100</v>
      </c>
      <c r="E33" s="381">
        <v>344.13</v>
      </c>
      <c r="F33" s="376">
        <f>LOOKUP(E33,103:103,104:104)-LOOKUP(C33,103:103,104:104)+100</f>
        <v>100</v>
      </c>
      <c r="G33" s="380">
        <v>343.56</v>
      </c>
      <c r="H33" s="127">
        <f>LOOKUP(G33,103:103,104:104)-LOOKUP(C33,103:103,104:104)+100</f>
        <v>100</v>
      </c>
      <c r="I33" s="381">
        <v>343.56</v>
      </c>
      <c r="J33" s="127">
        <f>LOOKUP(I33,103:103,104:104)-LOOKUP(C33,103:103,104:104)+100</f>
        <v>100</v>
      </c>
      <c r="K33" s="1893"/>
      <c r="L33" s="2718"/>
      <c r="M33" s="2720"/>
      <c r="N33" s="2720"/>
      <c r="O33" s="2720"/>
      <c r="P33" s="3671"/>
      <c r="Q33" s="707" t="str">
        <f t="shared" si="11"/>
        <v>项目建筑规模</v>
      </c>
      <c r="R33" s="708" t="s">
        <v>14</v>
      </c>
      <c r="S33" s="709">
        <f t="shared" si="12"/>
        <v>100</v>
      </c>
      <c r="T33" s="708" t="s">
        <v>14</v>
      </c>
      <c r="U33" s="709">
        <f t="shared" si="13"/>
        <v>100</v>
      </c>
      <c r="V33" s="708" t="s">
        <v>14</v>
      </c>
      <c r="W33" s="709">
        <f t="shared" si="14"/>
        <v>100</v>
      </c>
      <c r="X33" s="710"/>
      <c r="Y33" s="3673"/>
      <c r="Z33" s="711" t="str">
        <f t="shared" si="18"/>
        <v>项目建筑规模</v>
      </c>
      <c r="AA33" s="3463">
        <f t="shared" si="15"/>
        <v>1</v>
      </c>
      <c r="AB33" s="3463">
        <f t="shared" si="16"/>
        <v>1</v>
      </c>
      <c r="AC33" s="3463">
        <f t="shared" si="17"/>
        <v>1</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671"/>
      <c r="Q34" s="3462" t="str">
        <f t="shared" si="11"/>
        <v>建筑结构</v>
      </c>
      <c r="R34" s="705" t="s">
        <v>14</v>
      </c>
      <c r="S34" s="706">
        <f t="shared" si="12"/>
        <v>100</v>
      </c>
      <c r="T34" s="705" t="s">
        <v>14</v>
      </c>
      <c r="U34" s="706">
        <f t="shared" si="13"/>
        <v>100</v>
      </c>
      <c r="V34" s="705" t="s">
        <v>14</v>
      </c>
      <c r="W34" s="706">
        <f t="shared" si="14"/>
        <v>100</v>
      </c>
      <c r="X34" s="3464"/>
      <c r="Y34" s="3673"/>
      <c r="Z34" s="3465" t="str">
        <f t="shared" si="18"/>
        <v>建筑结构</v>
      </c>
      <c r="AA34" s="3463">
        <f t="shared" si="15"/>
        <v>1</v>
      </c>
      <c r="AB34" s="3463">
        <f t="shared" si="16"/>
        <v>1</v>
      </c>
      <c r="AC34" s="3463">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671"/>
      <c r="Q35" s="3462" t="str">
        <f t="shared" si="11"/>
        <v>建筑品质</v>
      </c>
      <c r="R35" s="705" t="s">
        <v>14</v>
      </c>
      <c r="S35" s="706">
        <f t="shared" si="12"/>
        <v>100</v>
      </c>
      <c r="T35" s="705" t="s">
        <v>14</v>
      </c>
      <c r="U35" s="706">
        <f t="shared" si="13"/>
        <v>100</v>
      </c>
      <c r="V35" s="705" t="s">
        <v>14</v>
      </c>
      <c r="W35" s="706">
        <f t="shared" si="14"/>
        <v>100</v>
      </c>
      <c r="X35" s="3464"/>
      <c r="Y35" s="3673"/>
      <c r="Z35" s="3465" t="str">
        <f t="shared" si="18"/>
        <v>建筑品质</v>
      </c>
      <c r="AA35" s="3463">
        <f t="shared" si="15"/>
        <v>1</v>
      </c>
      <c r="AB35" s="3463">
        <f t="shared" si="16"/>
        <v>1</v>
      </c>
      <c r="AC35" s="3463">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671"/>
      <c r="Q36" s="3462" t="str">
        <f t="shared" si="11"/>
        <v>公共部分装修</v>
      </c>
      <c r="R36" s="705" t="s">
        <v>14</v>
      </c>
      <c r="S36" s="706">
        <f t="shared" si="12"/>
        <v>100</v>
      </c>
      <c r="T36" s="705" t="s">
        <v>14</v>
      </c>
      <c r="U36" s="706">
        <f t="shared" si="13"/>
        <v>100</v>
      </c>
      <c r="V36" s="705" t="s">
        <v>14</v>
      </c>
      <c r="W36" s="706">
        <f t="shared" si="14"/>
        <v>100</v>
      </c>
      <c r="X36" s="3464"/>
      <c r="Y36" s="3673"/>
      <c r="Z36" s="3465" t="str">
        <f t="shared" si="18"/>
        <v>公共部分装修</v>
      </c>
      <c r="AA36" s="3463">
        <f t="shared" si="15"/>
        <v>1</v>
      </c>
      <c r="AB36" s="3463">
        <f t="shared" si="16"/>
        <v>1</v>
      </c>
      <c r="AC36" s="3463">
        <f t="shared" si="17"/>
        <v>1</v>
      </c>
    </row>
    <row r="37" spans="1:29" s="108" customFormat="1" ht="15">
      <c r="A37" s="424"/>
      <c r="B37" s="375" t="s">
        <v>1701</v>
      </c>
      <c r="C37" s="425">
        <f>'数据-取费表'!N6</f>
        <v>0.88</v>
      </c>
      <c r="D37" s="127">
        <v>100</v>
      </c>
      <c r="E37" s="425">
        <f>C37</f>
        <v>0.88</v>
      </c>
      <c r="F37" s="376">
        <f>LOOKUP(E37,112:112,113:113)-LOOKUP(C37,112:112,113:113)+100</f>
        <v>100</v>
      </c>
      <c r="G37" s="427">
        <f>C37</f>
        <v>0.88</v>
      </c>
      <c r="H37" s="127">
        <f>LOOKUP(G37,112:112,113:113)-LOOKUP(C37,112:112,113:113)+100</f>
        <v>100</v>
      </c>
      <c r="I37" s="426">
        <f>C37</f>
        <v>0.88</v>
      </c>
      <c r="J37" s="127">
        <f>LOOKUP(I37,112:112,113:113)-LOOKUP(C37,112:112,113:113)+100</f>
        <v>100</v>
      </c>
      <c r="K37" s="377">
        <v>3</v>
      </c>
      <c r="L37" s="2714"/>
      <c r="M37" s="2715"/>
      <c r="N37" s="2715"/>
      <c r="O37" s="2715"/>
      <c r="P37" s="3671"/>
      <c r="Q37" s="3461" t="str">
        <f t="shared" si="11"/>
        <v>成新度</v>
      </c>
      <c r="R37" s="701" t="s">
        <v>14</v>
      </c>
      <c r="S37" s="702">
        <f t="shared" si="12"/>
        <v>100</v>
      </c>
      <c r="T37" s="701" t="s">
        <v>14</v>
      </c>
      <c r="U37" s="702">
        <f t="shared" si="13"/>
        <v>100</v>
      </c>
      <c r="V37" s="701" t="s">
        <v>14</v>
      </c>
      <c r="W37" s="702">
        <f t="shared" si="14"/>
        <v>100</v>
      </c>
      <c r="X37" s="703"/>
      <c r="Y37" s="3673"/>
      <c r="Z37" s="3460" t="str">
        <f t="shared" si="18"/>
        <v>成新度</v>
      </c>
      <c r="AA37" s="704">
        <f t="shared" si="15"/>
        <v>1</v>
      </c>
      <c r="AB37" s="704">
        <f t="shared" si="16"/>
        <v>1</v>
      </c>
      <c r="AC37" s="704">
        <f t="shared" si="17"/>
        <v>1</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671" t="s">
        <v>1696</v>
      </c>
      <c r="Q38" s="3462" t="str">
        <f t="shared" si="11"/>
        <v>物业管理</v>
      </c>
      <c r="R38" s="705" t="s">
        <v>14</v>
      </c>
      <c r="S38" s="706">
        <f t="shared" si="12"/>
        <v>100</v>
      </c>
      <c r="T38" s="705" t="s">
        <v>14</v>
      </c>
      <c r="U38" s="706">
        <f t="shared" si="13"/>
        <v>100</v>
      </c>
      <c r="V38" s="705" t="s">
        <v>14</v>
      </c>
      <c r="W38" s="706">
        <f t="shared" si="14"/>
        <v>100</v>
      </c>
      <c r="X38" s="3464"/>
      <c r="Y38" s="3673" t="s">
        <v>1696</v>
      </c>
      <c r="Z38" s="3465" t="str">
        <f t="shared" si="18"/>
        <v>物业管理</v>
      </c>
      <c r="AA38" s="3463">
        <f t="shared" si="15"/>
        <v>1</v>
      </c>
      <c r="AB38" s="3463">
        <f t="shared" si="16"/>
        <v>1</v>
      </c>
      <c r="AC38" s="3463">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671"/>
      <c r="Q39" s="3462" t="str">
        <f t="shared" si="11"/>
        <v>市政基础设施</v>
      </c>
      <c r="R39" s="705" t="s">
        <v>14</v>
      </c>
      <c r="S39" s="706">
        <f t="shared" si="12"/>
        <v>100</v>
      </c>
      <c r="T39" s="705" t="s">
        <v>14</v>
      </c>
      <c r="U39" s="706">
        <f t="shared" si="13"/>
        <v>100</v>
      </c>
      <c r="V39" s="705" t="s">
        <v>14</v>
      </c>
      <c r="W39" s="706">
        <f t="shared" si="14"/>
        <v>100</v>
      </c>
      <c r="X39" s="3464"/>
      <c r="Y39" s="3673"/>
      <c r="Z39" s="3465" t="str">
        <f t="shared" si="18"/>
        <v>市政基础设施</v>
      </c>
      <c r="AA39" s="3463">
        <f t="shared" si="15"/>
        <v>1</v>
      </c>
      <c r="AB39" s="3463">
        <f t="shared" si="16"/>
        <v>1</v>
      </c>
      <c r="AC39" s="3463">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671"/>
      <c r="Q40" s="3462" t="str">
        <f t="shared" si="11"/>
        <v>房型</v>
      </c>
      <c r="R40" s="705" t="s">
        <v>14</v>
      </c>
      <c r="S40" s="706">
        <f t="shared" si="12"/>
        <v>100</v>
      </c>
      <c r="T40" s="705" t="s">
        <v>14</v>
      </c>
      <c r="U40" s="706">
        <f t="shared" si="13"/>
        <v>100</v>
      </c>
      <c r="V40" s="705" t="s">
        <v>14</v>
      </c>
      <c r="W40" s="706">
        <f t="shared" si="14"/>
        <v>100</v>
      </c>
      <c r="X40" s="3464"/>
      <c r="Y40" s="3673"/>
      <c r="Z40" s="3465" t="str">
        <f t="shared" si="18"/>
        <v>房型</v>
      </c>
      <c r="AA40" s="3463">
        <f t="shared" si="15"/>
        <v>1</v>
      </c>
      <c r="AB40" s="3463">
        <f t="shared" si="16"/>
        <v>1</v>
      </c>
      <c r="AC40" s="346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671"/>
      <c r="Q41" s="707" t="str">
        <f t="shared" si="11"/>
        <v>单套/主力户型建筑面积</v>
      </c>
      <c r="R41" s="708" t="s">
        <v>14</v>
      </c>
      <c r="S41" s="709">
        <f t="shared" si="12"/>
        <v>100</v>
      </c>
      <c r="T41" s="708" t="s">
        <v>14</v>
      </c>
      <c r="U41" s="709">
        <f t="shared" si="13"/>
        <v>100</v>
      </c>
      <c r="V41" s="708" t="s">
        <v>14</v>
      </c>
      <c r="W41" s="709">
        <f t="shared" si="14"/>
        <v>100</v>
      </c>
      <c r="X41" s="710"/>
      <c r="Y41" s="3673"/>
      <c r="Z41" s="711" t="str">
        <f t="shared" si="18"/>
        <v>单套/主力户型建筑面积</v>
      </c>
      <c r="AA41" s="3463">
        <f t="shared" si="15"/>
        <v>1</v>
      </c>
      <c r="AB41" s="3463">
        <f t="shared" si="16"/>
        <v>1</v>
      </c>
      <c r="AC41" s="3463">
        <f t="shared" si="17"/>
        <v>1</v>
      </c>
    </row>
    <row r="42" spans="1:29" ht="15">
      <c r="A42" s="423"/>
      <c r="B42" s="375" t="s">
        <v>1706</v>
      </c>
      <c r="C42" s="1905" t="s">
        <v>3542</v>
      </c>
      <c r="D42" s="386">
        <v>100</v>
      </c>
      <c r="E42" s="1906" t="s">
        <v>3542</v>
      </c>
      <c r="F42" s="412">
        <f>SUMIF(122:122,E42,123:123)-SUMIF(122:122,C42,123:123)+100</f>
        <v>100</v>
      </c>
      <c r="G42" s="1905" t="s">
        <v>3542</v>
      </c>
      <c r="H42" s="386">
        <f>SUMIF(122:122,G42,123:123)-SUMIF(122:122,C42,123:123)+100</f>
        <v>100</v>
      </c>
      <c r="I42" s="1906" t="s">
        <v>3542</v>
      </c>
      <c r="J42" s="386">
        <f>SUMIF(122:122,I42,123:123)-SUMIF(122:122,C42,123:123)+100</f>
        <v>100</v>
      </c>
      <c r="K42" s="377"/>
      <c r="L42" s="2719"/>
      <c r="M42" s="2713"/>
      <c r="N42" s="2713"/>
      <c r="O42" s="2713"/>
      <c r="P42" s="3671"/>
      <c r="Q42" s="3462" t="str">
        <f t="shared" si="11"/>
        <v>内部装修</v>
      </c>
      <c r="R42" s="705" t="s">
        <v>14</v>
      </c>
      <c r="S42" s="706">
        <f t="shared" si="12"/>
        <v>100</v>
      </c>
      <c r="T42" s="705" t="s">
        <v>14</v>
      </c>
      <c r="U42" s="706">
        <f t="shared" si="13"/>
        <v>100</v>
      </c>
      <c r="V42" s="705" t="s">
        <v>14</v>
      </c>
      <c r="W42" s="706">
        <f t="shared" si="14"/>
        <v>100</v>
      </c>
      <c r="X42" s="3464"/>
      <c r="Y42" s="3673"/>
      <c r="Z42" s="3465" t="str">
        <f t="shared" si="18"/>
        <v>内部装修</v>
      </c>
      <c r="AA42" s="3463">
        <f t="shared" si="15"/>
        <v>1</v>
      </c>
      <c r="AB42" s="3463">
        <f t="shared" si="16"/>
        <v>1</v>
      </c>
      <c r="AC42" s="3463">
        <f t="shared" si="17"/>
        <v>1</v>
      </c>
    </row>
    <row r="43" spans="1:29" ht="28.8">
      <c r="A43" s="423"/>
      <c r="B43" s="375" t="s">
        <v>1707</v>
      </c>
      <c r="C43" s="1905" t="s">
        <v>3483</v>
      </c>
      <c r="D43" s="386">
        <v>100</v>
      </c>
      <c r="E43" s="1906" t="s">
        <v>3483</v>
      </c>
      <c r="F43" s="412">
        <f>SUMIF(124:124,E43,125:125)-SUMIF(124:124,C43,125:125)+100</f>
        <v>100</v>
      </c>
      <c r="G43" s="1905" t="s">
        <v>3483</v>
      </c>
      <c r="H43" s="386">
        <f>SUMIF(124:124,G43,125:125)-SUMIF(124:124,C43,125:125)+100</f>
        <v>100</v>
      </c>
      <c r="I43" s="1906" t="s">
        <v>3483</v>
      </c>
      <c r="J43" s="386">
        <f>SUMIF(124:124,I43,125:125)-SUMIF(124:124,C43,125:125)+100</f>
        <v>100</v>
      </c>
      <c r="K43" s="377"/>
      <c r="L43" s="2719"/>
      <c r="M43" s="2713"/>
      <c r="N43" s="2713"/>
      <c r="O43" s="2713"/>
      <c r="P43" s="3671"/>
      <c r="Q43" s="3462" t="str">
        <f t="shared" si="11"/>
        <v>内部装修维护情况</v>
      </c>
      <c r="R43" s="705" t="s">
        <v>14</v>
      </c>
      <c r="S43" s="706">
        <f t="shared" si="12"/>
        <v>100</v>
      </c>
      <c r="T43" s="705" t="s">
        <v>14</v>
      </c>
      <c r="U43" s="706">
        <f t="shared" si="13"/>
        <v>100</v>
      </c>
      <c r="V43" s="705" t="s">
        <v>14</v>
      </c>
      <c r="W43" s="706">
        <f t="shared" si="14"/>
        <v>100</v>
      </c>
      <c r="X43" s="3464"/>
      <c r="Y43" s="3673"/>
      <c r="Z43" s="3465" t="str">
        <f t="shared" si="18"/>
        <v>内部装修维护情况</v>
      </c>
      <c r="AA43" s="3463">
        <f t="shared" si="15"/>
        <v>1</v>
      </c>
      <c r="AB43" s="3463">
        <f t="shared" si="16"/>
        <v>1</v>
      </c>
      <c r="AC43" s="3463">
        <f t="shared" si="17"/>
        <v>1</v>
      </c>
    </row>
    <row r="44" spans="1:29" s="108" customFormat="1" ht="15">
      <c r="A44" s="424"/>
      <c r="B44" s="3456" t="s">
        <v>3507</v>
      </c>
      <c r="C44" s="3457" t="s">
        <v>3508</v>
      </c>
      <c r="D44" s="127">
        <v>100</v>
      </c>
      <c r="E44" s="3457" t="s">
        <v>3537</v>
      </c>
      <c r="F44" s="376">
        <f>SUMIF(126:126,E44,127:127)-SUMIF(126:126,C44,127:127)+100</f>
        <v>100</v>
      </c>
      <c r="G44" s="3457" t="s">
        <v>3538</v>
      </c>
      <c r="H44" s="127">
        <f>SUMIF(126:126,G44,127:127)-SUMIF(126:126,C44,127:127)+100</f>
        <v>100</v>
      </c>
      <c r="I44" s="3457" t="s">
        <v>3537</v>
      </c>
      <c r="J44" s="127">
        <f>SUMIF(126:126,I44,127:127)-SUMIF(126:126,C44,127:127)+100</f>
        <v>100</v>
      </c>
      <c r="K44" s="1893"/>
      <c r="L44" s="2714"/>
      <c r="M44" s="2715"/>
      <c r="N44" s="2715"/>
      <c r="O44" s="2715"/>
      <c r="P44" s="3671"/>
      <c r="Q44" s="3461" t="str">
        <f t="shared" si="11"/>
        <v>景观</v>
      </c>
      <c r="R44" s="701" t="s">
        <v>14</v>
      </c>
      <c r="S44" s="702">
        <f t="shared" si="12"/>
        <v>100</v>
      </c>
      <c r="T44" s="701" t="s">
        <v>14</v>
      </c>
      <c r="U44" s="702">
        <f t="shared" si="13"/>
        <v>100</v>
      </c>
      <c r="V44" s="701" t="s">
        <v>14</v>
      </c>
      <c r="W44" s="702">
        <f t="shared" si="14"/>
        <v>100</v>
      </c>
      <c r="X44" s="703"/>
      <c r="Y44" s="3673"/>
      <c r="Z44" s="3460" t="str">
        <f t="shared" si="18"/>
        <v>景观</v>
      </c>
      <c r="AA44" s="704">
        <f t="shared" si="15"/>
        <v>1</v>
      </c>
      <c r="AB44" s="704">
        <f t="shared" si="16"/>
        <v>1</v>
      </c>
      <c r="AC44" s="704">
        <f t="shared" si="17"/>
        <v>1</v>
      </c>
    </row>
    <row r="45" spans="1:29" ht="15">
      <c r="A45" s="423"/>
      <c r="B45" s="3456" t="s">
        <v>3523</v>
      </c>
      <c r="C45" s="385">
        <v>2002</v>
      </c>
      <c r="D45" s="386">
        <v>100</v>
      </c>
      <c r="E45" s="385">
        <f>C45</f>
        <v>2002</v>
      </c>
      <c r="F45" s="412">
        <f>SUMIF(128:128,E45,129:129)-SUMIF(128:128,C45,129:129)+100</f>
        <v>100</v>
      </c>
      <c r="G45" s="385">
        <f>C45</f>
        <v>2002</v>
      </c>
      <c r="H45" s="386">
        <f>SUMIF(128:128,G45,129:129)-SUMIF(128:128,C45,129:129)+100</f>
        <v>100</v>
      </c>
      <c r="I45" s="385">
        <f>C45</f>
        <v>2002</v>
      </c>
      <c r="J45" s="386">
        <f>SUMIF(128:128,I45,129:129)-SUMIF(128:128,C45,129:129)+100</f>
        <v>100</v>
      </c>
      <c r="K45" s="1893"/>
      <c r="L45" s="2719"/>
      <c r="M45" s="2713"/>
      <c r="N45" s="2713"/>
      <c r="O45" s="2713"/>
      <c r="P45" s="3671"/>
      <c r="Q45" s="3462" t="str">
        <f t="shared" si="11"/>
        <v>建成年代</v>
      </c>
      <c r="R45" s="705" t="s">
        <v>14</v>
      </c>
      <c r="S45" s="706">
        <f t="shared" si="12"/>
        <v>100</v>
      </c>
      <c r="T45" s="705" t="s">
        <v>14</v>
      </c>
      <c r="U45" s="706">
        <f t="shared" si="13"/>
        <v>100</v>
      </c>
      <c r="V45" s="705" t="s">
        <v>14</v>
      </c>
      <c r="W45" s="706">
        <f t="shared" si="14"/>
        <v>100</v>
      </c>
      <c r="X45" s="3464"/>
      <c r="Y45" s="3673"/>
      <c r="Z45" s="3465" t="str">
        <f t="shared" si="18"/>
        <v>建成年代</v>
      </c>
      <c r="AA45" s="3463">
        <f t="shared" si="15"/>
        <v>1</v>
      </c>
      <c r="AB45" s="3463">
        <f t="shared" si="16"/>
        <v>1</v>
      </c>
      <c r="AC45" s="3463">
        <f t="shared" si="17"/>
        <v>1</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672"/>
      <c r="Q46" s="3462">
        <f t="shared" si="11"/>
        <v>111</v>
      </c>
      <c r="R46" s="705" t="s">
        <v>14</v>
      </c>
      <c r="S46" s="706">
        <f t="shared" si="12"/>
        <v>100</v>
      </c>
      <c r="T46" s="705" t="s">
        <v>14</v>
      </c>
      <c r="U46" s="706">
        <f t="shared" si="13"/>
        <v>100</v>
      </c>
      <c r="V46" s="705" t="s">
        <v>14</v>
      </c>
      <c r="W46" s="706">
        <f t="shared" si="14"/>
        <v>100</v>
      </c>
      <c r="X46" s="3464"/>
      <c r="Y46" s="3674"/>
      <c r="Z46" s="3465">
        <f t="shared" si="18"/>
        <v>111</v>
      </c>
      <c r="AA46" s="3463">
        <f t="shared" si="15"/>
        <v>1</v>
      </c>
      <c r="AB46" s="3463">
        <f t="shared" si="16"/>
        <v>1</v>
      </c>
      <c r="AC46" s="3463">
        <f t="shared" si="17"/>
        <v>1</v>
      </c>
    </row>
    <row r="47" spans="1:29" ht="14.4">
      <c r="A47" s="430" t="s">
        <v>1708</v>
      </c>
      <c r="B47" s="431"/>
      <c r="C47" s="1154" t="s">
        <v>0</v>
      </c>
      <c r="D47" s="1155"/>
      <c r="E47" s="1156">
        <v>98000</v>
      </c>
      <c r="F47" s="1157"/>
      <c r="G47" s="1158">
        <v>100000</v>
      </c>
      <c r="H47" s="1159"/>
      <c r="I47" s="1156">
        <v>102000</v>
      </c>
      <c r="J47" s="1159"/>
      <c r="K47" s="1913"/>
      <c r="L47" s="2721"/>
      <c r="M47" s="2722"/>
      <c r="N47" s="2713"/>
      <c r="O47" s="2722"/>
      <c r="P47" s="3661" t="str">
        <f>A47</f>
        <v>成交单价（元/平方米）</v>
      </c>
      <c r="Q47" s="3661"/>
      <c r="R47" s="3662">
        <f>E47</f>
        <v>98000</v>
      </c>
      <c r="S47" s="3662"/>
      <c r="T47" s="3662">
        <f>G47</f>
        <v>100000</v>
      </c>
      <c r="U47" s="3662"/>
      <c r="V47" s="3662">
        <f>I47</f>
        <v>102000</v>
      </c>
      <c r="W47" s="3662"/>
      <c r="X47" s="690"/>
      <c r="Y47" s="712"/>
      <c r="Z47" s="690"/>
      <c r="AA47" s="690"/>
      <c r="AB47" s="690"/>
      <c r="AC47" s="690"/>
    </row>
    <row r="48" spans="1:29" ht="15" thickBot="1">
      <c r="A48" s="437" t="s">
        <v>1709</v>
      </c>
      <c r="B48" s="438"/>
      <c r="C48" s="1160">
        <f>R49</f>
        <v>110882</v>
      </c>
      <c r="D48" s="2316" t="s">
        <v>2136</v>
      </c>
      <c r="E48" s="1161">
        <f>R48</f>
        <v>113636</v>
      </c>
      <c r="F48" s="2317"/>
      <c r="G48" s="1160">
        <f>T48</f>
        <v>109599</v>
      </c>
      <c r="H48" s="2317"/>
      <c r="I48" s="1161">
        <f>V48</f>
        <v>109412</v>
      </c>
      <c r="J48" s="2317"/>
      <c r="K48" s="2318">
        <f>F48+H48+J48</f>
        <v>0</v>
      </c>
      <c r="L48" s="2721"/>
      <c r="M48" s="2722"/>
      <c r="N48" s="2722"/>
      <c r="O48" s="2722"/>
      <c r="P48" s="3661" t="str">
        <f>A48</f>
        <v>比较价值（元/平方米）</v>
      </c>
      <c r="Q48" s="3661"/>
      <c r="R48" s="3662">
        <f>IF(F1="售价",ROUND(PRODUCT(R47,AA7:AA46),0),ROUND(PRODUCT(R47,AA7:AA46),1))</f>
        <v>113636</v>
      </c>
      <c r="S48" s="3662"/>
      <c r="T48" s="3662">
        <f>IF(F1="售价",ROUND(PRODUCT(T47,AB7:AB46),0),ROUND(PRODUCT(T47,AB7:AB46),1))</f>
        <v>109599</v>
      </c>
      <c r="U48" s="3662"/>
      <c r="V48" s="3662">
        <f>IF(F1="售价",ROUND(PRODUCT(V47,AC7:AC46),0),ROUND(PRODUCT(V47,AC7:AC46),1))</f>
        <v>109412</v>
      </c>
      <c r="W48" s="3662"/>
      <c r="X48" s="690"/>
      <c r="Y48" s="690"/>
      <c r="Z48" s="690"/>
      <c r="AA48" s="690"/>
      <c r="AB48" s="690"/>
      <c r="AC48" s="690"/>
    </row>
    <row r="49" spans="1:29" ht="15" thickBot="1">
      <c r="A49" s="441" t="s">
        <v>1710</v>
      </c>
      <c r="B49" s="442"/>
      <c r="C49" s="1162">
        <f>R49</f>
        <v>110882</v>
      </c>
      <c r="D49" s="1163"/>
      <c r="E49" s="1163"/>
      <c r="F49" s="1163"/>
      <c r="G49" s="1163"/>
      <c r="H49" s="1163"/>
      <c r="I49" s="1163"/>
      <c r="J49" s="1163"/>
      <c r="K49" s="1914"/>
      <c r="L49" s="2721"/>
      <c r="M49" s="2722"/>
      <c r="N49" s="2722"/>
      <c r="O49" s="2722"/>
      <c r="P49" s="3663" t="str">
        <f>A49</f>
        <v>估价对象XX用房的比较价值（楼面单价，元/平方米）</v>
      </c>
      <c r="Q49" s="3664"/>
      <c r="R49" s="3665">
        <f>IF(F1="售价",ROUND(IF(D48="简单平均",AVERAGE(R48:V48),R48*F48+T48*H48+V48*J48),0),ROUND(IF(D48="简单平均",AVERAGE(R48:V48),R48*F48+T48*H48+V48*J48),1))</f>
        <v>110882</v>
      </c>
      <c r="S49" s="3665"/>
      <c r="T49" s="3665"/>
      <c r="U49" s="3665"/>
      <c r="V49" s="3665"/>
      <c r="W49" s="366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f>IF(E47&lt;E48,E48/E47-1,E47/E48-1)</f>
        <v>0.15955102040816316</v>
      </c>
      <c r="F52" s="449" t="str">
        <f>IF(OR(E52&gt;=0.3,E52&lt;=-0.3),"超过30%","")</f>
        <v/>
      </c>
      <c r="G52" s="448">
        <f>IF(G47&lt;G48,G48/G47-1,G47/G48-1)</f>
        <v>9.599000000000002E-2</v>
      </c>
      <c r="H52" s="449" t="str">
        <f>IF(OR(G52&gt;=0.3,G52&lt;=-0.3),"超过30%","")</f>
        <v/>
      </c>
      <c r="I52" s="448">
        <f>IF(I47&lt;I48,I48/I47-1,I47/I48-1)</f>
        <v>7.2666666666666657E-2</v>
      </c>
      <c r="J52" s="449" t="str">
        <f>IF(OR(I52&gt;=0.3,I52&lt;=-0.3),"超过30%","")</f>
        <v/>
      </c>
      <c r="K52" s="2727"/>
      <c r="L52" s="2723"/>
      <c r="M52" s="2722"/>
      <c r="N52" s="2722"/>
      <c r="O52" s="2722"/>
    </row>
    <row r="53" spans="1:29" ht="13.5" customHeight="1">
      <c r="A53" s="2722"/>
      <c r="B53" s="2722"/>
      <c r="C53" s="446" t="s">
        <v>1712</v>
      </c>
      <c r="D53" s="450"/>
      <c r="E53" s="448">
        <f>IF(E48&lt;G48,G48/E48-1,E48/G48-1)</f>
        <v>3.683427768501546E-2</v>
      </c>
      <c r="F53" s="449" t="str">
        <f>IF(OR(E53&gt;=0.2,E53&lt;=-0.2),"超过20%","")</f>
        <v/>
      </c>
      <c r="G53" s="448">
        <f>IF(G48&lt;I48,I48/G48-1,G48/I48-1)</f>
        <v>1.7091361093846125E-3</v>
      </c>
      <c r="H53" s="449" t="str">
        <f>IF(OR(G53&gt;=0.2,G53&lt;=-0.2),"超过20%","")</f>
        <v/>
      </c>
      <c r="I53" s="448">
        <f>IF(I48&lt;E48,E48/I48-1,I48/E48-1)</f>
        <v>3.8606368588454565E-2</v>
      </c>
      <c r="J53" s="449" t="str">
        <f>IF(OR(I53&gt;=0.2,I53&lt;=-0.2),"超过20%","")</f>
        <v/>
      </c>
      <c r="K53" s="2727"/>
      <c r="L53" s="2723"/>
      <c r="M53" s="2722"/>
      <c r="N53" s="2722"/>
      <c r="O53" s="2722"/>
    </row>
    <row r="54" spans="1:29" s="451" customFormat="1" ht="13.5" customHeight="1">
      <c r="A54" s="2725"/>
      <c r="B54" s="2725"/>
      <c r="C54" s="446" t="s">
        <v>1713</v>
      </c>
      <c r="D54" s="450"/>
      <c r="E54" s="448">
        <f>IF(E47&lt;G47,G47/E47-1,E47/G47-1)</f>
        <v>2.0408163265306145E-2</v>
      </c>
      <c r="F54" s="449" t="str">
        <f>IF(OR(E54&gt;=0.3,E54&lt;=-0.3),"超过30%","")</f>
        <v/>
      </c>
      <c r="G54" s="448">
        <f>IF(G47&lt;I47,I47/G47-1,G47/I47-1)</f>
        <v>2.0000000000000018E-2</v>
      </c>
      <c r="H54" s="449" t="str">
        <f>IF(OR(G54&gt;=0.3,G54&lt;=-0.3),"超过30%","")</f>
        <v/>
      </c>
      <c r="I54" s="448">
        <f>IF(I47&lt;E47,E47/I47-1,I47/E47-1)</f>
        <v>4.081632653061229E-2</v>
      </c>
      <c r="J54" s="449" t="str">
        <f>IF(OR(I54&gt;=0.3,I54&lt;=-0.3),"超过30%","")</f>
        <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1679</v>
      </c>
      <c r="B58" s="455"/>
      <c r="C58" s="1185" t="str">
        <f>YEAR(C7)&amp;"-"&amp;MONTH(C7)</f>
        <v>2024-11</v>
      </c>
      <c r="D58" s="1184">
        <f>EDATE(C58,-1)</f>
        <v>45566</v>
      </c>
      <c r="E58" s="1184">
        <f>EDATE(D58,-1)</f>
        <v>45536</v>
      </c>
      <c r="F58" s="1184">
        <f t="shared" ref="F58:Y58" si="19">EDATE(E58,-1)</f>
        <v>45505</v>
      </c>
      <c r="G58" s="1184">
        <f t="shared" si="19"/>
        <v>45474</v>
      </c>
      <c r="H58" s="1184">
        <f t="shared" si="19"/>
        <v>45444</v>
      </c>
      <c r="I58" s="1184">
        <f t="shared" si="19"/>
        <v>45413</v>
      </c>
      <c r="J58" s="1184">
        <f t="shared" si="19"/>
        <v>45383</v>
      </c>
      <c r="K58" s="1184">
        <f t="shared" si="19"/>
        <v>45352</v>
      </c>
      <c r="L58" s="1184">
        <f t="shared" si="19"/>
        <v>45323</v>
      </c>
      <c r="M58" s="1184">
        <f t="shared" si="19"/>
        <v>45292</v>
      </c>
      <c r="N58" s="1184">
        <f t="shared" si="19"/>
        <v>45261</v>
      </c>
      <c r="O58" s="1184">
        <f t="shared" si="19"/>
        <v>45231</v>
      </c>
      <c r="P58" s="3459">
        <f t="shared" si="19"/>
        <v>45200</v>
      </c>
      <c r="Q58" s="3459">
        <f t="shared" si="19"/>
        <v>45170</v>
      </c>
      <c r="R58" s="3459">
        <f t="shared" si="19"/>
        <v>45139</v>
      </c>
      <c r="S58" s="3459">
        <f t="shared" si="19"/>
        <v>45108</v>
      </c>
      <c r="T58" s="3459">
        <f t="shared" si="19"/>
        <v>45078</v>
      </c>
      <c r="U58" s="3459">
        <f t="shared" si="19"/>
        <v>45047</v>
      </c>
      <c r="V58" s="3459">
        <f t="shared" si="19"/>
        <v>45017</v>
      </c>
      <c r="W58" s="3459">
        <f t="shared" si="19"/>
        <v>44986</v>
      </c>
      <c r="X58" s="3459">
        <f t="shared" si="19"/>
        <v>44958</v>
      </c>
      <c r="Y58" s="3459">
        <f t="shared" si="19"/>
        <v>44927</v>
      </c>
    </row>
    <row r="59" spans="1:29" s="108" customFormat="1">
      <c r="A59" s="458"/>
      <c r="B59" s="1918"/>
      <c r="C59" s="1182">
        <v>100</v>
      </c>
      <c r="D59" s="460">
        <f>C59</f>
        <v>100</v>
      </c>
      <c r="E59" s="461">
        <v>100.2</v>
      </c>
      <c r="F59" s="461">
        <f>C59+C60</f>
        <v>100.2</v>
      </c>
      <c r="G59" s="461">
        <f>F59</f>
        <v>100.2</v>
      </c>
      <c r="H59" s="461">
        <f>G59+C60</f>
        <v>100.4</v>
      </c>
      <c r="I59" s="461">
        <f>H59</f>
        <v>100.4</v>
      </c>
      <c r="J59" s="461">
        <f>H59</f>
        <v>100.4</v>
      </c>
      <c r="K59" s="461">
        <f>J59+C60</f>
        <v>100.60000000000001</v>
      </c>
      <c r="L59" s="461">
        <f>K59</f>
        <v>100.60000000000001</v>
      </c>
      <c r="M59" s="462">
        <f>K59</f>
        <v>100.60000000000001</v>
      </c>
      <c r="N59" s="461">
        <f>M59+C60</f>
        <v>100.80000000000001</v>
      </c>
      <c r="O59" s="462">
        <f>N59</f>
        <v>100.80000000000001</v>
      </c>
      <c r="P59" s="1919">
        <f>N59</f>
        <v>100.80000000000001</v>
      </c>
      <c r="Q59" s="462">
        <f>P59+C60</f>
        <v>101.00000000000001</v>
      </c>
      <c r="R59" s="108">
        <f>Q59</f>
        <v>101.00000000000001</v>
      </c>
      <c r="S59" s="108">
        <f>Q59</f>
        <v>101.00000000000001</v>
      </c>
      <c r="T59" s="108">
        <f>S59+C60</f>
        <v>101.20000000000002</v>
      </c>
      <c r="U59" s="108">
        <f>T59</f>
        <v>101.20000000000002</v>
      </c>
      <c r="V59" s="108">
        <f>T59</f>
        <v>101.20000000000002</v>
      </c>
      <c r="W59" s="108">
        <f>V59+C60</f>
        <v>101.40000000000002</v>
      </c>
      <c r="X59" s="108">
        <f>W59</f>
        <v>101.40000000000002</v>
      </c>
      <c r="Y59" s="108">
        <f>W59</f>
        <v>101.40000000000002</v>
      </c>
    </row>
    <row r="60" spans="1:29" s="108" customFormat="1" ht="15" thickBot="1">
      <c r="A60" s="464" t="s">
        <v>1716</v>
      </c>
      <c r="B60" s="465"/>
      <c r="C60" s="466">
        <v>0.2</v>
      </c>
      <c r="D60" s="467"/>
      <c r="E60" s="467"/>
      <c r="F60" s="467"/>
      <c r="G60" s="467"/>
      <c r="H60" s="467"/>
      <c r="I60" s="467"/>
      <c r="J60" s="467"/>
      <c r="K60" s="467"/>
      <c r="L60" s="467"/>
      <c r="M60" s="468"/>
      <c r="N60" s="467"/>
      <c r="O60" s="468"/>
      <c r="P60" s="1919"/>
      <c r="Q60" s="453"/>
    </row>
    <row r="61" spans="1:29" s="108" customFormat="1" ht="14.4">
      <c r="A61" s="470" t="s">
        <v>1681</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c r="A68" s="483"/>
      <c r="B68" s="497"/>
      <c r="C68" s="498">
        <v>1</v>
      </c>
      <c r="D68" s="498">
        <v>3</v>
      </c>
      <c r="E68" s="498"/>
      <c r="F68" s="498"/>
      <c r="G68" s="498"/>
      <c r="H68" s="498"/>
      <c r="I68" s="498"/>
      <c r="J68" s="498"/>
      <c r="K68" s="499"/>
      <c r="L68" s="500"/>
      <c r="M68" s="501"/>
      <c r="N68" s="933"/>
      <c r="O68" s="933"/>
      <c r="P68" s="1921"/>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1734</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 thickTop="1">
      <c r="A88" s="528"/>
      <c r="B88" s="487" t="s">
        <v>1735</v>
      </c>
      <c r="C88" s="3453" t="s">
        <v>3494</v>
      </c>
      <c r="D88" s="3453" t="s">
        <v>3496</v>
      </c>
      <c r="E88" s="3453" t="s">
        <v>3497</v>
      </c>
      <c r="F88" s="3458" t="s">
        <v>3512</v>
      </c>
      <c r="G88" s="3453" t="s">
        <v>3513</v>
      </c>
      <c r="H88" s="3453" t="s">
        <v>3514</v>
      </c>
      <c r="I88" s="3453" t="s">
        <v>3515</v>
      </c>
      <c r="J88" s="503"/>
      <c r="K88" s="503"/>
      <c r="L88" s="503"/>
      <c r="M88" s="530"/>
      <c r="N88" s="932"/>
      <c r="O88" s="932"/>
      <c r="P88" s="1921"/>
      <c r="Q88" s="453"/>
    </row>
    <row r="89" spans="1:17" s="108" customFormat="1" ht="14.4" thickBot="1">
      <c r="A89" s="528"/>
      <c r="B89" s="492"/>
      <c r="C89" s="531">
        <v>100</v>
      </c>
      <c r="D89" s="493">
        <f t="shared" ref="D89:M89" si="24">C89-$K26</f>
        <v>98</v>
      </c>
      <c r="E89" s="493">
        <f t="shared" si="24"/>
        <v>96</v>
      </c>
      <c r="F89" s="493">
        <f t="shared" si="24"/>
        <v>94</v>
      </c>
      <c r="G89" s="493">
        <f t="shared" si="24"/>
        <v>92</v>
      </c>
      <c r="H89" s="493">
        <f t="shared" si="24"/>
        <v>90</v>
      </c>
      <c r="I89" s="493">
        <f t="shared" si="24"/>
        <v>88</v>
      </c>
      <c r="J89" s="493">
        <f t="shared" si="24"/>
        <v>86</v>
      </c>
      <c r="K89" s="493">
        <f t="shared" si="24"/>
        <v>84</v>
      </c>
      <c r="L89" s="493">
        <f t="shared" si="24"/>
        <v>82</v>
      </c>
      <c r="M89" s="493">
        <f t="shared" si="24"/>
        <v>80</v>
      </c>
      <c r="N89" s="934"/>
      <c r="O89" s="934"/>
      <c r="P89" s="1921"/>
      <c r="Q89" s="453"/>
    </row>
    <row r="90" spans="1:17" s="422" customFormat="1" ht="14.4" thickTop="1">
      <c r="A90" s="502"/>
      <c r="B90" s="487" t="str">
        <f>B27</f>
        <v>楼层</v>
      </c>
      <c r="C90" s="503" t="str">
        <f>C27</f>
        <v>31/32（-3）</v>
      </c>
      <c r="D90" s="3470" t="str">
        <f>E27</f>
        <v>25/32（-3）</v>
      </c>
      <c r="E90" s="3470" t="str">
        <f>G27</f>
        <v>27/32（-3）</v>
      </c>
      <c r="F90" s="3470" t="str">
        <f>I27</f>
        <v>28/32（-3）</v>
      </c>
      <c r="G90" s="503"/>
      <c r="H90" s="504"/>
      <c r="I90" s="504"/>
      <c r="J90" s="504"/>
      <c r="K90" s="504"/>
      <c r="L90" s="505"/>
      <c r="M90" s="506"/>
      <c r="N90" s="935"/>
      <c r="O90" s="935"/>
      <c r="P90" s="1922"/>
      <c r="Q90" s="508"/>
    </row>
    <row r="91" spans="1:17" s="422" customFormat="1" ht="14.4" thickBot="1">
      <c r="A91" s="502"/>
      <c r="B91" s="492"/>
      <c r="C91" s="509">
        <v>100</v>
      </c>
      <c r="D91" s="509">
        <v>88</v>
      </c>
      <c r="E91" s="509">
        <v>92</v>
      </c>
      <c r="F91" s="509">
        <v>94</v>
      </c>
      <c r="G91" s="509"/>
      <c r="H91" s="511"/>
      <c r="I91" s="511"/>
      <c r="J91" s="511"/>
      <c r="K91" s="511"/>
      <c r="L91" s="511"/>
      <c r="M91" s="512"/>
      <c r="N91" s="935"/>
      <c r="O91" s="935"/>
      <c r="P91" s="1922"/>
      <c r="Q91" s="508"/>
    </row>
    <row r="92" spans="1:17" ht="14.4" thickTop="1">
      <c r="A92" s="483"/>
      <c r="B92" s="487">
        <f>B28</f>
        <v>111</v>
      </c>
      <c r="C92" s="503"/>
      <c r="D92" s="503"/>
      <c r="E92" s="503"/>
      <c r="F92" s="503"/>
      <c r="G92" s="532"/>
      <c r="H92" s="532"/>
      <c r="I92" s="532"/>
      <c r="J92" s="532"/>
      <c r="K92" s="533"/>
      <c r="L92" s="534"/>
      <c r="M92" s="535"/>
      <c r="N92" s="933"/>
      <c r="O92" s="933"/>
      <c r="P92" s="1921"/>
      <c r="Q92" s="453"/>
    </row>
    <row r="93" spans="1:17" ht="14.4" thickBot="1">
      <c r="A93" s="483"/>
      <c r="B93" s="492"/>
      <c r="C93" s="509"/>
      <c r="D93" s="485"/>
      <c r="E93" s="485"/>
      <c r="F93" s="485"/>
      <c r="G93" s="485"/>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3454" t="s">
        <v>3499</v>
      </c>
      <c r="D100" s="479"/>
      <c r="E100" s="479"/>
      <c r="F100" s="479"/>
      <c r="G100" s="479"/>
      <c r="H100" s="479"/>
      <c r="I100" s="479"/>
      <c r="J100" s="479"/>
      <c r="K100" s="480"/>
      <c r="L100" s="481"/>
      <c r="M100" s="482"/>
      <c r="N100" s="933"/>
      <c r="O100" s="933"/>
      <c r="P100" s="1921"/>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 thickTop="1">
      <c r="A102" s="483"/>
      <c r="B102" s="487" t="s">
        <v>1737</v>
      </c>
      <c r="C102" s="527" t="str">
        <f>C103&amp;"(含)"&amp;"-"&amp;D103</f>
        <v>0(含)-180</v>
      </c>
      <c r="D102" s="527" t="str">
        <f t="shared" ref="D102:L102" si="26">D103&amp;"(含)"&amp;"-"&amp;E103</f>
        <v>180(含)-240</v>
      </c>
      <c r="E102" s="527" t="str">
        <f t="shared" si="26"/>
        <v>240(含)-300</v>
      </c>
      <c r="F102" s="527" t="str">
        <f t="shared" si="26"/>
        <v>300(含)-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v>0</v>
      </c>
      <c r="D103" s="544">
        <v>180</v>
      </c>
      <c r="E103" s="544">
        <v>240</v>
      </c>
      <c r="F103" s="544">
        <v>300</v>
      </c>
      <c r="G103" s="544"/>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c r="H104" s="485"/>
      <c r="I104" s="485"/>
      <c r="J104" s="485"/>
      <c r="K104" s="485"/>
      <c r="L104" s="485"/>
      <c r="M104" s="485"/>
      <c r="N104" s="934"/>
      <c r="O104" s="934"/>
      <c r="P104" s="1922"/>
      <c r="Q104" s="508"/>
    </row>
    <row r="105" spans="1:17" ht="15" thickTop="1">
      <c r="A105" s="548"/>
      <c r="B105" s="487" t="s">
        <v>1738</v>
      </c>
      <c r="C105" s="3453" t="s">
        <v>3500</v>
      </c>
      <c r="D105" s="503"/>
      <c r="E105" s="532"/>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1740</v>
      </c>
      <c r="C109" s="3453" t="s">
        <v>3502</v>
      </c>
      <c r="D109" s="3453" t="s">
        <v>3543</v>
      </c>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103</v>
      </c>
      <c r="E113" s="493">
        <f>D113+$K37</f>
        <v>106</v>
      </c>
      <c r="F113" s="493">
        <f>E113+$K37</f>
        <v>109</v>
      </c>
      <c r="G113" s="493">
        <f>F113+$K37</f>
        <v>112</v>
      </c>
      <c r="H113" s="493">
        <f>G113+$K37</f>
        <v>115</v>
      </c>
      <c r="I113" s="531"/>
      <c r="J113" s="556"/>
      <c r="K113" s="556"/>
      <c r="L113" s="556"/>
      <c r="M113" s="557"/>
      <c r="N113" s="935"/>
      <c r="O113" s="935"/>
      <c r="P113" s="1922"/>
      <c r="Q113" s="508"/>
    </row>
    <row r="114" spans="1:17" ht="15" thickTop="1">
      <c r="A114" s="548"/>
      <c r="B114" s="487" t="s">
        <v>1741</v>
      </c>
      <c r="C114" s="3453" t="s">
        <v>3503</v>
      </c>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1742</v>
      </c>
      <c r="C116" s="3453" t="s">
        <v>3504</v>
      </c>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3455" t="s">
        <v>3505</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53" t="s">
        <v>3506</v>
      </c>
      <c r="D122" s="3453" t="s">
        <v>3544</v>
      </c>
      <c r="E122" s="503"/>
      <c r="F122" s="532"/>
      <c r="G122" s="532"/>
      <c r="H122" s="532"/>
      <c r="I122" s="532"/>
      <c r="J122" s="532"/>
      <c r="K122" s="533"/>
      <c r="L122" s="534"/>
      <c r="M122" s="535"/>
      <c r="N122" s="933"/>
      <c r="O122" s="933"/>
      <c r="P122" s="1921"/>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t="str">
        <f>B44</f>
        <v>景观</v>
      </c>
      <c r="C126" s="3453" t="s">
        <v>3508</v>
      </c>
      <c r="D126" s="3453" t="s">
        <v>3509</v>
      </c>
      <c r="E126" s="503"/>
      <c r="F126" s="503"/>
      <c r="G126" s="503"/>
      <c r="H126" s="504"/>
      <c r="I126" s="504"/>
      <c r="J126" s="504"/>
      <c r="K126" s="504"/>
      <c r="L126" s="505"/>
      <c r="M126" s="506"/>
      <c r="N126" s="935"/>
      <c r="O126" s="935"/>
      <c r="P126" s="1922"/>
      <c r="Q126" s="508"/>
    </row>
    <row r="127" spans="1:17" s="422" customFormat="1" ht="14.4" thickBot="1">
      <c r="A127" s="502"/>
      <c r="B127" s="492"/>
      <c r="C127" s="509">
        <v>100</v>
      </c>
      <c r="D127" s="485">
        <v>95</v>
      </c>
      <c r="E127" s="485"/>
      <c r="F127" s="485"/>
      <c r="G127" s="509"/>
      <c r="H127" s="511"/>
      <c r="I127" s="511"/>
      <c r="J127" s="511"/>
      <c r="K127" s="511"/>
      <c r="L127" s="511"/>
      <c r="M127" s="512"/>
      <c r="N127" s="935"/>
      <c r="O127" s="935"/>
      <c r="P127" s="1922"/>
      <c r="Q127" s="508"/>
    </row>
    <row r="128" spans="1:17" ht="14.4" thickTop="1">
      <c r="A128" s="548"/>
      <c r="B128" s="487" t="str">
        <f>B45</f>
        <v>建成年代</v>
      </c>
      <c r="C128" s="503">
        <v>2002</v>
      </c>
      <c r="D128" s="503">
        <v>2005</v>
      </c>
      <c r="E128" s="503">
        <v>2017</v>
      </c>
      <c r="F128" s="503"/>
      <c r="G128" s="532"/>
      <c r="H128" s="532"/>
      <c r="I128" s="532"/>
      <c r="J128" s="532"/>
      <c r="K128" s="533"/>
      <c r="L128" s="534"/>
      <c r="M128" s="535"/>
      <c r="N128" s="933"/>
      <c r="O128" s="933"/>
      <c r="P128" s="1921"/>
      <c r="Q128" s="453"/>
    </row>
    <row r="129" spans="1:17" ht="14.4" thickBot="1">
      <c r="A129" s="483"/>
      <c r="B129" s="492"/>
      <c r="C129" s="509">
        <v>100</v>
      </c>
      <c r="D129" s="509">
        <v>100.5</v>
      </c>
      <c r="E129" s="509">
        <v>107.5</v>
      </c>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J52">
    <cfRule type="containsText" dxfId="184" priority="18" stopIfTrue="1" operator="containsText" text="超过">
      <formula>NOT(ISERROR(SEARCH("超过",F52)))</formula>
    </cfRule>
  </conditionalFormatting>
  <conditionalFormatting sqref="J54">
    <cfRule type="containsText" dxfId="183" priority="17" stopIfTrue="1" operator="containsText" text="超过">
      <formula>NOT(ISERROR(SEARCH("超过",J54)))</formula>
    </cfRule>
  </conditionalFormatting>
  <conditionalFormatting sqref="H54">
    <cfRule type="containsText" dxfId="182" priority="16" stopIfTrue="1" operator="containsText" text="超过">
      <formula>NOT(ISERROR(SEARCH("超过",H54)))</formula>
    </cfRule>
  </conditionalFormatting>
  <conditionalFormatting sqref="F54">
    <cfRule type="containsText" dxfId="181" priority="15" stopIfTrue="1" operator="containsText" text="超过">
      <formula>NOT(ISERROR(SEARCH("超过",F54)))</formula>
    </cfRule>
  </conditionalFormatting>
  <conditionalFormatting sqref="F53 H53 J53">
    <cfRule type="containsText" dxfId="180" priority="14" stopIfTrue="1" operator="containsText" text="超过">
      <formula>NOT(ISERROR(SEARCH("超过",F53)))</formula>
    </cfRule>
  </conditionalFormatting>
  <conditionalFormatting sqref="E52">
    <cfRule type="expression" dxfId="179" priority="13" stopIfTrue="1">
      <formula>$F$52="超过30%"</formula>
    </cfRule>
  </conditionalFormatting>
  <conditionalFormatting sqref="G54">
    <cfRule type="expression" dxfId="178" priority="12" stopIfTrue="1">
      <formula>$H$54="超过30%"</formula>
    </cfRule>
  </conditionalFormatting>
  <conditionalFormatting sqref="E53">
    <cfRule type="expression" dxfId="177" priority="11" stopIfTrue="1">
      <formula>$F$53="超过20%"</formula>
    </cfRule>
  </conditionalFormatting>
  <conditionalFormatting sqref="E54">
    <cfRule type="expression" dxfId="176" priority="10" stopIfTrue="1">
      <formula>$F$54="超过30%"</formula>
    </cfRule>
  </conditionalFormatting>
  <conditionalFormatting sqref="G52">
    <cfRule type="expression" dxfId="175" priority="9" stopIfTrue="1">
      <formula>$H$52="超过30%"</formula>
    </cfRule>
  </conditionalFormatting>
  <conditionalFormatting sqref="G53">
    <cfRule type="expression" dxfId="174" priority="8" stopIfTrue="1">
      <formula>$H$53="超过20%"</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4">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B28"/>
  <sheetViews>
    <sheetView topLeftCell="A46" workbookViewId="0">
      <selection activeCell="Y79" sqref="Y79"/>
    </sheetView>
  </sheetViews>
  <sheetFormatPr defaultRowHeight="14.4"/>
  <sheetData>
    <row r="1" spans="1:2">
      <c r="A1" s="3466" t="s">
        <v>3531</v>
      </c>
      <c r="B1" s="3446" t="s">
        <v>3530</v>
      </c>
    </row>
    <row r="27" spans="1:2">
      <c r="A27" s="3466" t="s">
        <v>3532</v>
      </c>
      <c r="B27" s="3446" t="s">
        <v>3533</v>
      </c>
    </row>
    <row r="28" spans="1:2">
      <c r="B28" s="3446" t="s">
        <v>3534</v>
      </c>
    </row>
  </sheetData>
  <phoneticPr fontId="134" type="noConversion"/>
  <hyperlinks>
    <hyperlink ref="B1" r:id="rId1"/>
    <hyperlink ref="B27" r:id="rId2"/>
    <hyperlink ref="B28" r:id="rId3"/>
  </hyperlinks>
  <pageMargins left="0.7" right="0.7" top="0.75" bottom="0.75" header="0.3" footer="0.3"/>
  <drawing r:id="rId4"/>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85" zoomScaleNormal="60" zoomScaleSheetLayoutView="85" workbookViewId="0">
      <selection activeCell="C42" sqref="C42"/>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1661</v>
      </c>
      <c r="C1" s="1237" t="s">
        <v>1662</v>
      </c>
      <c r="D1" s="1224" t="s">
        <v>3392</v>
      </c>
      <c r="E1" s="3423" t="s">
        <v>3492</v>
      </c>
      <c r="F1" s="1878" t="s">
        <v>3493</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4">
        <f>IF(E1="项目模式",IF(C2="——",ROUND(C49*D3/10000,0),ROUND(C49*D3/10000,0)-D2),IF(E1="单套模式",IF(C2="——",ROUND(C49*D3/10000,4),ROUND(C49*D3/10000,4)-D2)))</f>
        <v>4938.0672999999997</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10"/>
      <c r="M2" s="2711"/>
      <c r="N2" s="2711"/>
      <c r="O2" s="2711"/>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131377</v>
      </c>
      <c r="C3" s="354" t="s">
        <v>1665</v>
      </c>
      <c r="D3" s="353">
        <f>IF(D1="",'数据-汇总表'!E3,SUMIF('数据-汇总表'!$C19:$C33,D1,'数据-汇总表'!$E19:$E33))</f>
        <v>375.87</v>
      </c>
      <c r="E3" s="907"/>
      <c r="F3" s="1887"/>
      <c r="G3" s="907"/>
      <c r="H3" s="907"/>
      <c r="I3" s="907"/>
      <c r="J3" s="907"/>
      <c r="K3" s="1883"/>
      <c r="L3" s="2710"/>
      <c r="M3" s="2711"/>
      <c r="N3" s="2711"/>
      <c r="O3" s="2711"/>
      <c r="P3" s="1884"/>
      <c r="Q3" s="1885"/>
      <c r="R3" s="1885"/>
      <c r="S3" s="1885"/>
      <c r="T3" s="1885"/>
      <c r="U3" s="1885"/>
      <c r="V3" s="1885"/>
      <c r="W3" s="1885"/>
      <c r="X3" s="1885"/>
      <c r="Y3" s="1885"/>
      <c r="Z3" s="1885"/>
      <c r="AA3" s="1885"/>
      <c r="AB3" s="1885"/>
      <c r="AC3" s="1061"/>
    </row>
    <row r="4" spans="1:29" ht="14.4">
      <c r="A4" s="355" t="s">
        <v>1666</v>
      </c>
      <c r="B4" s="356"/>
      <c r="C4" s="3689" t="s">
        <v>1667</v>
      </c>
      <c r="D4" s="3690"/>
      <c r="E4" s="3691" t="s">
        <v>1668</v>
      </c>
      <c r="F4" s="3692"/>
      <c r="G4" s="3689" t="s">
        <v>1669</v>
      </c>
      <c r="H4" s="3690"/>
      <c r="I4" s="3689" t="s">
        <v>1670</v>
      </c>
      <c r="J4" s="3690"/>
      <c r="K4" s="1888" t="s">
        <v>1671</v>
      </c>
      <c r="L4" s="2712"/>
      <c r="M4" s="2713"/>
      <c r="N4" s="2713"/>
      <c r="O4" s="2713"/>
      <c r="P4" s="3693" t="s">
        <v>1672</v>
      </c>
      <c r="Q4" s="3694"/>
      <c r="R4" s="3679" t="s">
        <v>1668</v>
      </c>
      <c r="S4" s="3680"/>
      <c r="T4" s="3679" t="s">
        <v>1669</v>
      </c>
      <c r="U4" s="3680"/>
      <c r="V4" s="3685" t="s">
        <v>1670</v>
      </c>
      <c r="W4" s="3685"/>
      <c r="X4" s="1354"/>
      <c r="Y4" s="3679" t="s">
        <v>1672</v>
      </c>
      <c r="Z4" s="3680"/>
      <c r="AA4" s="3686" t="s">
        <v>1668</v>
      </c>
      <c r="AB4" s="3686" t="s">
        <v>1669</v>
      </c>
      <c r="AC4" s="3686" t="s">
        <v>1670</v>
      </c>
    </row>
    <row r="5" spans="1:29">
      <c r="A5" s="358"/>
      <c r="B5" s="359"/>
      <c r="C5" s="3707" t="s">
        <v>1673</v>
      </c>
      <c r="D5" s="3700"/>
      <c r="E5" s="3701" t="s">
        <v>3524</v>
      </c>
      <c r="F5" s="3702"/>
      <c r="G5" s="3699" t="s">
        <v>3522</v>
      </c>
      <c r="H5" s="3700"/>
      <c r="I5" s="3699" t="s">
        <v>3510</v>
      </c>
      <c r="J5" s="3700"/>
      <c r="K5" s="1889"/>
      <c r="L5" s="2712"/>
      <c r="M5" s="2713"/>
      <c r="N5" s="2713"/>
      <c r="O5" s="2713"/>
      <c r="P5" s="3695"/>
      <c r="Q5" s="3696"/>
      <c r="R5" s="3681"/>
      <c r="S5" s="3682"/>
      <c r="T5" s="3681"/>
      <c r="U5" s="3682"/>
      <c r="V5" s="3685"/>
      <c r="W5" s="3685"/>
      <c r="X5" s="1354"/>
      <c r="Y5" s="3681"/>
      <c r="Z5" s="3682"/>
      <c r="AA5" s="3687"/>
      <c r="AB5" s="3687"/>
      <c r="AC5" s="3687"/>
    </row>
    <row r="6" spans="1:29" ht="15" thickBot="1">
      <c r="A6" s="360"/>
      <c r="B6" s="361"/>
      <c r="C6" s="3703">
        <v>3110</v>
      </c>
      <c r="D6" s="3704"/>
      <c r="E6" s="3705" t="s">
        <v>1677</v>
      </c>
      <c r="F6" s="3706"/>
      <c r="G6" s="3703" t="s">
        <v>1677</v>
      </c>
      <c r="H6" s="3704"/>
      <c r="I6" s="3703" t="s">
        <v>1677</v>
      </c>
      <c r="J6" s="3704"/>
      <c r="K6" s="1889" t="s">
        <v>1678</v>
      </c>
      <c r="L6" s="2712"/>
      <c r="M6" s="2713"/>
      <c r="N6" s="2713"/>
      <c r="O6" s="2713"/>
      <c r="P6" s="3697"/>
      <c r="Q6" s="3698"/>
      <c r="R6" s="3681"/>
      <c r="S6" s="3682"/>
      <c r="T6" s="3683"/>
      <c r="U6" s="3684"/>
      <c r="V6" s="3685"/>
      <c r="W6" s="3685"/>
      <c r="X6" s="1354"/>
      <c r="Y6" s="3683"/>
      <c r="Z6" s="3684"/>
      <c r="AA6" s="3688"/>
      <c r="AB6" s="3688"/>
      <c r="AC6" s="3688"/>
    </row>
    <row r="7" spans="1:29" s="108" customFormat="1" ht="15" thickBot="1">
      <c r="A7" s="362" t="s">
        <v>1679</v>
      </c>
      <c r="B7" s="363"/>
      <c r="C7" s="364">
        <f>'数据-取费表'!B2</f>
        <v>45622</v>
      </c>
      <c r="D7" s="365">
        <v>100</v>
      </c>
      <c r="E7" s="366">
        <v>45390</v>
      </c>
      <c r="F7" s="367">
        <f>SUMIF(58:58,YEAR(E7)&amp;"-"&amp;MONTH(E7),59:59)</f>
        <v>100.4</v>
      </c>
      <c r="G7" s="366">
        <v>45008</v>
      </c>
      <c r="H7" s="365">
        <f>SUMIF(58:58,YEAR(G7)&amp;"-"&amp;MONTH(G7),59:59)</f>
        <v>101.2</v>
      </c>
      <c r="I7" s="366">
        <v>45436</v>
      </c>
      <c r="J7" s="365">
        <f>SUMIF(58:58,YEAR(I7)&amp;"-"&amp;MONTH(I7),59:59)</f>
        <v>100.4</v>
      </c>
      <c r="K7" s="1890"/>
      <c r="L7" s="2714"/>
      <c r="M7" s="2715"/>
      <c r="N7" s="2715"/>
      <c r="O7" s="2715"/>
      <c r="P7" s="3675" t="s">
        <v>1680</v>
      </c>
      <c r="Q7" s="3676"/>
      <c r="R7" s="701" t="s">
        <v>20</v>
      </c>
      <c r="S7" s="702">
        <f t="shared" ref="S7:S15" si="0">F7</f>
        <v>100.4</v>
      </c>
      <c r="T7" s="701" t="s">
        <v>20</v>
      </c>
      <c r="U7" s="702">
        <f t="shared" ref="U7:U15" si="1">H7</f>
        <v>101.2</v>
      </c>
      <c r="V7" s="701" t="s">
        <v>20</v>
      </c>
      <c r="W7" s="702">
        <f t="shared" ref="W7:W15" si="2">J7</f>
        <v>100.4</v>
      </c>
      <c r="X7" s="703"/>
      <c r="Y7" s="3675" t="s">
        <v>1680</v>
      </c>
      <c r="Z7" s="3677"/>
      <c r="AA7" s="704">
        <f>D7/F7</f>
        <v>0.99601593625497997</v>
      </c>
      <c r="AB7" s="704">
        <f>D7/H7</f>
        <v>0.98814229249011853</v>
      </c>
      <c r="AC7" s="704">
        <f>D7/J7</f>
        <v>0.99601593625497997</v>
      </c>
    </row>
    <row r="8" spans="1:29" s="108" customFormat="1" ht="15" thickBot="1">
      <c r="A8" s="362" t="s">
        <v>1681</v>
      </c>
      <c r="B8" s="363"/>
      <c r="C8" s="368" t="s">
        <v>3475</v>
      </c>
      <c r="D8" s="365">
        <v>100</v>
      </c>
      <c r="E8" s="1891" t="s">
        <v>3475</v>
      </c>
      <c r="F8" s="367">
        <f>SUMIF(61:61,E8,62:62)-SUMIF(61:61,C8,62:62)+100</f>
        <v>100</v>
      </c>
      <c r="G8" s="368" t="s">
        <v>3475</v>
      </c>
      <c r="H8" s="365">
        <f>SUMIF(61:61,G8,62:62)-SUMIF(61:61,C8,62:62)+100</f>
        <v>100</v>
      </c>
      <c r="I8" s="1891" t="s">
        <v>3475</v>
      </c>
      <c r="J8" s="365">
        <f>SUMIF(61:61,I8,62:62)-SUMIF(61:61,C8,62:62)+100</f>
        <v>100</v>
      </c>
      <c r="K8" s="1890"/>
      <c r="L8" s="2714"/>
      <c r="M8" s="2715"/>
      <c r="N8" s="2715"/>
      <c r="O8" s="2715"/>
      <c r="P8" s="3675" t="s">
        <v>1683</v>
      </c>
      <c r="Q8" s="3677"/>
      <c r="R8" s="701" t="s">
        <v>20</v>
      </c>
      <c r="S8" s="702">
        <f t="shared" si="0"/>
        <v>100</v>
      </c>
      <c r="T8" s="701" t="s">
        <v>20</v>
      </c>
      <c r="U8" s="702">
        <f t="shared" si="1"/>
        <v>100</v>
      </c>
      <c r="V8" s="701" t="s">
        <v>20</v>
      </c>
      <c r="W8" s="702">
        <f t="shared" si="2"/>
        <v>100</v>
      </c>
      <c r="X8" s="703"/>
      <c r="Y8" s="3675" t="s">
        <v>1683</v>
      </c>
      <c r="Z8" s="3677"/>
      <c r="AA8" s="704">
        <f t="shared" ref="AA8:AA19" si="3">D8/F8</f>
        <v>1</v>
      </c>
      <c r="AB8" s="704">
        <f t="shared" ref="AB8:AB19" si="4">D8/H8</f>
        <v>1</v>
      </c>
      <c r="AC8" s="704">
        <f t="shared" ref="AC8:AC19" si="5">D8/J8</f>
        <v>1</v>
      </c>
    </row>
    <row r="9" spans="1:29" s="108" customFormat="1" ht="14.4">
      <c r="A9" s="369" t="s">
        <v>1684</v>
      </c>
      <c r="B9" s="63" t="s">
        <v>1685</v>
      </c>
      <c r="C9" s="3448" t="s">
        <v>3476</v>
      </c>
      <c r="D9" s="126">
        <v>100</v>
      </c>
      <c r="E9" s="371" t="s">
        <v>3392</v>
      </c>
      <c r="F9" s="372">
        <f>SUMIF(63:63,E9,64:64)-SUMIF(63:63,C9,64:64)+100</f>
        <v>100</v>
      </c>
      <c r="G9" s="373" t="s">
        <v>3392</v>
      </c>
      <c r="H9" s="126">
        <f>SUMIF(63:63,G9,64:64)-SUMIF(63:63,C9,64:64)+100</f>
        <v>100</v>
      </c>
      <c r="I9" s="373" t="s">
        <v>3392</v>
      </c>
      <c r="J9" s="126">
        <f>SUMIF(63:63,I9,64:64)-SUMIF(63:63,C9,64:64)+100</f>
        <v>100</v>
      </c>
      <c r="K9" s="1890"/>
      <c r="L9" s="2714"/>
      <c r="M9" s="2715"/>
      <c r="N9" s="2715"/>
      <c r="O9" s="2715"/>
      <c r="P9" s="3678" t="s">
        <v>1686</v>
      </c>
      <c r="Q9" s="1342"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90"/>
      <c r="L10" s="2716"/>
      <c r="M10" s="2717"/>
      <c r="N10" s="2717"/>
      <c r="O10" s="2717"/>
      <c r="P10" s="3678"/>
      <c r="Q10" s="1342"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375" t="s">
        <v>1689</v>
      </c>
      <c r="C11" s="380">
        <v>2</v>
      </c>
      <c r="D11" s="127">
        <v>100</v>
      </c>
      <c r="E11" s="381">
        <v>2</v>
      </c>
      <c r="F11" s="376">
        <f>LOOKUP(E11,68:68,69:69)-LOOKUP(C11,68:68,69:69)+100</f>
        <v>100</v>
      </c>
      <c r="G11" s="380">
        <v>2</v>
      </c>
      <c r="H11" s="127">
        <f>LOOKUP(G11,68:68,69:69)-LOOKUP(C11,68:68,69:69)+100</f>
        <v>100</v>
      </c>
      <c r="I11" s="380">
        <v>2</v>
      </c>
      <c r="J11" s="127">
        <f>LOOKUP(I11,68:68,69:69)-LOOKUP(C11,68:68,69:69)+100</f>
        <v>100</v>
      </c>
      <c r="K11" s="377"/>
      <c r="L11" s="2718"/>
      <c r="M11" s="2713"/>
      <c r="N11" s="2713"/>
      <c r="O11" s="2713"/>
      <c r="P11" s="3678"/>
      <c r="Q11" s="1342" t="str">
        <f t="shared" si="6"/>
        <v>容积率</v>
      </c>
      <c r="R11" s="701" t="s">
        <v>18</v>
      </c>
      <c r="S11" s="702">
        <f t="shared" si="0"/>
        <v>100</v>
      </c>
      <c r="T11" s="701" t="s">
        <v>18</v>
      </c>
      <c r="U11" s="702">
        <f t="shared" si="1"/>
        <v>100</v>
      </c>
      <c r="V11" s="701" t="s">
        <v>18</v>
      </c>
      <c r="W11" s="702">
        <f t="shared" si="2"/>
        <v>100</v>
      </c>
      <c r="X11" s="703"/>
      <c r="Y11" s="3565"/>
      <c r="Z11" s="52" t="str">
        <f t="shared" si="7"/>
        <v>容积率</v>
      </c>
      <c r="AA11" s="704">
        <f t="shared" si="3"/>
        <v>1</v>
      </c>
      <c r="AB11" s="704">
        <f t="shared" si="4"/>
        <v>1</v>
      </c>
      <c r="AC11" s="704">
        <f t="shared" si="5"/>
        <v>1</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4"/>
      <c r="M12" s="2715"/>
      <c r="N12" s="2715"/>
      <c r="O12" s="2715"/>
      <c r="P12" s="3678"/>
      <c r="Q12" s="1342">
        <f t="shared" si="6"/>
        <v>111</v>
      </c>
      <c r="R12" s="701" t="s">
        <v>18</v>
      </c>
      <c r="S12" s="702">
        <f t="shared" si="0"/>
        <v>100</v>
      </c>
      <c r="T12" s="701" t="s">
        <v>18</v>
      </c>
      <c r="U12" s="702">
        <f t="shared" si="1"/>
        <v>100</v>
      </c>
      <c r="V12" s="701" t="s">
        <v>18</v>
      </c>
      <c r="W12" s="702">
        <f t="shared" si="2"/>
        <v>100</v>
      </c>
      <c r="X12" s="703"/>
      <c r="Y12" s="356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19"/>
      <c r="M13" s="2713"/>
      <c r="N13" s="2713"/>
      <c r="O13" s="2713"/>
      <c r="P13" s="3678"/>
      <c r="Q13" s="1342">
        <f t="shared" si="6"/>
        <v>111</v>
      </c>
      <c r="R13" s="701" t="s">
        <v>18</v>
      </c>
      <c r="S13" s="702">
        <f t="shared" si="0"/>
        <v>100</v>
      </c>
      <c r="T13" s="701" t="s">
        <v>18</v>
      </c>
      <c r="U13" s="702">
        <f t="shared" si="1"/>
        <v>100</v>
      </c>
      <c r="V13" s="701" t="s">
        <v>18</v>
      </c>
      <c r="W13" s="702">
        <f t="shared" si="2"/>
        <v>100</v>
      </c>
      <c r="X13" s="703"/>
      <c r="Y13" s="3565"/>
      <c r="Z13" s="52">
        <f t="shared" si="7"/>
        <v>111</v>
      </c>
      <c r="AA13" s="704">
        <f t="shared" si="3"/>
        <v>1</v>
      </c>
      <c r="AB13" s="704">
        <f t="shared" si="4"/>
        <v>1</v>
      </c>
      <c r="AC13" s="704">
        <f t="shared" si="5"/>
        <v>1</v>
      </c>
    </row>
    <row r="14" spans="1:29" ht="15.6"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19"/>
      <c r="M14" s="2713"/>
      <c r="N14" s="2713"/>
      <c r="O14" s="2713"/>
      <c r="P14" s="3678"/>
      <c r="Q14" s="1342">
        <f t="shared" si="6"/>
        <v>111</v>
      </c>
      <c r="R14" s="701" t="s">
        <v>18</v>
      </c>
      <c r="S14" s="702">
        <f t="shared" si="0"/>
        <v>100</v>
      </c>
      <c r="T14" s="701" t="s">
        <v>18</v>
      </c>
      <c r="U14" s="702">
        <f t="shared" si="1"/>
        <v>100</v>
      </c>
      <c r="V14" s="701" t="s">
        <v>18</v>
      </c>
      <c r="W14" s="702">
        <f t="shared" si="2"/>
        <v>100</v>
      </c>
      <c r="X14" s="703"/>
      <c r="Y14" s="3565"/>
      <c r="Z14" s="52">
        <f t="shared" si="7"/>
        <v>111</v>
      </c>
      <c r="AA14" s="704">
        <f t="shared" si="3"/>
        <v>1</v>
      </c>
      <c r="AB14" s="704">
        <f t="shared" si="4"/>
        <v>1</v>
      </c>
      <c r="AC14" s="704">
        <f t="shared" si="5"/>
        <v>1</v>
      </c>
    </row>
    <row r="15" spans="1:29" ht="110.4">
      <c r="A15" s="391" t="s">
        <v>1690</v>
      </c>
      <c r="B15" s="61" t="s">
        <v>1257</v>
      </c>
      <c r="C15" s="1895" t="str">
        <f>估价对象房地状况!C3</f>
        <v>估价对象周边有梵悦108、使馆壹号院、海晟名苑、万国城MOMA等住宅小区，综合评价居住社区成熟度较好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66" t="s">
        <v>1691</v>
      </c>
      <c r="Q15" s="1351" t="str">
        <f t="shared" si="6"/>
        <v>居住社区成熟度</v>
      </c>
      <c r="R15" s="705" t="s">
        <v>18</v>
      </c>
      <c r="S15" s="706">
        <f t="shared" si="0"/>
        <v>100</v>
      </c>
      <c r="T15" s="705" t="s">
        <v>18</v>
      </c>
      <c r="U15" s="706">
        <f t="shared" si="1"/>
        <v>100</v>
      </c>
      <c r="V15" s="705" t="s">
        <v>18</v>
      </c>
      <c r="W15" s="706">
        <f t="shared" si="2"/>
        <v>100</v>
      </c>
      <c r="X15" s="1354"/>
      <c r="Y15" s="3668" t="s">
        <v>1691</v>
      </c>
      <c r="Z15" s="1355" t="str">
        <f t="shared" si="7"/>
        <v>居住社区成熟度</v>
      </c>
      <c r="AA15" s="1352">
        <f t="shared" si="3"/>
        <v>1</v>
      </c>
      <c r="AB15" s="1352">
        <f t="shared" si="4"/>
        <v>1</v>
      </c>
      <c r="AC15" s="1352">
        <f t="shared" si="5"/>
        <v>1</v>
      </c>
    </row>
    <row r="16" spans="1:29" ht="15">
      <c r="A16" s="379"/>
      <c r="B16" s="397"/>
      <c r="C16" s="398"/>
      <c r="D16" s="399"/>
      <c r="E16" s="1896"/>
      <c r="F16" s="399"/>
      <c r="G16" s="1897"/>
      <c r="H16" s="401"/>
      <c r="I16" s="1897"/>
      <c r="J16" s="399"/>
      <c r="K16" s="1898"/>
      <c r="L16" s="2719"/>
      <c r="M16" s="2713"/>
      <c r="N16" s="2713"/>
      <c r="O16" s="2713"/>
      <c r="P16" s="3667"/>
      <c r="Q16" s="1351"/>
      <c r="R16" s="705"/>
      <c r="S16" s="706"/>
      <c r="T16" s="705"/>
      <c r="U16" s="706"/>
      <c r="V16" s="705"/>
      <c r="W16" s="706"/>
      <c r="X16" s="1354"/>
      <c r="Y16" s="3669"/>
      <c r="Z16" s="1355"/>
      <c r="AA16" s="1352">
        <v>1</v>
      </c>
      <c r="AB16" s="1352">
        <v>1</v>
      </c>
      <c r="AC16" s="1352">
        <v>1</v>
      </c>
    </row>
    <row r="17" spans="1:29" ht="165.6">
      <c r="A17" s="379"/>
      <c r="B17" s="402" t="s">
        <v>1259</v>
      </c>
      <c r="C17" s="1899" t="str">
        <f>估价对象房地状况!C6</f>
        <v>估价对象周边有24路、117路、123路、132路、135路、413路、515路等多条公交线路，地铁2号线及13号线换乘站（东直门站），东直门长途汽车站等，综合评价交通便捷度较好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67"/>
      <c r="Q17" s="1351" t="str">
        <f>B17</f>
        <v>交通便捷度</v>
      </c>
      <c r="R17" s="705" t="s">
        <v>18</v>
      </c>
      <c r="S17" s="706">
        <f>F17</f>
        <v>100</v>
      </c>
      <c r="T17" s="705" t="s">
        <v>18</v>
      </c>
      <c r="U17" s="706">
        <f>H17</f>
        <v>100</v>
      </c>
      <c r="V17" s="705" t="s">
        <v>18</v>
      </c>
      <c r="W17" s="706">
        <f>J17</f>
        <v>100</v>
      </c>
      <c r="X17" s="1354"/>
      <c r="Y17" s="3669"/>
      <c r="Z17" s="1355" t="str">
        <f>Q17</f>
        <v>交通便捷度</v>
      </c>
      <c r="AA17" s="1352">
        <f t="shared" si="3"/>
        <v>1</v>
      </c>
      <c r="AB17" s="1352">
        <f t="shared" si="4"/>
        <v>1</v>
      </c>
      <c r="AC17" s="1352">
        <f t="shared" si="5"/>
        <v>1</v>
      </c>
    </row>
    <row r="18" spans="1:29" ht="15">
      <c r="A18" s="379"/>
      <c r="B18" s="407"/>
      <c r="C18" s="1900"/>
      <c r="D18" s="401"/>
      <c r="E18" s="1901"/>
      <c r="F18" s="401"/>
      <c r="G18" s="1902"/>
      <c r="H18" s="399"/>
      <c r="I18" s="1902"/>
      <c r="J18" s="399"/>
      <c r="K18" s="1898"/>
      <c r="L18" s="2719"/>
      <c r="M18" s="2713"/>
      <c r="N18" s="2713"/>
      <c r="O18" s="2713"/>
      <c r="P18" s="3667"/>
      <c r="Q18" s="1351"/>
      <c r="R18" s="705"/>
      <c r="S18" s="706"/>
      <c r="T18" s="705"/>
      <c r="U18" s="706"/>
      <c r="V18" s="705"/>
      <c r="W18" s="706"/>
      <c r="X18" s="1354"/>
      <c r="Y18" s="3669"/>
      <c r="Z18" s="1355"/>
      <c r="AA18" s="1352">
        <v>1</v>
      </c>
      <c r="AB18" s="1352">
        <v>1</v>
      </c>
      <c r="AC18" s="1352">
        <v>1</v>
      </c>
    </row>
    <row r="19" spans="1:29" ht="41.4">
      <c r="A19" s="379"/>
      <c r="B19" s="402" t="s">
        <v>1258</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67"/>
      <c r="Q19" s="1351" t="str">
        <f>B19</f>
        <v>公共配套设施</v>
      </c>
      <c r="R19" s="705" t="s">
        <v>18</v>
      </c>
      <c r="S19" s="706">
        <f>F19</f>
        <v>100</v>
      </c>
      <c r="T19" s="705" t="s">
        <v>18</v>
      </c>
      <c r="U19" s="706">
        <f>H19</f>
        <v>100</v>
      </c>
      <c r="V19" s="705" t="s">
        <v>18</v>
      </c>
      <c r="W19" s="706">
        <f>J19</f>
        <v>100</v>
      </c>
      <c r="X19" s="1354"/>
      <c r="Y19" s="3669"/>
      <c r="Z19" s="1355" t="str">
        <f>Q19</f>
        <v>公共配套设施</v>
      </c>
      <c r="AA19" s="1352">
        <f t="shared" si="3"/>
        <v>1</v>
      </c>
      <c r="AB19" s="1352">
        <f t="shared" si="4"/>
        <v>1</v>
      </c>
      <c r="AC19" s="1352">
        <f t="shared" si="5"/>
        <v>1</v>
      </c>
    </row>
    <row r="20" spans="1:29" ht="15">
      <c r="A20" s="379"/>
      <c r="B20" s="407"/>
      <c r="C20" s="398"/>
      <c r="D20" s="399"/>
      <c r="E20" s="1896"/>
      <c r="F20" s="399"/>
      <c r="G20" s="1897"/>
      <c r="H20" s="399"/>
      <c r="I20" s="1897"/>
      <c r="J20" s="399"/>
      <c r="K20" s="1898"/>
      <c r="L20" s="2719"/>
      <c r="M20" s="2713"/>
      <c r="N20" s="2713"/>
      <c r="O20" s="2713"/>
      <c r="P20" s="3667"/>
      <c r="Q20" s="1351"/>
      <c r="R20" s="705"/>
      <c r="S20" s="706"/>
      <c r="T20" s="705"/>
      <c r="U20" s="706"/>
      <c r="V20" s="705"/>
      <c r="W20" s="706"/>
      <c r="X20" s="1354"/>
      <c r="Y20" s="3669"/>
      <c r="Z20" s="1355"/>
      <c r="AA20" s="1352">
        <v>1</v>
      </c>
      <c r="AB20" s="1352">
        <v>1</v>
      </c>
      <c r="AC20" s="1352">
        <v>1</v>
      </c>
    </row>
    <row r="21" spans="1:29" ht="15">
      <c r="A21" s="379"/>
      <c r="B21" s="1131" t="s">
        <v>1260</v>
      </c>
      <c r="C21" s="1899"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67"/>
      <c r="Q21" s="1351" t="str">
        <f>B21</f>
        <v>基础设施水平</v>
      </c>
      <c r="R21" s="705" t="s">
        <v>14</v>
      </c>
      <c r="S21" s="706">
        <f>F21</f>
        <v>100</v>
      </c>
      <c r="T21" s="705" t="s">
        <v>14</v>
      </c>
      <c r="U21" s="706">
        <f>H21</f>
        <v>100</v>
      </c>
      <c r="V21" s="705" t="s">
        <v>14</v>
      </c>
      <c r="W21" s="706">
        <f>J21</f>
        <v>100</v>
      </c>
      <c r="X21" s="1354"/>
      <c r="Y21" s="366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399"/>
      <c r="G22" s="1903"/>
      <c r="H22" s="399"/>
      <c r="I22" s="398"/>
      <c r="J22" s="399"/>
      <c r="K22" s="1904"/>
      <c r="L22" s="2719"/>
      <c r="M22" s="2713"/>
      <c r="N22" s="2713"/>
      <c r="O22" s="2713"/>
      <c r="P22" s="3667"/>
      <c r="Q22" s="1351"/>
      <c r="R22" s="705"/>
      <c r="S22" s="706"/>
      <c r="T22" s="705"/>
      <c r="U22" s="706"/>
      <c r="V22" s="705"/>
      <c r="W22" s="706"/>
      <c r="X22" s="1354"/>
      <c r="Y22" s="3669"/>
      <c r="Z22" s="1355"/>
      <c r="AA22" s="1352">
        <v>1</v>
      </c>
      <c r="AB22" s="1352">
        <v>1</v>
      </c>
      <c r="AC22" s="1352">
        <v>1</v>
      </c>
    </row>
    <row r="23" spans="1:29" ht="96.6">
      <c r="A23" s="379"/>
      <c r="B23" s="402" t="s">
        <v>1261</v>
      </c>
      <c r="C23" s="1899" t="str">
        <f>估价对象房地状况!C9</f>
        <v>区域自然环境：亮马河、东城区亮马河公园；人文环境：工人体育场、东直门外清真寺；综合评价环境状况较好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67"/>
      <c r="Q23" s="1351" t="str">
        <f>B23</f>
        <v>自然及人文环境</v>
      </c>
      <c r="R23" s="705" t="s">
        <v>18</v>
      </c>
      <c r="S23" s="706">
        <f>F23</f>
        <v>100</v>
      </c>
      <c r="T23" s="705" t="s">
        <v>18</v>
      </c>
      <c r="U23" s="706">
        <f>H23</f>
        <v>100</v>
      </c>
      <c r="V23" s="705" t="s">
        <v>18</v>
      </c>
      <c r="W23" s="706">
        <f>J23</f>
        <v>100</v>
      </c>
      <c r="X23" s="1354"/>
      <c r="Y23" s="3669"/>
      <c r="Z23" s="1355" t="str">
        <f>Q23</f>
        <v>自然及人文环境</v>
      </c>
      <c r="AA23" s="1352">
        <f>D23/F23</f>
        <v>1</v>
      </c>
      <c r="AB23" s="1352">
        <f>D23/H23</f>
        <v>1</v>
      </c>
      <c r="AC23" s="1352">
        <f>D23/J23</f>
        <v>1</v>
      </c>
    </row>
    <row r="24" spans="1:29" ht="15">
      <c r="A24" s="379"/>
      <c r="B24" s="407"/>
      <c r="C24" s="398"/>
      <c r="D24" s="399"/>
      <c r="E24" s="1896"/>
      <c r="F24" s="399"/>
      <c r="G24" s="1897"/>
      <c r="H24" s="399"/>
      <c r="I24" s="1897"/>
      <c r="J24" s="399"/>
      <c r="K24" s="1898"/>
      <c r="L24" s="2719"/>
      <c r="M24" s="2713"/>
      <c r="N24" s="2713"/>
      <c r="O24" s="2713"/>
      <c r="P24" s="3667"/>
      <c r="Q24" s="1351"/>
      <c r="R24" s="705"/>
      <c r="S24" s="706"/>
      <c r="T24" s="705"/>
      <c r="U24" s="706"/>
      <c r="V24" s="705"/>
      <c r="W24" s="706"/>
      <c r="X24" s="1354"/>
      <c r="Y24" s="3669"/>
      <c r="Z24" s="1355"/>
      <c r="AA24" s="1352">
        <v>1</v>
      </c>
      <c r="AB24" s="1352">
        <v>1</v>
      </c>
      <c r="AC24" s="1352">
        <v>1</v>
      </c>
    </row>
    <row r="25" spans="1:29" ht="15">
      <c r="A25" s="379"/>
      <c r="B25" s="375" t="s">
        <v>1692</v>
      </c>
      <c r="C25" s="411"/>
      <c r="D25" s="386">
        <v>100</v>
      </c>
      <c r="E25" s="1905"/>
      <c r="F25" s="386">
        <f>SUMIF(86:86,E25,87:87)-SUMIF(86:86,C25,87:87)+100</f>
        <v>100</v>
      </c>
      <c r="G25" s="1906"/>
      <c r="H25" s="386">
        <f>SUMIF(86:86,G25,87:87)-SUMIF(86:86,C25,87:87)+100</f>
        <v>100</v>
      </c>
      <c r="I25" s="1906"/>
      <c r="J25" s="386">
        <f>SUMIF(86:86,I25,87:87)-SUMIF(86:86,C25,87:87)+100</f>
        <v>100</v>
      </c>
      <c r="K25" s="377"/>
      <c r="L25" s="2719"/>
      <c r="M25" s="2713"/>
      <c r="N25" s="2713"/>
      <c r="O25" s="2713"/>
      <c r="P25" s="3667"/>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669"/>
      <c r="Z25" s="1355" t="str">
        <f>Q25</f>
        <v>楼层-1</v>
      </c>
      <c r="AA25" s="1352">
        <f t="shared" ref="AA25:AA46" si="15">D25/F25</f>
        <v>1</v>
      </c>
      <c r="AB25" s="1352">
        <f t="shared" ref="AB25:AB46" si="16">D25/H25</f>
        <v>1</v>
      </c>
      <c r="AC25" s="1352">
        <f t="shared" ref="AC25:AC46" si="17">D25/J25</f>
        <v>1</v>
      </c>
    </row>
    <row r="26" spans="1:29" ht="15">
      <c r="A26" s="379"/>
      <c r="B26" s="375" t="s">
        <v>1693</v>
      </c>
      <c r="C26" s="411" t="s">
        <v>3495</v>
      </c>
      <c r="D26" s="386">
        <v>100</v>
      </c>
      <c r="E26" s="1905" t="s">
        <v>3520</v>
      </c>
      <c r="F26" s="386">
        <f>SUMIF(88:88,E26,89:89)-SUMIF(88:88,C26,89:89)+100</f>
        <v>90</v>
      </c>
      <c r="G26" s="1906" t="s">
        <v>3520</v>
      </c>
      <c r="H26" s="386">
        <f>SUMIF(88:88,G26,89:89)-SUMIF(88:88,C26,89:89)+100</f>
        <v>90</v>
      </c>
      <c r="I26" s="1906" t="s">
        <v>3511</v>
      </c>
      <c r="J26" s="386">
        <f>SUMIF(88:88,I26,89:89)-SUMIF(88:88,C26,89:89)+100</f>
        <v>96</v>
      </c>
      <c r="K26" s="377">
        <v>2</v>
      </c>
      <c r="L26" s="2719"/>
      <c r="M26" s="2713"/>
      <c r="N26" s="2713"/>
      <c r="O26" s="2713"/>
      <c r="P26" s="3667"/>
      <c r="Q26" s="1351" t="str">
        <f t="shared" si="11"/>
        <v>朝向</v>
      </c>
      <c r="R26" s="705" t="s">
        <v>18</v>
      </c>
      <c r="S26" s="706">
        <f t="shared" si="12"/>
        <v>90</v>
      </c>
      <c r="T26" s="705" t="s">
        <v>18</v>
      </c>
      <c r="U26" s="706">
        <f t="shared" si="13"/>
        <v>90</v>
      </c>
      <c r="V26" s="705" t="s">
        <v>18</v>
      </c>
      <c r="W26" s="706">
        <f t="shared" si="14"/>
        <v>96</v>
      </c>
      <c r="X26" s="1354"/>
      <c r="Y26" s="3669"/>
      <c r="Z26" s="1355" t="str">
        <f>Q26</f>
        <v>朝向</v>
      </c>
      <c r="AA26" s="1352">
        <f t="shared" si="15"/>
        <v>1.1111111111111112</v>
      </c>
      <c r="AB26" s="1352">
        <f t="shared" si="16"/>
        <v>1.1111111111111112</v>
      </c>
      <c r="AC26" s="1352">
        <f t="shared" si="17"/>
        <v>1.0416666666666667</v>
      </c>
    </row>
    <row r="27" spans="1:29" s="108" customFormat="1" ht="15">
      <c r="A27" s="382"/>
      <c r="B27" s="3456" t="s">
        <v>3516</v>
      </c>
      <c r="C27" s="383" t="s">
        <v>3517</v>
      </c>
      <c r="D27" s="413">
        <v>100</v>
      </c>
      <c r="E27" s="416" t="s">
        <v>3525</v>
      </c>
      <c r="F27" s="413">
        <f>SUMIF(90:90,E27,91:91)-SUMIF(90:90,C27,91:91)+100</f>
        <v>100</v>
      </c>
      <c r="G27" s="414" t="s">
        <v>3519</v>
      </c>
      <c r="H27" s="413">
        <f>SUMIF(90:90,G27,91:91)-SUMIF(90:90,C27,91:91)+100</f>
        <v>100</v>
      </c>
      <c r="I27" s="414" t="s">
        <v>3518</v>
      </c>
      <c r="J27" s="413">
        <f>SUMIF(90:90,I27,91:91)-SUMIF(90:90,C27,91:91)+100</f>
        <v>100</v>
      </c>
      <c r="K27" s="1893"/>
      <c r="L27" s="2714"/>
      <c r="M27" s="2715"/>
      <c r="N27" s="2715"/>
      <c r="O27" s="2715"/>
      <c r="P27" s="3667"/>
      <c r="Q27" s="1342" t="str">
        <f t="shared" si="11"/>
        <v>楼层</v>
      </c>
      <c r="R27" s="701" t="s">
        <v>18</v>
      </c>
      <c r="S27" s="702">
        <f t="shared" si="12"/>
        <v>100</v>
      </c>
      <c r="T27" s="701" t="s">
        <v>18</v>
      </c>
      <c r="U27" s="702">
        <f t="shared" si="13"/>
        <v>100</v>
      </c>
      <c r="V27" s="701" t="s">
        <v>18</v>
      </c>
      <c r="W27" s="702">
        <f t="shared" si="14"/>
        <v>100</v>
      </c>
      <c r="X27" s="703"/>
      <c r="Y27" s="3669"/>
      <c r="Z27" s="52" t="str">
        <f>Q27</f>
        <v>楼层</v>
      </c>
      <c r="AA27" s="1352">
        <f t="shared" si="15"/>
        <v>1</v>
      </c>
      <c r="AB27" s="1352">
        <f t="shared" si="16"/>
        <v>1</v>
      </c>
      <c r="AC27" s="1352">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19"/>
      <c r="M28" s="2713"/>
      <c r="N28" s="2713"/>
      <c r="O28" s="2713"/>
      <c r="P28" s="3667"/>
      <c r="Q28" s="1351">
        <f t="shared" si="11"/>
        <v>111</v>
      </c>
      <c r="R28" s="705" t="s">
        <v>18</v>
      </c>
      <c r="S28" s="706">
        <f t="shared" si="12"/>
        <v>100</v>
      </c>
      <c r="T28" s="705" t="s">
        <v>18</v>
      </c>
      <c r="U28" s="706">
        <f t="shared" si="13"/>
        <v>100</v>
      </c>
      <c r="V28" s="705" t="s">
        <v>18</v>
      </c>
      <c r="W28" s="706">
        <f t="shared" si="14"/>
        <v>100</v>
      </c>
      <c r="X28" s="1354"/>
      <c r="Y28" s="3669"/>
      <c r="Z28" s="1355">
        <f t="shared" ref="Z28:Z46" si="18">Q28</f>
        <v>111</v>
      </c>
      <c r="AA28" s="1352">
        <f t="shared" si="15"/>
        <v>1</v>
      </c>
      <c r="AB28" s="1352">
        <f t="shared" si="16"/>
        <v>1</v>
      </c>
      <c r="AC28" s="1352">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19"/>
      <c r="M29" s="2713"/>
      <c r="N29" s="2713"/>
      <c r="O29" s="2713"/>
      <c r="P29" s="3667"/>
      <c r="Q29" s="1351">
        <f t="shared" si="11"/>
        <v>111</v>
      </c>
      <c r="R29" s="705" t="s">
        <v>18</v>
      </c>
      <c r="S29" s="706">
        <f t="shared" si="12"/>
        <v>100</v>
      </c>
      <c r="T29" s="705" t="s">
        <v>18</v>
      </c>
      <c r="U29" s="706">
        <f t="shared" si="13"/>
        <v>100</v>
      </c>
      <c r="V29" s="705" t="s">
        <v>18</v>
      </c>
      <c r="W29" s="706">
        <f t="shared" si="14"/>
        <v>100</v>
      </c>
      <c r="X29" s="1354"/>
      <c r="Y29" s="3669"/>
      <c r="Z29" s="1355">
        <f t="shared" si="18"/>
        <v>111</v>
      </c>
      <c r="AA29" s="1352">
        <f t="shared" si="15"/>
        <v>1</v>
      </c>
      <c r="AB29" s="1352">
        <f t="shared" si="16"/>
        <v>1</v>
      </c>
      <c r="AC29" s="1352">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19"/>
      <c r="M30" s="2713"/>
      <c r="N30" s="2713"/>
      <c r="O30" s="2713"/>
      <c r="P30" s="3667"/>
      <c r="Q30" s="1351">
        <f t="shared" si="11"/>
        <v>111</v>
      </c>
      <c r="R30" s="705" t="s">
        <v>18</v>
      </c>
      <c r="S30" s="706">
        <f t="shared" si="12"/>
        <v>100</v>
      </c>
      <c r="T30" s="705" t="s">
        <v>18</v>
      </c>
      <c r="U30" s="706">
        <f t="shared" si="13"/>
        <v>100</v>
      </c>
      <c r="V30" s="705" t="s">
        <v>18</v>
      </c>
      <c r="W30" s="706">
        <f t="shared" si="14"/>
        <v>100</v>
      </c>
      <c r="X30" s="1354"/>
      <c r="Y30" s="3669"/>
      <c r="Z30" s="1355">
        <f t="shared" si="18"/>
        <v>111</v>
      </c>
      <c r="AA30" s="1352">
        <f t="shared" si="15"/>
        <v>1</v>
      </c>
      <c r="AB30" s="1352">
        <f t="shared" si="16"/>
        <v>1</v>
      </c>
      <c r="AC30" s="1352">
        <f t="shared" si="17"/>
        <v>1</v>
      </c>
    </row>
    <row r="31" spans="1:29" ht="15.6"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19"/>
      <c r="M31" s="2713"/>
      <c r="N31" s="2713"/>
      <c r="O31" s="2713"/>
      <c r="P31" s="3667"/>
      <c r="Q31" s="1351">
        <f t="shared" si="11"/>
        <v>111</v>
      </c>
      <c r="R31" s="705" t="s">
        <v>18</v>
      </c>
      <c r="S31" s="706">
        <f t="shared" si="12"/>
        <v>100</v>
      </c>
      <c r="T31" s="705" t="s">
        <v>18</v>
      </c>
      <c r="U31" s="706">
        <f t="shared" si="13"/>
        <v>100</v>
      </c>
      <c r="V31" s="705" t="s">
        <v>18</v>
      </c>
      <c r="W31" s="706">
        <f t="shared" si="14"/>
        <v>100</v>
      </c>
      <c r="X31" s="1354"/>
      <c r="Y31" s="3669"/>
      <c r="Z31" s="1355">
        <f t="shared" si="18"/>
        <v>111</v>
      </c>
      <c r="AA31" s="1352">
        <f t="shared" si="15"/>
        <v>1</v>
      </c>
      <c r="AB31" s="1352">
        <f t="shared" si="16"/>
        <v>1</v>
      </c>
      <c r="AC31" s="1352">
        <f t="shared" si="17"/>
        <v>1</v>
      </c>
    </row>
    <row r="32" spans="1:29" ht="15">
      <c r="A32" s="391" t="s">
        <v>1694</v>
      </c>
      <c r="B32" s="63" t="s">
        <v>1695</v>
      </c>
      <c r="C32" s="1909" t="s">
        <v>3498</v>
      </c>
      <c r="D32" s="418">
        <v>100</v>
      </c>
      <c r="E32" s="1910" t="s">
        <v>3498</v>
      </c>
      <c r="F32" s="412">
        <f>SUMIF(100:100,E32,101:101)-SUMIF(100:100,C32,101:101)+100</f>
        <v>100</v>
      </c>
      <c r="G32" s="1909" t="s">
        <v>3498</v>
      </c>
      <c r="H32" s="418">
        <f>SUMIF(100:100,G32,101:101)-SUMIF(100:100,C32,101:101)+100</f>
        <v>100</v>
      </c>
      <c r="I32" s="1910" t="s">
        <v>3498</v>
      </c>
      <c r="J32" s="386">
        <f>SUMIF(100:100,I32,101:101)-SUMIF(100:100,C32,101:101)+100</f>
        <v>100</v>
      </c>
      <c r="K32" s="377"/>
      <c r="L32" s="2719"/>
      <c r="M32" s="2713"/>
      <c r="N32" s="2713"/>
      <c r="O32" s="2713"/>
      <c r="P32" s="3670" t="s">
        <v>1696</v>
      </c>
      <c r="Q32" s="1351" t="str">
        <f t="shared" si="11"/>
        <v>建筑类型</v>
      </c>
      <c r="R32" s="705" t="s">
        <v>18</v>
      </c>
      <c r="S32" s="706">
        <f t="shared" si="12"/>
        <v>100</v>
      </c>
      <c r="T32" s="705" t="s">
        <v>18</v>
      </c>
      <c r="U32" s="706">
        <f t="shared" si="13"/>
        <v>100</v>
      </c>
      <c r="V32" s="705" t="s">
        <v>18</v>
      </c>
      <c r="W32" s="706">
        <f t="shared" si="14"/>
        <v>100</v>
      </c>
      <c r="X32" s="1354"/>
      <c r="Y32" s="3673" t="s">
        <v>1696</v>
      </c>
      <c r="Z32" s="1355" t="str">
        <f t="shared" si="18"/>
        <v>建筑类型</v>
      </c>
      <c r="AA32" s="1352">
        <f t="shared" si="15"/>
        <v>1</v>
      </c>
      <c r="AB32" s="1352">
        <f t="shared" si="16"/>
        <v>1</v>
      </c>
      <c r="AC32" s="1352">
        <f t="shared" si="17"/>
        <v>1</v>
      </c>
    </row>
    <row r="33" spans="1:29" s="422" customFormat="1" ht="15">
      <c r="A33" s="419"/>
      <c r="B33" s="375" t="s">
        <v>1697</v>
      </c>
      <c r="C33" s="420">
        <f>'数据-基础表'!I13</f>
        <v>375.87</v>
      </c>
      <c r="D33" s="127">
        <v>100</v>
      </c>
      <c r="E33" s="381">
        <v>140</v>
      </c>
      <c r="F33" s="376">
        <f>LOOKUP(E33,103:103,104:104)-LOOKUP(C33,103:103,104:104)+100</f>
        <v>106</v>
      </c>
      <c r="G33" s="380">
        <v>196.6</v>
      </c>
      <c r="H33" s="127">
        <f>LOOKUP(G33,103:103,104:104)-LOOKUP(C33,103:103,104:104)+100</f>
        <v>104</v>
      </c>
      <c r="I33" s="381">
        <v>123</v>
      </c>
      <c r="J33" s="127">
        <f>LOOKUP(I33,103:103,104:104)-LOOKUP(C33,103:103,104:104)+100</f>
        <v>106</v>
      </c>
      <c r="K33" s="1893"/>
      <c r="L33" s="2718"/>
      <c r="M33" s="2720"/>
      <c r="N33" s="2720"/>
      <c r="O33" s="2720"/>
      <c r="P33" s="3671"/>
      <c r="Q33" s="707" t="str">
        <f t="shared" si="11"/>
        <v>项目建筑规模</v>
      </c>
      <c r="R33" s="708" t="s">
        <v>18</v>
      </c>
      <c r="S33" s="709">
        <f t="shared" si="12"/>
        <v>106</v>
      </c>
      <c r="T33" s="708" t="s">
        <v>18</v>
      </c>
      <c r="U33" s="709">
        <f t="shared" si="13"/>
        <v>104</v>
      </c>
      <c r="V33" s="708" t="s">
        <v>18</v>
      </c>
      <c r="W33" s="709">
        <f t="shared" si="14"/>
        <v>106</v>
      </c>
      <c r="X33" s="710"/>
      <c r="Y33" s="3673"/>
      <c r="Z33" s="711" t="str">
        <f t="shared" si="18"/>
        <v>项目建筑规模</v>
      </c>
      <c r="AA33" s="1352">
        <f t="shared" si="15"/>
        <v>0.94339622641509435</v>
      </c>
      <c r="AB33" s="1352">
        <f t="shared" si="16"/>
        <v>0.96153846153846156</v>
      </c>
      <c r="AC33" s="1352">
        <f t="shared" si="17"/>
        <v>0.94339622641509435</v>
      </c>
    </row>
    <row r="34" spans="1:29" ht="15">
      <c r="A34" s="423"/>
      <c r="B34" s="375" t="s">
        <v>1698</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19"/>
      <c r="M34" s="2713"/>
      <c r="N34" s="2713"/>
      <c r="O34" s="2713"/>
      <c r="P34" s="3671"/>
      <c r="Q34" s="1351" t="str">
        <f t="shared" si="11"/>
        <v>建筑结构</v>
      </c>
      <c r="R34" s="705" t="s">
        <v>18</v>
      </c>
      <c r="S34" s="706">
        <f t="shared" si="12"/>
        <v>100</v>
      </c>
      <c r="T34" s="705" t="s">
        <v>18</v>
      </c>
      <c r="U34" s="706">
        <f t="shared" si="13"/>
        <v>100</v>
      </c>
      <c r="V34" s="705" t="s">
        <v>18</v>
      </c>
      <c r="W34" s="706">
        <f t="shared" si="14"/>
        <v>100</v>
      </c>
      <c r="X34" s="1354"/>
      <c r="Y34" s="3673"/>
      <c r="Z34" s="1355" t="str">
        <f t="shared" si="18"/>
        <v>建筑结构</v>
      </c>
      <c r="AA34" s="1352">
        <f t="shared" si="15"/>
        <v>1</v>
      </c>
      <c r="AB34" s="1352">
        <f t="shared" si="16"/>
        <v>1</v>
      </c>
      <c r="AC34" s="1352">
        <f t="shared" si="17"/>
        <v>1</v>
      </c>
    </row>
    <row r="35" spans="1:29" ht="15">
      <c r="A35" s="423"/>
      <c r="B35" s="375" t="s">
        <v>1699</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19"/>
      <c r="M35" s="2713"/>
      <c r="N35" s="2713"/>
      <c r="O35" s="2713"/>
      <c r="P35" s="3671"/>
      <c r="Q35" s="1351" t="str">
        <f t="shared" si="11"/>
        <v>建筑品质</v>
      </c>
      <c r="R35" s="705" t="s">
        <v>18</v>
      </c>
      <c r="S35" s="706">
        <f t="shared" si="12"/>
        <v>100</v>
      </c>
      <c r="T35" s="705" t="s">
        <v>18</v>
      </c>
      <c r="U35" s="706">
        <f t="shared" si="13"/>
        <v>100</v>
      </c>
      <c r="V35" s="705" t="s">
        <v>18</v>
      </c>
      <c r="W35" s="706">
        <f t="shared" si="14"/>
        <v>100</v>
      </c>
      <c r="X35" s="1354"/>
      <c r="Y35" s="3673"/>
      <c r="Z35" s="1355" t="str">
        <f t="shared" si="18"/>
        <v>建筑品质</v>
      </c>
      <c r="AA35" s="1352">
        <f t="shared" si="15"/>
        <v>1</v>
      </c>
      <c r="AB35" s="1352">
        <f t="shared" si="16"/>
        <v>1</v>
      </c>
      <c r="AC35" s="1352">
        <f t="shared" si="17"/>
        <v>1</v>
      </c>
    </row>
    <row r="36" spans="1:29" ht="15">
      <c r="A36" s="423"/>
      <c r="B36" s="375" t="s">
        <v>1700</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19"/>
      <c r="M36" s="2713"/>
      <c r="N36" s="2713"/>
      <c r="O36" s="2713"/>
      <c r="P36" s="3671"/>
      <c r="Q36" s="1351" t="str">
        <f t="shared" si="11"/>
        <v>公共部分装修</v>
      </c>
      <c r="R36" s="705" t="s">
        <v>18</v>
      </c>
      <c r="S36" s="706">
        <f t="shared" si="12"/>
        <v>100</v>
      </c>
      <c r="T36" s="705" t="s">
        <v>18</v>
      </c>
      <c r="U36" s="706">
        <f t="shared" si="13"/>
        <v>100</v>
      </c>
      <c r="V36" s="705" t="s">
        <v>18</v>
      </c>
      <c r="W36" s="706">
        <f t="shared" si="14"/>
        <v>100</v>
      </c>
      <c r="X36" s="1354"/>
      <c r="Y36" s="3673"/>
      <c r="Z36" s="1355" t="str">
        <f t="shared" si="18"/>
        <v>公共部分装修</v>
      </c>
      <c r="AA36" s="1352">
        <f t="shared" si="15"/>
        <v>1</v>
      </c>
      <c r="AB36" s="1352">
        <f t="shared" si="16"/>
        <v>1</v>
      </c>
      <c r="AC36" s="1352">
        <f t="shared" si="17"/>
        <v>1</v>
      </c>
    </row>
    <row r="37" spans="1:29" s="108" customFormat="1" ht="15">
      <c r="A37" s="424"/>
      <c r="B37" s="375" t="s">
        <v>1701</v>
      </c>
      <c r="C37" s="425">
        <v>0.65</v>
      </c>
      <c r="D37" s="127">
        <v>100</v>
      </c>
      <c r="E37" s="425">
        <v>0.65</v>
      </c>
      <c r="F37" s="376">
        <f>LOOKUP(E37,112:112,113:113)-LOOKUP(C37,112:112,113:113)+100</f>
        <v>100</v>
      </c>
      <c r="G37" s="427">
        <f>C37</f>
        <v>0.65</v>
      </c>
      <c r="H37" s="127">
        <f>LOOKUP(G37,112:112,113:113)-LOOKUP(C37,112:112,113:113)+100</f>
        <v>100</v>
      </c>
      <c r="I37" s="426">
        <v>0.65</v>
      </c>
      <c r="J37" s="127">
        <f>LOOKUP(I37,112:112,113:113)-LOOKUP(C37,112:112,113:113)+100</f>
        <v>100</v>
      </c>
      <c r="K37" s="377">
        <v>3</v>
      </c>
      <c r="L37" s="2714"/>
      <c r="M37" s="2715"/>
      <c r="N37" s="2715"/>
      <c r="O37" s="2715"/>
      <c r="P37" s="3671"/>
      <c r="Q37" s="1342" t="str">
        <f t="shared" si="11"/>
        <v>成新度</v>
      </c>
      <c r="R37" s="701" t="s">
        <v>18</v>
      </c>
      <c r="S37" s="702">
        <f t="shared" si="12"/>
        <v>100</v>
      </c>
      <c r="T37" s="701" t="s">
        <v>18</v>
      </c>
      <c r="U37" s="702">
        <f t="shared" si="13"/>
        <v>100</v>
      </c>
      <c r="V37" s="701" t="s">
        <v>18</v>
      </c>
      <c r="W37" s="702">
        <f t="shared" si="14"/>
        <v>100</v>
      </c>
      <c r="X37" s="703"/>
      <c r="Y37" s="3673"/>
      <c r="Z37" s="52" t="str">
        <f t="shared" si="18"/>
        <v>成新度</v>
      </c>
      <c r="AA37" s="704">
        <f t="shared" si="15"/>
        <v>1</v>
      </c>
      <c r="AB37" s="704">
        <f t="shared" si="16"/>
        <v>1</v>
      </c>
      <c r="AC37" s="704">
        <f t="shared" si="17"/>
        <v>1</v>
      </c>
    </row>
    <row r="38" spans="1:29" ht="15">
      <c r="A38" s="423"/>
      <c r="B38" s="375" t="s">
        <v>1702</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19"/>
      <c r="M38" s="2713"/>
      <c r="N38" s="2713"/>
      <c r="O38" s="2713"/>
      <c r="P38" s="3671" t="s">
        <v>1696</v>
      </c>
      <c r="Q38" s="1351" t="str">
        <f t="shared" si="11"/>
        <v>物业管理</v>
      </c>
      <c r="R38" s="705" t="s">
        <v>18</v>
      </c>
      <c r="S38" s="706">
        <f t="shared" si="12"/>
        <v>100</v>
      </c>
      <c r="T38" s="705" t="s">
        <v>18</v>
      </c>
      <c r="U38" s="706">
        <f t="shared" si="13"/>
        <v>100</v>
      </c>
      <c r="V38" s="705" t="s">
        <v>18</v>
      </c>
      <c r="W38" s="706">
        <f t="shared" si="14"/>
        <v>100</v>
      </c>
      <c r="X38" s="1354"/>
      <c r="Y38" s="3673" t="s">
        <v>1696</v>
      </c>
      <c r="Z38" s="1355" t="str">
        <f t="shared" si="18"/>
        <v>物业管理</v>
      </c>
      <c r="AA38" s="1352">
        <f t="shared" si="15"/>
        <v>1</v>
      </c>
      <c r="AB38" s="1352">
        <f t="shared" si="16"/>
        <v>1</v>
      </c>
      <c r="AC38" s="1352">
        <f t="shared" si="17"/>
        <v>1</v>
      </c>
    </row>
    <row r="39" spans="1:29" ht="15">
      <c r="A39" s="423"/>
      <c r="B39" s="375" t="s">
        <v>1703</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19"/>
      <c r="M39" s="2713"/>
      <c r="N39" s="2713"/>
      <c r="O39" s="2713"/>
      <c r="P39" s="3671"/>
      <c r="Q39" s="1351" t="str">
        <f t="shared" si="11"/>
        <v>市政基础设施</v>
      </c>
      <c r="R39" s="705" t="s">
        <v>18</v>
      </c>
      <c r="S39" s="706">
        <f t="shared" si="12"/>
        <v>100</v>
      </c>
      <c r="T39" s="705" t="s">
        <v>18</v>
      </c>
      <c r="U39" s="706">
        <f t="shared" si="13"/>
        <v>100</v>
      </c>
      <c r="V39" s="705" t="s">
        <v>18</v>
      </c>
      <c r="W39" s="706">
        <f t="shared" si="14"/>
        <v>100</v>
      </c>
      <c r="X39" s="1354"/>
      <c r="Y39" s="3673"/>
      <c r="Z39" s="1355" t="str">
        <f t="shared" si="18"/>
        <v>市政基础设施</v>
      </c>
      <c r="AA39" s="1352">
        <f t="shared" si="15"/>
        <v>1</v>
      </c>
      <c r="AB39" s="1352">
        <f t="shared" si="16"/>
        <v>1</v>
      </c>
      <c r="AC39" s="1352">
        <f t="shared" si="17"/>
        <v>1</v>
      </c>
    </row>
    <row r="40" spans="1:29" ht="15">
      <c r="A40" s="423"/>
      <c r="B40" s="375" t="s">
        <v>1704</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19"/>
      <c r="M40" s="2713"/>
      <c r="N40" s="2713"/>
      <c r="O40" s="2713"/>
      <c r="P40" s="3671"/>
      <c r="Q40" s="1351" t="str">
        <f t="shared" si="11"/>
        <v>房型</v>
      </c>
      <c r="R40" s="705" t="s">
        <v>18</v>
      </c>
      <c r="S40" s="706">
        <f t="shared" si="12"/>
        <v>100</v>
      </c>
      <c r="T40" s="705" t="s">
        <v>18</v>
      </c>
      <c r="U40" s="706">
        <f t="shared" si="13"/>
        <v>100</v>
      </c>
      <c r="V40" s="705" t="s">
        <v>18</v>
      </c>
      <c r="W40" s="706">
        <f t="shared" si="14"/>
        <v>100</v>
      </c>
      <c r="X40" s="1354"/>
      <c r="Y40" s="3673"/>
      <c r="Z40" s="1355" t="str">
        <f t="shared" si="18"/>
        <v>房型</v>
      </c>
      <c r="AA40" s="1352">
        <f t="shared" si="15"/>
        <v>1</v>
      </c>
      <c r="AB40" s="1352">
        <f t="shared" si="16"/>
        <v>1</v>
      </c>
      <c r="AC40" s="1352">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8"/>
      <c r="M41" s="2720"/>
      <c r="N41" s="2720"/>
      <c r="O41" s="2720"/>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2">
        <f t="shared" si="15"/>
        <v>1</v>
      </c>
      <c r="AB41" s="1352">
        <f t="shared" si="16"/>
        <v>1</v>
      </c>
      <c r="AC41" s="1352">
        <f t="shared" si="17"/>
        <v>1</v>
      </c>
    </row>
    <row r="42" spans="1:29" ht="15">
      <c r="A42" s="423"/>
      <c r="B42" s="375" t="s">
        <v>1706</v>
      </c>
      <c r="C42" s="1905" t="s">
        <v>3501</v>
      </c>
      <c r="D42" s="386">
        <v>100</v>
      </c>
      <c r="E42" s="1906" t="s">
        <v>3501</v>
      </c>
      <c r="F42" s="412">
        <f>SUMIF(122:122,E42,123:123)-SUMIF(122:122,C42,123:123)+100</f>
        <v>100</v>
      </c>
      <c r="G42" s="1905" t="s">
        <v>3501</v>
      </c>
      <c r="H42" s="386">
        <f>SUMIF(122:122,G42,123:123)-SUMIF(122:122,C42,123:123)+100</f>
        <v>100</v>
      </c>
      <c r="I42" s="1906" t="s">
        <v>3501</v>
      </c>
      <c r="J42" s="386">
        <f>SUMIF(122:122,I42,123:123)-SUMIF(122:122,C42,123:123)+100</f>
        <v>100</v>
      </c>
      <c r="K42" s="377"/>
      <c r="L42" s="2719"/>
      <c r="M42" s="2713"/>
      <c r="N42" s="2713"/>
      <c r="O42" s="2713"/>
      <c r="P42" s="3671"/>
      <c r="Q42" s="1351" t="str">
        <f t="shared" si="11"/>
        <v>内部装修</v>
      </c>
      <c r="R42" s="705" t="s">
        <v>18</v>
      </c>
      <c r="S42" s="706">
        <f t="shared" si="12"/>
        <v>100</v>
      </c>
      <c r="T42" s="705" t="s">
        <v>18</v>
      </c>
      <c r="U42" s="706">
        <f t="shared" si="13"/>
        <v>100</v>
      </c>
      <c r="V42" s="705" t="s">
        <v>18</v>
      </c>
      <c r="W42" s="706">
        <f t="shared" si="14"/>
        <v>100</v>
      </c>
      <c r="X42" s="1354"/>
      <c r="Y42" s="3673"/>
      <c r="Z42" s="1355" t="str">
        <f t="shared" si="18"/>
        <v>内部装修</v>
      </c>
      <c r="AA42" s="1352">
        <f t="shared" si="15"/>
        <v>1</v>
      </c>
      <c r="AB42" s="1352">
        <f t="shared" si="16"/>
        <v>1</v>
      </c>
      <c r="AC42" s="1352">
        <f t="shared" si="17"/>
        <v>1</v>
      </c>
    </row>
    <row r="43" spans="1:29" ht="28.8">
      <c r="A43" s="423"/>
      <c r="B43" s="375" t="s">
        <v>1707</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19"/>
      <c r="M43" s="2713"/>
      <c r="N43" s="2713"/>
      <c r="O43" s="2713"/>
      <c r="P43" s="3671"/>
      <c r="Q43" s="1351" t="str">
        <f t="shared" si="11"/>
        <v>内部装修维护情况</v>
      </c>
      <c r="R43" s="705" t="s">
        <v>18</v>
      </c>
      <c r="S43" s="706">
        <f t="shared" si="12"/>
        <v>100</v>
      </c>
      <c r="T43" s="705" t="s">
        <v>18</v>
      </c>
      <c r="U43" s="706">
        <f t="shared" si="13"/>
        <v>100</v>
      </c>
      <c r="V43" s="705" t="s">
        <v>18</v>
      </c>
      <c r="W43" s="706">
        <f t="shared" si="14"/>
        <v>100</v>
      </c>
      <c r="X43" s="1354"/>
      <c r="Y43" s="3673"/>
      <c r="Z43" s="1355" t="str">
        <f t="shared" si="18"/>
        <v>内部装修维护情况</v>
      </c>
      <c r="AA43" s="1352">
        <f t="shared" si="15"/>
        <v>1</v>
      </c>
      <c r="AB43" s="1352">
        <f t="shared" si="16"/>
        <v>1</v>
      </c>
      <c r="AC43" s="1352">
        <f t="shared" si="17"/>
        <v>1</v>
      </c>
    </row>
    <row r="44" spans="1:29" s="108" customFormat="1" ht="15">
      <c r="A44" s="424"/>
      <c r="B44" s="3456" t="s">
        <v>3507</v>
      </c>
      <c r="C44" s="3457" t="s">
        <v>3508</v>
      </c>
      <c r="D44" s="127">
        <v>100</v>
      </c>
      <c r="E44" s="3457" t="s">
        <v>3526</v>
      </c>
      <c r="F44" s="376">
        <f>SUMIF(126:126,E44,127:127)-SUMIF(126:126,C44,127:127)+100</f>
        <v>95</v>
      </c>
      <c r="G44" s="3457" t="s">
        <v>3521</v>
      </c>
      <c r="H44" s="127">
        <f>SUMIF(126:126,G44,127:127)-SUMIF(126:126,C44,127:127)+100</f>
        <v>95</v>
      </c>
      <c r="I44" s="3457" t="s">
        <v>3509</v>
      </c>
      <c r="J44" s="127">
        <f>SUMIF(126:126,I44,127:127)-SUMIF(126:126,C44,127:127)+100</f>
        <v>95</v>
      </c>
      <c r="K44" s="1893"/>
      <c r="L44" s="2714"/>
      <c r="M44" s="2715"/>
      <c r="N44" s="2715"/>
      <c r="O44" s="2715"/>
      <c r="P44" s="3671"/>
      <c r="Q44" s="1342" t="str">
        <f t="shared" si="11"/>
        <v>景观</v>
      </c>
      <c r="R44" s="701" t="s">
        <v>18</v>
      </c>
      <c r="S44" s="702">
        <f t="shared" si="12"/>
        <v>95</v>
      </c>
      <c r="T44" s="701" t="s">
        <v>18</v>
      </c>
      <c r="U44" s="702">
        <f t="shared" si="13"/>
        <v>95</v>
      </c>
      <c r="V44" s="701" t="s">
        <v>18</v>
      </c>
      <c r="W44" s="702">
        <f t="shared" si="14"/>
        <v>95</v>
      </c>
      <c r="X44" s="703"/>
      <c r="Y44" s="3673"/>
      <c r="Z44" s="52" t="str">
        <f t="shared" si="18"/>
        <v>景观</v>
      </c>
      <c r="AA44" s="704">
        <f t="shared" si="15"/>
        <v>1.0526315789473684</v>
      </c>
      <c r="AB44" s="704">
        <f t="shared" si="16"/>
        <v>1.0526315789473684</v>
      </c>
      <c r="AC44" s="704">
        <f t="shared" si="17"/>
        <v>1.0526315789473684</v>
      </c>
    </row>
    <row r="45" spans="1:29" ht="15">
      <c r="A45" s="423"/>
      <c r="B45" s="3456" t="s">
        <v>3523</v>
      </c>
      <c r="C45" s="385">
        <v>2002</v>
      </c>
      <c r="D45" s="386">
        <v>100</v>
      </c>
      <c r="E45" s="385">
        <v>2005</v>
      </c>
      <c r="F45" s="412">
        <f>SUMIF(128:128,E45,129:129)-SUMIF(128:128,C45,129:129)+100</f>
        <v>100.5</v>
      </c>
      <c r="G45" s="385">
        <v>2002</v>
      </c>
      <c r="H45" s="386">
        <f>SUMIF(128:128,G45,129:129)-SUMIF(128:128,C45,129:129)+100</f>
        <v>100</v>
      </c>
      <c r="I45" s="385">
        <v>2005</v>
      </c>
      <c r="J45" s="386">
        <f>SUMIF(128:128,I45,129:129)-SUMIF(128:128,C45,129:129)+100</f>
        <v>100.5</v>
      </c>
      <c r="K45" s="1893"/>
      <c r="L45" s="2719"/>
      <c r="M45" s="2713"/>
      <c r="N45" s="2713"/>
      <c r="O45" s="2713"/>
      <c r="P45" s="3671"/>
      <c r="Q45" s="1351" t="str">
        <f t="shared" si="11"/>
        <v>建成年代</v>
      </c>
      <c r="R45" s="705" t="s">
        <v>18</v>
      </c>
      <c r="S45" s="706">
        <f t="shared" si="12"/>
        <v>100.5</v>
      </c>
      <c r="T45" s="705" t="s">
        <v>18</v>
      </c>
      <c r="U45" s="706">
        <f t="shared" si="13"/>
        <v>100</v>
      </c>
      <c r="V45" s="705" t="s">
        <v>18</v>
      </c>
      <c r="W45" s="706">
        <f t="shared" si="14"/>
        <v>100.5</v>
      </c>
      <c r="X45" s="1354"/>
      <c r="Y45" s="3673"/>
      <c r="Z45" s="1355" t="str">
        <f t="shared" si="18"/>
        <v>建成年代</v>
      </c>
      <c r="AA45" s="1352">
        <f t="shared" si="15"/>
        <v>0.99502487562189057</v>
      </c>
      <c r="AB45" s="1352">
        <f t="shared" si="16"/>
        <v>1</v>
      </c>
      <c r="AC45" s="1352">
        <f t="shared" si="17"/>
        <v>0.99502487562189057</v>
      </c>
    </row>
    <row r="46" spans="1:29" ht="15.6"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19"/>
      <c r="M46" s="2713"/>
      <c r="N46" s="2713"/>
      <c r="O46" s="2713"/>
      <c r="P46" s="3672"/>
      <c r="Q46" s="1351">
        <f t="shared" si="11"/>
        <v>111</v>
      </c>
      <c r="R46" s="705" t="s">
        <v>17</v>
      </c>
      <c r="S46" s="706">
        <f t="shared" si="12"/>
        <v>100</v>
      </c>
      <c r="T46" s="705" t="s">
        <v>17</v>
      </c>
      <c r="U46" s="706">
        <f t="shared" si="13"/>
        <v>100</v>
      </c>
      <c r="V46" s="705" t="s">
        <v>17</v>
      </c>
      <c r="W46" s="706">
        <f t="shared" si="14"/>
        <v>100</v>
      </c>
      <c r="X46" s="1354"/>
      <c r="Y46" s="3674"/>
      <c r="Z46" s="1355">
        <f t="shared" si="18"/>
        <v>111</v>
      </c>
      <c r="AA46" s="1352">
        <f t="shared" si="15"/>
        <v>1</v>
      </c>
      <c r="AB46" s="1352">
        <f t="shared" si="16"/>
        <v>1</v>
      </c>
      <c r="AC46" s="1352">
        <f t="shared" si="17"/>
        <v>1</v>
      </c>
    </row>
    <row r="47" spans="1:29" ht="14.4">
      <c r="A47" s="430" t="s">
        <v>1708</v>
      </c>
      <c r="B47" s="431"/>
      <c r="C47" s="1154" t="s">
        <v>16</v>
      </c>
      <c r="D47" s="1155"/>
      <c r="E47" s="1156">
        <v>116735</v>
      </c>
      <c r="F47" s="1157"/>
      <c r="G47" s="1158">
        <f>ROUND(25580000/196.6,0)</f>
        <v>130112</v>
      </c>
      <c r="H47" s="1159"/>
      <c r="I47" s="1156">
        <v>118893</v>
      </c>
      <c r="J47" s="1159"/>
      <c r="K47" s="1913"/>
      <c r="L47" s="2721"/>
      <c r="M47" s="2722"/>
      <c r="N47" s="2713"/>
      <c r="O47" s="2722"/>
      <c r="P47" s="3661" t="str">
        <f>A47</f>
        <v>成交单价（元/平方米）</v>
      </c>
      <c r="Q47" s="3661"/>
      <c r="R47" s="3662">
        <f>E47</f>
        <v>116735</v>
      </c>
      <c r="S47" s="3662"/>
      <c r="T47" s="3662">
        <f>G47</f>
        <v>130112</v>
      </c>
      <c r="U47" s="3662"/>
      <c r="V47" s="3662">
        <f>I47</f>
        <v>118893</v>
      </c>
      <c r="W47" s="3662"/>
      <c r="X47" s="690"/>
      <c r="Y47" s="712"/>
      <c r="Z47" s="690"/>
      <c r="AA47" s="690"/>
      <c r="AB47" s="690"/>
      <c r="AC47" s="690"/>
    </row>
    <row r="48" spans="1:29" ht="15" thickBot="1">
      <c r="A48" s="437" t="s">
        <v>1709</v>
      </c>
      <c r="B48" s="438"/>
      <c r="C48" s="1160">
        <f>R49</f>
        <v>131377</v>
      </c>
      <c r="D48" s="2316" t="s">
        <v>2136</v>
      </c>
      <c r="E48" s="1161">
        <f>R48</f>
        <v>127653</v>
      </c>
      <c r="F48" s="2317"/>
      <c r="G48" s="1160">
        <f>T48</f>
        <v>144590</v>
      </c>
      <c r="H48" s="2317"/>
      <c r="I48" s="1161">
        <f>V48</f>
        <v>121887</v>
      </c>
      <c r="J48" s="2317"/>
      <c r="K48" s="2318">
        <f>F48+H48+J48</f>
        <v>0</v>
      </c>
      <c r="L48" s="2721"/>
      <c r="M48" s="2722"/>
      <c r="N48" s="2722"/>
      <c r="O48" s="2722"/>
      <c r="P48" s="3661" t="str">
        <f>A48</f>
        <v>比较价值（元/平方米）</v>
      </c>
      <c r="Q48" s="3661"/>
      <c r="R48" s="3662">
        <f>IF(F1="售价",ROUND(PRODUCT(R47,AA7:AA46),0),ROUND(PRODUCT(R47,AA7:AA46),1))</f>
        <v>127653</v>
      </c>
      <c r="S48" s="3662"/>
      <c r="T48" s="3662">
        <f>IF(F1="售价",ROUND(PRODUCT(T47,AB7:AB46),0),ROUND(PRODUCT(T47,AB7:AB46),1))</f>
        <v>144590</v>
      </c>
      <c r="U48" s="3662"/>
      <c r="V48" s="3662">
        <f>IF(F1="售价",ROUND(PRODUCT(V47,AC7:AC46),0),ROUND(PRODUCT(V47,AC7:AC46),1))</f>
        <v>121887</v>
      </c>
      <c r="W48" s="3662"/>
      <c r="X48" s="690"/>
      <c r="Y48" s="690"/>
      <c r="Z48" s="690"/>
      <c r="AA48" s="690"/>
      <c r="AB48" s="690"/>
      <c r="AC48" s="690"/>
    </row>
    <row r="49" spans="1:29" ht="15" thickBot="1">
      <c r="A49" s="441" t="s">
        <v>1710</v>
      </c>
      <c r="B49" s="442"/>
      <c r="C49" s="1162">
        <f>R49</f>
        <v>131377</v>
      </c>
      <c r="D49" s="1163"/>
      <c r="E49" s="1163"/>
      <c r="F49" s="1163"/>
      <c r="G49" s="1163"/>
      <c r="H49" s="1163"/>
      <c r="I49" s="1163"/>
      <c r="J49" s="1163"/>
      <c r="K49" s="1914"/>
      <c r="L49" s="2721"/>
      <c r="M49" s="2722"/>
      <c r="N49" s="2722"/>
      <c r="O49" s="2722"/>
      <c r="P49" s="3663" t="str">
        <f>A49</f>
        <v>估价对象XX用房的比较价值（楼面单价，元/平方米）</v>
      </c>
      <c r="Q49" s="3664"/>
      <c r="R49" s="3665">
        <f>IF(F1="售价",ROUND(IF(D48="简单平均",AVERAGE(R48:V48),R48*F48+T48*H48+V48*J48),0),ROUND(IF(D48="简单平均",AVERAGE(R48:V48),R48*F48+T48*H48+V48*J48),1))</f>
        <v>131377</v>
      </c>
      <c r="S49" s="3665"/>
      <c r="T49" s="3665"/>
      <c r="U49" s="3665"/>
      <c r="V49" s="3665"/>
      <c r="W49" s="366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f>IF(E47&lt;E48,E48/E47-1,E47/E48-1)</f>
        <v>9.352807641238714E-2</v>
      </c>
      <c r="F52" s="449" t="str">
        <f>IF(OR(E52&gt;=0.3,E52&lt;=-0.3),"超过30%","")</f>
        <v/>
      </c>
      <c r="G52" s="448">
        <f>IF(G47&lt;G48,G48/G47-1,G47/G48-1)</f>
        <v>0.11127336448598135</v>
      </c>
      <c r="H52" s="449" t="str">
        <f>IF(OR(G52&gt;=0.3,G52&lt;=-0.3),"超过30%","")</f>
        <v/>
      </c>
      <c r="I52" s="448">
        <f>IF(I47&lt;I48,I48/I47-1,I47/I48-1)</f>
        <v>2.5182306780045849E-2</v>
      </c>
      <c r="J52" s="449" t="str">
        <f>IF(OR(I52&gt;=0.3,I52&lt;=-0.3),"超过30%","")</f>
        <v/>
      </c>
      <c r="K52" s="2727"/>
      <c r="L52" s="2723"/>
      <c r="M52" s="2722"/>
      <c r="N52" s="2722"/>
      <c r="O52" s="2722"/>
    </row>
    <row r="53" spans="1:29" ht="13.5" customHeight="1">
      <c r="A53" s="2722"/>
      <c r="B53" s="2722"/>
      <c r="C53" s="446" t="s">
        <v>1712</v>
      </c>
      <c r="D53" s="450"/>
      <c r="E53" s="448">
        <f>IF(E48&lt;G48,G48/E48-1,E48/G48-1)</f>
        <v>0.13267999968665056</v>
      </c>
      <c r="F53" s="449" t="str">
        <f>IF(OR(E53&gt;=0.2,E53&lt;=-0.2),"超过20%","")</f>
        <v/>
      </c>
      <c r="G53" s="448">
        <f>IF(G48&lt;I48,I48/G48-1,G48/I48-1)</f>
        <v>0.18626268593041106</v>
      </c>
      <c r="H53" s="449" t="str">
        <f>IF(OR(G53&gt;=0.2,G53&lt;=-0.2),"超过20%","")</f>
        <v/>
      </c>
      <c r="I53" s="448">
        <f>IF(I48&lt;E48,E48/I48-1,I48/E48-1)</f>
        <v>4.7306111398262241E-2</v>
      </c>
      <c r="J53" s="449" t="str">
        <f>IF(OR(I53&gt;=0.2,I53&lt;=-0.2),"超过20%","")</f>
        <v/>
      </c>
      <c r="K53" s="2727"/>
      <c r="L53" s="2723"/>
      <c r="M53" s="2722"/>
      <c r="N53" s="2722"/>
      <c r="O53" s="2722"/>
    </row>
    <row r="54" spans="1:29" s="451" customFormat="1" ht="13.5" customHeight="1">
      <c r="A54" s="2725"/>
      <c r="B54" s="2725"/>
      <c r="C54" s="446" t="s">
        <v>1713</v>
      </c>
      <c r="D54" s="450"/>
      <c r="E54" s="448">
        <f>IF(E47&lt;G47,G47/E47-1,E47/G47-1)</f>
        <v>0.11459288131237422</v>
      </c>
      <c r="F54" s="449" t="str">
        <f>IF(OR(E54&gt;=0.3,E54&lt;=-0.3),"超过30%","")</f>
        <v/>
      </c>
      <c r="G54" s="448">
        <f>IF(G47&lt;I47,I47/G47-1,G47/I47-1)</f>
        <v>9.4362157570252236E-2</v>
      </c>
      <c r="H54" s="449" t="str">
        <f>IF(OR(G54&gt;=0.3,G54&lt;=-0.3),"超过30%","")</f>
        <v/>
      </c>
      <c r="I54" s="448">
        <f>IF(I47&lt;E47,E47/I47-1,I47/E47-1)</f>
        <v>1.8486315158264377E-2</v>
      </c>
      <c r="J54" s="449" t="str">
        <f>IF(OR(I54&gt;=0.3,I54&lt;=-0.3),"超过30%","")</f>
        <v/>
      </c>
      <c r="K54" s="2730"/>
      <c r="L54" s="2724"/>
      <c r="M54" s="2725"/>
      <c r="N54" s="2725"/>
      <c r="O54" s="2725"/>
      <c r="P54" s="1916"/>
    </row>
    <row r="55" spans="1:29" s="451" customFormat="1">
      <c r="A55" s="2725"/>
      <c r="B55" s="2728"/>
      <c r="C55" s="2729"/>
      <c r="D55" s="2725"/>
      <c r="E55" s="2725"/>
      <c r="F55" s="2725"/>
      <c r="G55" s="2725"/>
      <c r="H55" s="2725"/>
      <c r="I55" s="2725"/>
      <c r="J55" s="2725"/>
      <c r="K55" s="2730"/>
      <c r="L55" s="2724"/>
      <c r="M55" s="2725"/>
      <c r="N55" s="2725"/>
      <c r="O55" s="2725"/>
      <c r="P55" s="1916"/>
    </row>
    <row r="56" spans="1:29">
      <c r="A56" s="2722"/>
      <c r="B56" s="2728"/>
      <c r="C56" s="2729"/>
      <c r="D56" s="2722"/>
      <c r="E56" s="2722"/>
      <c r="F56" s="2722"/>
      <c r="G56" s="2722"/>
      <c r="H56" s="2722"/>
      <c r="I56" s="2722"/>
      <c r="J56" s="2722"/>
      <c r="K56" s="2727"/>
      <c r="L56" s="2723"/>
      <c r="M56" s="2722"/>
      <c r="N56" s="2722"/>
      <c r="O56" s="2722"/>
    </row>
    <row r="57" spans="1:29" ht="22.2" thickBot="1">
      <c r="A57" s="694" t="s">
        <v>1714</v>
      </c>
      <c r="B57" s="690"/>
      <c r="C57" s="695"/>
      <c r="D57" s="695"/>
      <c r="E57" s="695"/>
      <c r="F57" s="696"/>
      <c r="G57" s="696"/>
      <c r="H57" s="695"/>
      <c r="I57" s="695"/>
      <c r="J57" s="695"/>
      <c r="K57" s="941"/>
      <c r="L57" s="942"/>
      <c r="M57" s="940"/>
      <c r="N57" s="940"/>
      <c r="O57" s="940"/>
      <c r="P57" s="1917"/>
      <c r="Q57" s="453"/>
    </row>
    <row r="58" spans="1:29" s="457" customFormat="1" ht="14.4">
      <c r="A58" s="454" t="s">
        <v>1715</v>
      </c>
      <c r="B58" s="455"/>
      <c r="C58" s="1185" t="str">
        <f>YEAR(C7)&amp;"-"&amp;MONTH(C7)</f>
        <v>2024-11</v>
      </c>
      <c r="D58" s="1184">
        <f>EDATE(C58,-1)</f>
        <v>45566</v>
      </c>
      <c r="E58" s="1184">
        <f>EDATE(D58,-1)</f>
        <v>45536</v>
      </c>
      <c r="F58" s="1184">
        <f t="shared" ref="F58:O58" si="19">EDATE(E58,-1)</f>
        <v>45505</v>
      </c>
      <c r="G58" s="1184">
        <f t="shared" si="19"/>
        <v>45474</v>
      </c>
      <c r="H58" s="1184">
        <f t="shared" si="19"/>
        <v>45444</v>
      </c>
      <c r="I58" s="1184">
        <f t="shared" si="19"/>
        <v>45413</v>
      </c>
      <c r="J58" s="1184">
        <f t="shared" si="19"/>
        <v>45383</v>
      </c>
      <c r="K58" s="1184">
        <f t="shared" si="19"/>
        <v>45352</v>
      </c>
      <c r="L58" s="1184">
        <f t="shared" si="19"/>
        <v>45323</v>
      </c>
      <c r="M58" s="1184">
        <f t="shared" si="19"/>
        <v>45292</v>
      </c>
      <c r="N58" s="1184">
        <f t="shared" si="19"/>
        <v>45261</v>
      </c>
      <c r="O58" s="1184">
        <f t="shared" si="19"/>
        <v>45231</v>
      </c>
      <c r="P58" s="3459">
        <f t="shared" ref="P58" si="20">EDATE(O58,-1)</f>
        <v>45200</v>
      </c>
      <c r="Q58" s="3459">
        <f t="shared" ref="Q58" si="21">EDATE(P58,-1)</f>
        <v>45170</v>
      </c>
      <c r="R58" s="3459">
        <f t="shared" ref="R58" si="22">EDATE(Q58,-1)</f>
        <v>45139</v>
      </c>
      <c r="S58" s="3459">
        <f t="shared" ref="S58" si="23">EDATE(R58,-1)</f>
        <v>45108</v>
      </c>
      <c r="T58" s="3459">
        <f t="shared" ref="T58" si="24">EDATE(S58,-1)</f>
        <v>45078</v>
      </c>
      <c r="U58" s="3459">
        <f t="shared" ref="U58" si="25">EDATE(T58,-1)</f>
        <v>45047</v>
      </c>
      <c r="V58" s="3459">
        <f t="shared" ref="V58" si="26">EDATE(U58,-1)</f>
        <v>45017</v>
      </c>
      <c r="W58" s="3459">
        <f t="shared" ref="W58" si="27">EDATE(V58,-1)</f>
        <v>44986</v>
      </c>
      <c r="X58" s="3459">
        <f t="shared" ref="X58" si="28">EDATE(W58,-1)</f>
        <v>44958</v>
      </c>
      <c r="Y58" s="3459">
        <f t="shared" ref="Y58" si="29">EDATE(X58,-1)</f>
        <v>44927</v>
      </c>
    </row>
    <row r="59" spans="1:29" s="108" customFormat="1">
      <c r="A59" s="458"/>
      <c r="B59" s="1918"/>
      <c r="C59" s="1182">
        <v>100</v>
      </c>
      <c r="D59" s="460">
        <f>C59</f>
        <v>100</v>
      </c>
      <c r="E59" s="461">
        <f>C59</f>
        <v>100</v>
      </c>
      <c r="F59" s="461">
        <f>C59+C60</f>
        <v>100.2</v>
      </c>
      <c r="G59" s="461">
        <f>F59</f>
        <v>100.2</v>
      </c>
      <c r="H59" s="461">
        <f>F59</f>
        <v>100.2</v>
      </c>
      <c r="I59" s="461">
        <f>F59+C60</f>
        <v>100.4</v>
      </c>
      <c r="J59" s="461">
        <f>I59</f>
        <v>100.4</v>
      </c>
      <c r="K59" s="461">
        <f>I59</f>
        <v>100.4</v>
      </c>
      <c r="L59" s="461">
        <f>I59+C60</f>
        <v>100.60000000000001</v>
      </c>
      <c r="M59" s="462">
        <f>L59</f>
        <v>100.60000000000001</v>
      </c>
      <c r="N59" s="461">
        <f>L59</f>
        <v>100.60000000000001</v>
      </c>
      <c r="O59" s="462">
        <f>L59+C60</f>
        <v>100.80000000000001</v>
      </c>
      <c r="P59" s="1919">
        <f>O59</f>
        <v>100.80000000000001</v>
      </c>
      <c r="Q59" s="108">
        <f>O59</f>
        <v>100.80000000000001</v>
      </c>
      <c r="R59" s="108">
        <f>O59+C60</f>
        <v>101.00000000000001</v>
      </c>
      <c r="S59" s="108">
        <f>R59</f>
        <v>101.00000000000001</v>
      </c>
      <c r="T59" s="108">
        <f>R59</f>
        <v>101.00000000000001</v>
      </c>
      <c r="U59" s="108">
        <f>R59+C60</f>
        <v>101.20000000000002</v>
      </c>
      <c r="V59" s="108">
        <f>U59</f>
        <v>101.20000000000002</v>
      </c>
      <c r="W59" s="108">
        <v>101.2</v>
      </c>
    </row>
    <row r="60" spans="1:29" s="108" customFormat="1" ht="15" thickBot="1">
      <c r="A60" s="464" t="s">
        <v>1716</v>
      </c>
      <c r="B60" s="465"/>
      <c r="C60" s="466">
        <v>0.2</v>
      </c>
      <c r="D60" s="467"/>
      <c r="E60" s="467"/>
      <c r="F60" s="467"/>
      <c r="G60" s="467"/>
      <c r="H60" s="467"/>
      <c r="I60" s="467"/>
      <c r="J60" s="467"/>
      <c r="K60" s="467"/>
      <c r="L60" s="467"/>
      <c r="M60" s="468"/>
      <c r="N60" s="467"/>
      <c r="O60" s="468"/>
      <c r="P60" s="1919"/>
      <c r="Q60" s="453"/>
    </row>
    <row r="61" spans="1:29" s="108" customFormat="1" ht="14.4">
      <c r="A61" s="470" t="s">
        <v>1717</v>
      </c>
      <c r="B61" s="459"/>
      <c r="C61" s="471" t="s">
        <v>1718</v>
      </c>
      <c r="D61" s="472"/>
      <c r="E61" s="472"/>
      <c r="F61" s="472"/>
      <c r="G61" s="472"/>
      <c r="H61" s="472"/>
      <c r="I61" s="472"/>
      <c r="J61" s="472"/>
      <c r="K61" s="472"/>
      <c r="L61" s="473"/>
      <c r="M61" s="474"/>
      <c r="N61" s="932"/>
      <c r="O61" s="932"/>
      <c r="P61" s="1920"/>
      <c r="Q61" s="453"/>
    </row>
    <row r="62" spans="1:29" s="108" customFormat="1" ht="14.4" thickBot="1">
      <c r="A62" s="470"/>
      <c r="B62" s="459"/>
      <c r="C62" s="460">
        <v>100</v>
      </c>
      <c r="D62" s="461"/>
      <c r="E62" s="461"/>
      <c r="F62" s="461"/>
      <c r="G62" s="461"/>
      <c r="H62" s="461"/>
      <c r="I62" s="461"/>
      <c r="J62" s="461"/>
      <c r="K62" s="461"/>
      <c r="L62" s="461"/>
      <c r="M62" s="463"/>
      <c r="N62" s="932"/>
      <c r="O62" s="932"/>
      <c r="P62" s="1919"/>
      <c r="Q62" s="453"/>
    </row>
    <row r="63" spans="1:29" ht="14.4">
      <c r="A63" s="476" t="s">
        <v>1719</v>
      </c>
      <c r="B63" s="477" t="s">
        <v>1685</v>
      </c>
      <c r="C63" s="478" t="str">
        <f>C9</f>
        <v>住宅</v>
      </c>
      <c r="D63" s="479"/>
      <c r="E63" s="479"/>
      <c r="F63" s="479"/>
      <c r="G63" s="479"/>
      <c r="H63" s="479"/>
      <c r="I63" s="479"/>
      <c r="J63" s="479"/>
      <c r="K63" s="480"/>
      <c r="L63" s="481"/>
      <c r="M63" s="482"/>
      <c r="N63" s="933"/>
      <c r="O63" s="933"/>
      <c r="P63" s="1921"/>
      <c r="Q63" s="453"/>
    </row>
    <row r="64" spans="1:29" ht="14.4" thickBot="1">
      <c r="A64" s="483"/>
      <c r="B64" s="484"/>
      <c r="C64" s="485">
        <v>100</v>
      </c>
      <c r="D64" s="485"/>
      <c r="E64" s="485"/>
      <c r="F64" s="485"/>
      <c r="G64" s="485"/>
      <c r="H64" s="485"/>
      <c r="I64" s="485"/>
      <c r="J64" s="485"/>
      <c r="K64" s="485"/>
      <c r="L64" s="485"/>
      <c r="M64" s="486"/>
      <c r="N64" s="934"/>
      <c r="O64" s="934"/>
      <c r="P64" s="1921"/>
      <c r="Q64" s="453"/>
    </row>
    <row r="65" spans="1:17" ht="29.4" thickTop="1">
      <c r="A65" s="483"/>
      <c r="B65" s="487" t="s">
        <v>1688</v>
      </c>
      <c r="C65" s="532"/>
      <c r="D65" s="532"/>
      <c r="E65" s="532"/>
      <c r="F65" s="532"/>
      <c r="G65" s="532"/>
      <c r="H65" s="532"/>
      <c r="I65" s="532"/>
      <c r="J65" s="532"/>
      <c r="K65" s="532"/>
      <c r="L65" s="532"/>
      <c r="M65" s="532"/>
      <c r="N65" s="934"/>
      <c r="O65" s="934"/>
      <c r="P65" s="1921"/>
      <c r="Q65" s="453"/>
    </row>
    <row r="66" spans="1:17" ht="14.4" thickBot="1">
      <c r="A66" s="483"/>
      <c r="B66" s="492"/>
      <c r="C66" s="485"/>
      <c r="D66" s="485"/>
      <c r="E66" s="485"/>
      <c r="F66" s="485"/>
      <c r="G66" s="485"/>
      <c r="H66" s="485"/>
      <c r="I66" s="485"/>
      <c r="J66" s="485"/>
      <c r="K66" s="485"/>
      <c r="L66" s="485"/>
      <c r="M66" s="486"/>
      <c r="N66" s="934"/>
      <c r="O66" s="934"/>
      <c r="P66" s="1921"/>
      <c r="Q66" s="453"/>
    </row>
    <row r="67" spans="1:17" ht="15" thickTop="1">
      <c r="A67" s="483"/>
      <c r="B67" s="495" t="s">
        <v>1689</v>
      </c>
      <c r="C67" s="496" t="str">
        <f>C68&amp;"（含）"&amp;"-"&amp;D68</f>
        <v>1（含）-3</v>
      </c>
      <c r="D67" s="496" t="str">
        <f t="shared" ref="D67:L67" si="30">D68&amp;"（含）"&amp;"-"&amp;E68</f>
        <v>3（含）-</v>
      </c>
      <c r="E67" s="496" t="str">
        <f t="shared" si="30"/>
        <v>（含）-</v>
      </c>
      <c r="F67" s="496" t="str">
        <f t="shared" si="30"/>
        <v>（含）-</v>
      </c>
      <c r="G67" s="496" t="str">
        <f t="shared" si="30"/>
        <v>（含）-</v>
      </c>
      <c r="H67" s="496" t="str">
        <f t="shared" si="30"/>
        <v>（含）-</v>
      </c>
      <c r="I67" s="496" t="str">
        <f t="shared" si="30"/>
        <v>（含）-</v>
      </c>
      <c r="J67" s="496" t="str">
        <f t="shared" si="30"/>
        <v>（含）-</v>
      </c>
      <c r="K67" s="496" t="str">
        <f>K68&amp;"（含）"&amp;"-"&amp;L68</f>
        <v>（含）-</v>
      </c>
      <c r="L67" s="496" t="str">
        <f t="shared" si="30"/>
        <v>（含）-</v>
      </c>
      <c r="M67" s="399" t="str">
        <f>M68&amp;"（含）"&amp;"-"&amp;P68</f>
        <v>（含）-</v>
      </c>
      <c r="N67" s="934"/>
      <c r="O67" s="934"/>
      <c r="P67" s="1921"/>
      <c r="Q67" s="453"/>
    </row>
    <row r="68" spans="1:17">
      <c r="A68" s="483"/>
      <c r="B68" s="497"/>
      <c r="C68" s="498">
        <v>1</v>
      </c>
      <c r="D68" s="498">
        <v>3</v>
      </c>
      <c r="E68" s="498"/>
      <c r="F68" s="498"/>
      <c r="G68" s="498"/>
      <c r="H68" s="498"/>
      <c r="I68" s="498"/>
      <c r="J68" s="498"/>
      <c r="K68" s="499"/>
      <c r="L68" s="500"/>
      <c r="M68" s="501"/>
      <c r="N68" s="933"/>
      <c r="O68" s="933"/>
      <c r="P68" s="1921"/>
      <c r="Q68" s="453"/>
    </row>
    <row r="69" spans="1:17" ht="14.4" thickBot="1">
      <c r="A69" s="483"/>
      <c r="B69" s="484"/>
      <c r="C69" s="493">
        <v>100</v>
      </c>
      <c r="D69" s="493">
        <f t="shared" ref="D69:M69" si="31">C69-$K11</f>
        <v>100</v>
      </c>
      <c r="E69" s="493">
        <f t="shared" si="31"/>
        <v>100</v>
      </c>
      <c r="F69" s="493">
        <f t="shared" si="31"/>
        <v>100</v>
      </c>
      <c r="G69" s="493">
        <f t="shared" si="31"/>
        <v>100</v>
      </c>
      <c r="H69" s="493">
        <f t="shared" si="31"/>
        <v>100</v>
      </c>
      <c r="I69" s="493">
        <f t="shared" si="31"/>
        <v>100</v>
      </c>
      <c r="J69" s="493">
        <f t="shared" si="31"/>
        <v>100</v>
      </c>
      <c r="K69" s="493">
        <f t="shared" si="31"/>
        <v>100</v>
      </c>
      <c r="L69" s="493">
        <f t="shared" si="31"/>
        <v>100</v>
      </c>
      <c r="M69" s="494">
        <f t="shared" si="31"/>
        <v>100</v>
      </c>
      <c r="N69" s="934"/>
      <c r="O69" s="934"/>
      <c r="P69" s="1921"/>
      <c r="Q69" s="453"/>
    </row>
    <row r="70" spans="1:17" s="422" customFormat="1" ht="14.4" thickTop="1">
      <c r="A70" s="502"/>
      <c r="B70" s="487">
        <f>B12</f>
        <v>111</v>
      </c>
      <c r="C70" s="503"/>
      <c r="D70" s="503"/>
      <c r="E70" s="503"/>
      <c r="F70" s="503"/>
      <c r="G70" s="503"/>
      <c r="H70" s="504"/>
      <c r="I70" s="504"/>
      <c r="J70" s="504"/>
      <c r="K70" s="504"/>
      <c r="L70" s="505"/>
      <c r="M70" s="506"/>
      <c r="N70" s="935"/>
      <c r="O70" s="935"/>
      <c r="P70" s="1922"/>
      <c r="Q70" s="508"/>
    </row>
    <row r="71" spans="1:17" s="422" customFormat="1" ht="14.4" thickBot="1">
      <c r="A71" s="502"/>
      <c r="B71" s="492"/>
      <c r="C71" s="509"/>
      <c r="D71" s="485"/>
      <c r="E71" s="485"/>
      <c r="F71" s="485"/>
      <c r="G71" s="485"/>
      <c r="H71" s="485"/>
      <c r="I71" s="485"/>
      <c r="J71" s="485"/>
      <c r="K71" s="485"/>
      <c r="L71" s="485"/>
      <c r="M71" s="486"/>
      <c r="N71" s="934"/>
      <c r="O71" s="934"/>
      <c r="P71" s="1922"/>
      <c r="Q71" s="508"/>
    </row>
    <row r="72" spans="1:17" s="422" customFormat="1" ht="14.4" thickTop="1">
      <c r="A72" s="502"/>
      <c r="B72" s="487">
        <f>B13</f>
        <v>111</v>
      </c>
      <c r="C72" s="503"/>
      <c r="D72" s="503"/>
      <c r="E72" s="503"/>
      <c r="F72" s="503"/>
      <c r="G72" s="503"/>
      <c r="H72" s="504"/>
      <c r="I72" s="504"/>
      <c r="J72" s="504"/>
      <c r="K72" s="504"/>
      <c r="L72" s="505"/>
      <c r="M72" s="506"/>
      <c r="N72" s="935"/>
      <c r="O72" s="935"/>
      <c r="P72" s="1923"/>
      <c r="Q72" s="510"/>
    </row>
    <row r="73" spans="1:17" s="422" customFormat="1" ht="14.4" thickBot="1">
      <c r="A73" s="502"/>
      <c r="B73" s="492"/>
      <c r="C73" s="509"/>
      <c r="D73" s="509"/>
      <c r="E73" s="509"/>
      <c r="F73" s="509"/>
      <c r="G73" s="509"/>
      <c r="H73" s="511"/>
      <c r="I73" s="511"/>
      <c r="J73" s="511"/>
      <c r="K73" s="511"/>
      <c r="L73" s="511"/>
      <c r="M73" s="512"/>
      <c r="N73" s="935"/>
      <c r="O73" s="935"/>
      <c r="P73" s="1922"/>
      <c r="Q73" s="508"/>
    </row>
    <row r="74" spans="1:17" s="422" customFormat="1" ht="14.4" thickTop="1">
      <c r="A74" s="502"/>
      <c r="B74" s="495">
        <f>B14</f>
        <v>111</v>
      </c>
      <c r="C74" s="503"/>
      <c r="D74" s="503"/>
      <c r="E74" s="503"/>
      <c r="F74" s="503"/>
      <c r="G74" s="472"/>
      <c r="H74" s="513"/>
      <c r="I74" s="513"/>
      <c r="J74" s="513"/>
      <c r="K74" s="513"/>
      <c r="L74" s="514"/>
      <c r="M74" s="515"/>
      <c r="N74" s="935"/>
      <c r="O74" s="935"/>
      <c r="P74" s="1924"/>
      <c r="Q74" s="508"/>
    </row>
    <row r="75" spans="1:17" s="422" customFormat="1" ht="14.4" thickBot="1">
      <c r="A75" s="517"/>
      <c r="B75" s="518"/>
      <c r="C75" s="519"/>
      <c r="D75" s="519"/>
      <c r="E75" s="519"/>
      <c r="F75" s="519"/>
      <c r="G75" s="519"/>
      <c r="H75" s="520"/>
      <c r="I75" s="520"/>
      <c r="J75" s="520"/>
      <c r="K75" s="520"/>
      <c r="L75" s="520"/>
      <c r="M75" s="521"/>
      <c r="N75" s="935"/>
      <c r="O75" s="935"/>
      <c r="P75" s="1922"/>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5"/>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1"/>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1"/>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1"/>
      <c r="Q82" s="453"/>
    </row>
    <row r="83" spans="1:17" ht="14.4" thickBot="1">
      <c r="A83" s="483"/>
      <c r="B83" s="495"/>
      <c r="C83" s="608">
        <v>100</v>
      </c>
      <c r="D83" s="608">
        <f>C83-$K21</f>
        <v>100</v>
      </c>
      <c r="E83" s="608">
        <f t="shared" ref="E83:G83" si="32">D83-$K21</f>
        <v>100</v>
      </c>
      <c r="F83" s="608">
        <f t="shared" si="32"/>
        <v>100</v>
      </c>
      <c r="G83" s="608">
        <f t="shared" si="32"/>
        <v>100</v>
      </c>
      <c r="H83" s="608"/>
      <c r="I83" s="608"/>
      <c r="J83" s="608"/>
      <c r="K83" s="608"/>
      <c r="L83" s="608"/>
      <c r="M83" s="401"/>
      <c r="N83" s="934"/>
      <c r="O83" s="934"/>
      <c r="P83" s="1921"/>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1"/>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 thickTop="1">
      <c r="A86" s="528"/>
      <c r="B86" s="487" t="s">
        <v>1734</v>
      </c>
      <c r="C86" s="503"/>
      <c r="D86" s="503"/>
      <c r="E86" s="503"/>
      <c r="F86" s="503"/>
      <c r="G86" s="503"/>
      <c r="H86" s="503"/>
      <c r="I86" s="503"/>
      <c r="J86" s="503"/>
      <c r="K86" s="503"/>
      <c r="L86" s="529"/>
      <c r="M86" s="530"/>
      <c r="N86" s="932"/>
      <c r="O86" s="932"/>
      <c r="P86" s="1921"/>
      <c r="Q86" s="453"/>
    </row>
    <row r="87" spans="1:17" s="108" customFormat="1" ht="14.4" thickBot="1">
      <c r="A87" s="528"/>
      <c r="B87" s="492"/>
      <c r="C87" s="531">
        <v>100</v>
      </c>
      <c r="D87" s="493">
        <f t="shared" ref="D87:M87" si="33">$C$87-($C$86-D86)*$K$25</f>
        <v>100</v>
      </c>
      <c r="E87" s="493">
        <f t="shared" si="33"/>
        <v>100</v>
      </c>
      <c r="F87" s="493">
        <f t="shared" si="33"/>
        <v>100</v>
      </c>
      <c r="G87" s="493">
        <f t="shared" si="33"/>
        <v>100</v>
      </c>
      <c r="H87" s="493">
        <f t="shared" si="33"/>
        <v>100</v>
      </c>
      <c r="I87" s="493">
        <f t="shared" si="33"/>
        <v>100</v>
      </c>
      <c r="J87" s="493">
        <f t="shared" si="33"/>
        <v>100</v>
      </c>
      <c r="K87" s="493">
        <f t="shared" si="33"/>
        <v>100</v>
      </c>
      <c r="L87" s="493">
        <f t="shared" si="33"/>
        <v>100</v>
      </c>
      <c r="M87" s="493">
        <f t="shared" si="33"/>
        <v>100</v>
      </c>
      <c r="N87" s="934"/>
      <c r="O87" s="934"/>
      <c r="P87" s="1921"/>
      <c r="Q87" s="453"/>
    </row>
    <row r="88" spans="1:17" s="108" customFormat="1" ht="15" thickTop="1">
      <c r="A88" s="528"/>
      <c r="B88" s="487" t="s">
        <v>1735</v>
      </c>
      <c r="C88" s="3453" t="s">
        <v>3494</v>
      </c>
      <c r="D88" s="3453" t="s">
        <v>3496</v>
      </c>
      <c r="E88" s="3453" t="s">
        <v>3497</v>
      </c>
      <c r="F88" s="3458" t="s">
        <v>3512</v>
      </c>
      <c r="G88" s="3453" t="s">
        <v>3513</v>
      </c>
      <c r="H88" s="3453" t="s">
        <v>3514</v>
      </c>
      <c r="I88" s="3453" t="s">
        <v>3515</v>
      </c>
      <c r="J88" s="503"/>
      <c r="K88" s="503"/>
      <c r="L88" s="503"/>
      <c r="M88" s="530"/>
      <c r="N88" s="932"/>
      <c r="O88" s="932"/>
      <c r="P88" s="1921"/>
      <c r="Q88" s="453"/>
    </row>
    <row r="89" spans="1:17" s="108" customFormat="1" ht="14.4" thickBot="1">
      <c r="A89" s="528"/>
      <c r="B89" s="492"/>
      <c r="C89" s="531">
        <v>100</v>
      </c>
      <c r="D89" s="493">
        <f t="shared" ref="D89:M89" si="34">C89-$K26</f>
        <v>98</v>
      </c>
      <c r="E89" s="493">
        <f t="shared" si="34"/>
        <v>96</v>
      </c>
      <c r="F89" s="493">
        <f t="shared" si="34"/>
        <v>94</v>
      </c>
      <c r="G89" s="493">
        <f t="shared" si="34"/>
        <v>92</v>
      </c>
      <c r="H89" s="493">
        <f t="shared" si="34"/>
        <v>90</v>
      </c>
      <c r="I89" s="493">
        <f t="shared" si="34"/>
        <v>88</v>
      </c>
      <c r="J89" s="493">
        <f t="shared" si="34"/>
        <v>86</v>
      </c>
      <c r="K89" s="493">
        <f t="shared" si="34"/>
        <v>84</v>
      </c>
      <c r="L89" s="493">
        <f t="shared" si="34"/>
        <v>82</v>
      </c>
      <c r="M89" s="493">
        <f t="shared" si="34"/>
        <v>80</v>
      </c>
      <c r="N89" s="934"/>
      <c r="O89" s="934"/>
      <c r="P89" s="1921"/>
      <c r="Q89" s="453"/>
    </row>
    <row r="90" spans="1:17" s="422" customFormat="1" ht="14.4" thickTop="1">
      <c r="A90" s="502"/>
      <c r="B90" s="487" t="str">
        <f>B27</f>
        <v>楼层</v>
      </c>
      <c r="C90" s="503"/>
      <c r="D90" s="503"/>
      <c r="E90" s="503"/>
      <c r="F90" s="503"/>
      <c r="G90" s="503"/>
      <c r="H90" s="504"/>
      <c r="I90" s="504"/>
      <c r="J90" s="504"/>
      <c r="K90" s="504"/>
      <c r="L90" s="505"/>
      <c r="M90" s="506"/>
      <c r="N90" s="935"/>
      <c r="O90" s="935"/>
      <c r="P90" s="1922"/>
      <c r="Q90" s="508"/>
    </row>
    <row r="91" spans="1:17" s="422" customFormat="1" ht="14.4" thickBot="1">
      <c r="A91" s="502"/>
      <c r="B91" s="492"/>
      <c r="C91" s="509"/>
      <c r="D91" s="509"/>
      <c r="E91" s="509"/>
      <c r="F91" s="509"/>
      <c r="G91" s="509"/>
      <c r="H91" s="511"/>
      <c r="I91" s="511"/>
      <c r="J91" s="511"/>
      <c r="K91" s="511"/>
      <c r="L91" s="511"/>
      <c r="M91" s="512"/>
      <c r="N91" s="935"/>
      <c r="O91" s="935"/>
      <c r="P91" s="1922"/>
      <c r="Q91" s="508"/>
    </row>
    <row r="92" spans="1:17" ht="14.4" thickTop="1">
      <c r="A92" s="483"/>
      <c r="B92" s="487">
        <f>B28</f>
        <v>111</v>
      </c>
      <c r="C92" s="503"/>
      <c r="D92" s="503"/>
      <c r="E92" s="503"/>
      <c r="F92" s="503"/>
      <c r="G92" s="532"/>
      <c r="H92" s="532"/>
      <c r="I92" s="532"/>
      <c r="J92" s="532"/>
      <c r="K92" s="533"/>
      <c r="L92" s="534"/>
      <c r="M92" s="535"/>
      <c r="N92" s="933"/>
      <c r="O92" s="933"/>
      <c r="P92" s="1921"/>
      <c r="Q92" s="453"/>
    </row>
    <row r="93" spans="1:17" ht="14.4" thickBot="1">
      <c r="A93" s="483"/>
      <c r="B93" s="492"/>
      <c r="C93" s="509"/>
      <c r="D93" s="485"/>
      <c r="E93" s="485"/>
      <c r="F93" s="485"/>
      <c r="G93" s="485"/>
      <c r="H93" s="485"/>
      <c r="I93" s="485"/>
      <c r="J93" s="485"/>
      <c r="K93" s="485"/>
      <c r="L93" s="485"/>
      <c r="M93" s="486"/>
      <c r="N93" s="934"/>
      <c r="O93" s="934"/>
      <c r="P93" s="1921"/>
      <c r="Q93" s="453"/>
    </row>
    <row r="94" spans="1:17" ht="14.4" thickTop="1">
      <c r="A94" s="483"/>
      <c r="B94" s="487">
        <f>B29</f>
        <v>111</v>
      </c>
      <c r="C94" s="503"/>
      <c r="D94" s="503"/>
      <c r="E94" s="503"/>
      <c r="F94" s="503"/>
      <c r="G94" s="532"/>
      <c r="H94" s="532"/>
      <c r="I94" s="532"/>
      <c r="J94" s="532"/>
      <c r="K94" s="533"/>
      <c r="L94" s="534"/>
      <c r="M94" s="535"/>
      <c r="N94" s="933"/>
      <c r="O94" s="933"/>
      <c r="P94" s="1921"/>
      <c r="Q94" s="453"/>
    </row>
    <row r="95" spans="1:17" ht="14.4" thickBot="1">
      <c r="A95" s="483"/>
      <c r="B95" s="492"/>
      <c r="C95" s="509"/>
      <c r="D95" s="509"/>
      <c r="E95" s="509"/>
      <c r="F95" s="509"/>
      <c r="G95" s="485"/>
      <c r="H95" s="485"/>
      <c r="I95" s="485"/>
      <c r="J95" s="485"/>
      <c r="K95" s="485"/>
      <c r="L95" s="485"/>
      <c r="M95" s="486"/>
      <c r="N95" s="934"/>
      <c r="O95" s="934"/>
      <c r="P95" s="1921"/>
      <c r="Q95" s="453"/>
    </row>
    <row r="96" spans="1:17" ht="14.4" thickTop="1">
      <c r="A96" s="483"/>
      <c r="B96" s="487">
        <f>B30</f>
        <v>111</v>
      </c>
      <c r="C96" s="503"/>
      <c r="D96" s="503"/>
      <c r="E96" s="503"/>
      <c r="F96" s="503"/>
      <c r="G96" s="532"/>
      <c r="H96" s="532"/>
      <c r="I96" s="532"/>
      <c r="J96" s="532"/>
      <c r="K96" s="533"/>
      <c r="L96" s="534"/>
      <c r="M96" s="535"/>
      <c r="N96" s="933"/>
      <c r="O96" s="933"/>
      <c r="P96" s="1921"/>
      <c r="Q96" s="453"/>
    </row>
    <row r="97" spans="1:17" ht="14.4" thickBot="1">
      <c r="A97" s="483"/>
      <c r="B97" s="492"/>
      <c r="C97" s="519"/>
      <c r="D97" s="519"/>
      <c r="E97" s="519"/>
      <c r="F97" s="519"/>
      <c r="G97" s="485"/>
      <c r="H97" s="485"/>
      <c r="I97" s="485"/>
      <c r="J97" s="485"/>
      <c r="K97" s="485"/>
      <c r="L97" s="485"/>
      <c r="M97" s="486"/>
      <c r="N97" s="934"/>
      <c r="O97" s="934"/>
      <c r="P97" s="1921"/>
      <c r="Q97" s="453"/>
    </row>
    <row r="98" spans="1:17" ht="14.4" thickTop="1">
      <c r="A98" s="483"/>
      <c r="B98" s="495">
        <f>B31</f>
        <v>111</v>
      </c>
      <c r="C98" s="536"/>
      <c r="D98" s="536"/>
      <c r="E98" s="536"/>
      <c r="F98" s="536"/>
      <c r="G98" s="536"/>
      <c r="H98" s="536"/>
      <c r="I98" s="536"/>
      <c r="J98" s="536"/>
      <c r="K98" s="537"/>
      <c r="L98" s="538"/>
      <c r="M98" s="539"/>
      <c r="N98" s="933"/>
      <c r="O98" s="933"/>
      <c r="P98" s="1921"/>
      <c r="Q98" s="453"/>
    </row>
    <row r="99" spans="1:17" ht="14.4" thickBot="1">
      <c r="A99" s="1927"/>
      <c r="B99" s="518"/>
      <c r="C99" s="540"/>
      <c r="D99" s="540"/>
      <c r="E99" s="540"/>
      <c r="F99" s="540"/>
      <c r="G99" s="540"/>
      <c r="H99" s="540"/>
      <c r="I99" s="540"/>
      <c r="J99" s="540"/>
      <c r="K99" s="540"/>
      <c r="L99" s="540"/>
      <c r="M99" s="541"/>
      <c r="N99" s="934"/>
      <c r="O99" s="934"/>
      <c r="P99" s="1921"/>
      <c r="Q99" s="453"/>
    </row>
    <row r="100" spans="1:17" ht="14.4">
      <c r="A100" s="476" t="s">
        <v>1694</v>
      </c>
      <c r="B100" s="477" t="s">
        <v>1736</v>
      </c>
      <c r="C100" s="3454" t="s">
        <v>3499</v>
      </c>
      <c r="D100" s="479"/>
      <c r="E100" s="479"/>
      <c r="F100" s="479"/>
      <c r="G100" s="479"/>
      <c r="H100" s="479"/>
      <c r="I100" s="479"/>
      <c r="J100" s="479"/>
      <c r="K100" s="480"/>
      <c r="L100" s="481"/>
      <c r="M100" s="482"/>
      <c r="N100" s="933"/>
      <c r="O100" s="933"/>
      <c r="P100" s="1921"/>
      <c r="Q100" s="453"/>
    </row>
    <row r="101" spans="1:17" ht="14.4" thickBot="1">
      <c r="A101" s="483"/>
      <c r="B101" s="492"/>
      <c r="C101" s="493">
        <v>100</v>
      </c>
      <c r="D101" s="493">
        <f t="shared" ref="D101:M101" si="35">C101-$K32</f>
        <v>100</v>
      </c>
      <c r="E101" s="493">
        <f t="shared" si="35"/>
        <v>100</v>
      </c>
      <c r="F101" s="493">
        <f t="shared" si="35"/>
        <v>100</v>
      </c>
      <c r="G101" s="493">
        <f t="shared" si="35"/>
        <v>100</v>
      </c>
      <c r="H101" s="493">
        <f t="shared" si="35"/>
        <v>100</v>
      </c>
      <c r="I101" s="493">
        <f t="shared" si="35"/>
        <v>100</v>
      </c>
      <c r="J101" s="493">
        <f t="shared" si="35"/>
        <v>100</v>
      </c>
      <c r="K101" s="493">
        <f t="shared" si="35"/>
        <v>100</v>
      </c>
      <c r="L101" s="493">
        <f t="shared" si="35"/>
        <v>100</v>
      </c>
      <c r="M101" s="493">
        <f t="shared" si="35"/>
        <v>100</v>
      </c>
      <c r="N101" s="934"/>
      <c r="O101" s="934"/>
      <c r="P101" s="1921"/>
      <c r="Q101" s="453"/>
    </row>
    <row r="102" spans="1:17" ht="15" thickTop="1">
      <c r="A102" s="483"/>
      <c r="B102" s="487" t="s">
        <v>1737</v>
      </c>
      <c r="C102" s="527" t="str">
        <f>C103&amp;"(含)"&amp;"-"&amp;D103</f>
        <v>0(含)-180</v>
      </c>
      <c r="D102" s="527" t="str">
        <f t="shared" ref="D102:L102" si="36">D103&amp;"(含)"&amp;"-"&amp;E103</f>
        <v>180(含)-240</v>
      </c>
      <c r="E102" s="527" t="str">
        <f t="shared" si="36"/>
        <v>240(含)-300</v>
      </c>
      <c r="F102" s="527" t="str">
        <f t="shared" si="36"/>
        <v>300(含)-</v>
      </c>
      <c r="G102" s="527" t="str">
        <f t="shared" si="36"/>
        <v>(含)-</v>
      </c>
      <c r="H102" s="527" t="str">
        <f t="shared" si="36"/>
        <v>(含)-</v>
      </c>
      <c r="I102" s="527" t="str">
        <f t="shared" si="36"/>
        <v>(含)-</v>
      </c>
      <c r="J102" s="527" t="str">
        <f t="shared" si="36"/>
        <v>(含)-</v>
      </c>
      <c r="K102" s="527" t="str">
        <f>K103&amp;"(含)"&amp;"-"&amp;L103</f>
        <v>(含)-</v>
      </c>
      <c r="L102" s="527" t="str">
        <f t="shared" si="36"/>
        <v>(含)-</v>
      </c>
      <c r="M102" s="527" t="str">
        <f>M103&amp;"(含)"&amp;"-"&amp;P103</f>
        <v>(含)-</v>
      </c>
      <c r="N102" s="932"/>
      <c r="O102" s="932"/>
      <c r="P102" s="1921"/>
      <c r="Q102" s="453"/>
    </row>
    <row r="103" spans="1:17" s="422" customFormat="1">
      <c r="A103" s="542"/>
      <c r="B103" s="543"/>
      <c r="C103" s="544">
        <v>0</v>
      </c>
      <c r="D103" s="544">
        <v>180</v>
      </c>
      <c r="E103" s="544">
        <v>240</v>
      </c>
      <c r="F103" s="544">
        <v>300</v>
      </c>
      <c r="G103" s="544"/>
      <c r="H103" s="544"/>
      <c r="I103" s="544"/>
      <c r="J103" s="545"/>
      <c r="K103" s="545"/>
      <c r="L103" s="546"/>
      <c r="M103" s="547"/>
      <c r="N103" s="935"/>
      <c r="O103" s="935"/>
      <c r="P103" s="1922"/>
      <c r="Q103" s="508"/>
    </row>
    <row r="104" spans="1:17" s="422" customFormat="1" ht="14.4" thickBot="1">
      <c r="A104" s="502"/>
      <c r="B104" s="492"/>
      <c r="C104" s="509">
        <v>100</v>
      </c>
      <c r="D104" s="485">
        <v>98</v>
      </c>
      <c r="E104" s="485">
        <v>96</v>
      </c>
      <c r="F104" s="485">
        <v>94</v>
      </c>
      <c r="G104" s="485"/>
      <c r="H104" s="485"/>
      <c r="I104" s="485"/>
      <c r="J104" s="485"/>
      <c r="K104" s="485"/>
      <c r="L104" s="485"/>
      <c r="M104" s="485"/>
      <c r="N104" s="934"/>
      <c r="O104" s="934"/>
      <c r="P104" s="1922"/>
      <c r="Q104" s="508"/>
    </row>
    <row r="105" spans="1:17" ht="15" thickTop="1">
      <c r="A105" s="548"/>
      <c r="B105" s="487" t="s">
        <v>1738</v>
      </c>
      <c r="C105" s="3453" t="s">
        <v>3500</v>
      </c>
      <c r="D105" s="503"/>
      <c r="E105" s="532"/>
      <c r="F105" s="532"/>
      <c r="G105" s="532"/>
      <c r="H105" s="532"/>
      <c r="I105" s="532"/>
      <c r="J105" s="532"/>
      <c r="K105" s="533"/>
      <c r="L105" s="534"/>
      <c r="M105" s="535"/>
      <c r="N105" s="933"/>
      <c r="O105" s="933"/>
      <c r="P105" s="1921"/>
      <c r="Q105" s="453"/>
    </row>
    <row r="106" spans="1:17" ht="14.4" thickBot="1">
      <c r="A106" s="483"/>
      <c r="B106" s="492"/>
      <c r="C106" s="493">
        <v>100</v>
      </c>
      <c r="D106" s="493">
        <f t="shared" ref="D106:M106" si="37">C106-$K34</f>
        <v>100</v>
      </c>
      <c r="E106" s="493">
        <f t="shared" si="37"/>
        <v>100</v>
      </c>
      <c r="F106" s="493">
        <f t="shared" si="37"/>
        <v>100</v>
      </c>
      <c r="G106" s="493">
        <f t="shared" si="37"/>
        <v>100</v>
      </c>
      <c r="H106" s="493">
        <f t="shared" si="37"/>
        <v>100</v>
      </c>
      <c r="I106" s="493">
        <f t="shared" si="37"/>
        <v>100</v>
      </c>
      <c r="J106" s="493">
        <f t="shared" si="37"/>
        <v>100</v>
      </c>
      <c r="K106" s="493">
        <f t="shared" si="37"/>
        <v>100</v>
      </c>
      <c r="L106" s="493">
        <f t="shared" si="37"/>
        <v>100</v>
      </c>
      <c r="M106" s="493">
        <f t="shared" si="37"/>
        <v>100</v>
      </c>
      <c r="N106" s="934"/>
      <c r="O106" s="934"/>
      <c r="P106" s="1921"/>
      <c r="Q106" s="453"/>
    </row>
    <row r="107" spans="1:17" ht="15" thickTop="1">
      <c r="A107" s="548"/>
      <c r="B107" s="487" t="s">
        <v>1739</v>
      </c>
      <c r="C107" s="532"/>
      <c r="D107" s="532"/>
      <c r="E107" s="532"/>
      <c r="F107" s="532"/>
      <c r="G107" s="532"/>
      <c r="H107" s="532"/>
      <c r="I107" s="532"/>
      <c r="J107" s="532"/>
      <c r="K107" s="533"/>
      <c r="L107" s="534"/>
      <c r="M107" s="535"/>
      <c r="N107" s="933"/>
      <c r="O107" s="933"/>
      <c r="P107" s="1921"/>
      <c r="Q107" s="453"/>
    </row>
    <row r="108" spans="1:17" ht="14.4" thickBot="1">
      <c r="A108" s="483"/>
      <c r="B108" s="492"/>
      <c r="C108" s="493">
        <v>100</v>
      </c>
      <c r="D108" s="493">
        <f t="shared" ref="D108:M108" si="38">C108-$K35</f>
        <v>100</v>
      </c>
      <c r="E108" s="493">
        <f t="shared" si="38"/>
        <v>100</v>
      </c>
      <c r="F108" s="493">
        <f t="shared" si="38"/>
        <v>100</v>
      </c>
      <c r="G108" s="493">
        <f t="shared" si="38"/>
        <v>100</v>
      </c>
      <c r="H108" s="493">
        <f t="shared" si="38"/>
        <v>100</v>
      </c>
      <c r="I108" s="493">
        <f t="shared" si="38"/>
        <v>100</v>
      </c>
      <c r="J108" s="493">
        <f t="shared" si="38"/>
        <v>100</v>
      </c>
      <c r="K108" s="493">
        <f t="shared" si="38"/>
        <v>100</v>
      </c>
      <c r="L108" s="493">
        <f t="shared" si="38"/>
        <v>100</v>
      </c>
      <c r="M108" s="493">
        <f t="shared" si="38"/>
        <v>100</v>
      </c>
      <c r="N108" s="934"/>
      <c r="O108" s="934"/>
      <c r="P108" s="1921"/>
      <c r="Q108" s="453"/>
    </row>
    <row r="109" spans="1:17" ht="15" thickTop="1">
      <c r="A109" s="548"/>
      <c r="B109" s="487" t="s">
        <v>1740</v>
      </c>
      <c r="C109" s="3453" t="s">
        <v>3502</v>
      </c>
      <c r="D109" s="503"/>
      <c r="E109" s="503"/>
      <c r="F109" s="532"/>
      <c r="G109" s="532"/>
      <c r="H109" s="532"/>
      <c r="I109" s="532"/>
      <c r="J109" s="532"/>
      <c r="K109" s="533"/>
      <c r="L109" s="534"/>
      <c r="M109" s="535"/>
      <c r="N109" s="933"/>
      <c r="O109" s="933"/>
      <c r="P109" s="1921"/>
      <c r="Q109" s="453"/>
    </row>
    <row r="110" spans="1:17" ht="14.4" thickBot="1">
      <c r="A110" s="483"/>
      <c r="B110" s="492"/>
      <c r="C110" s="493">
        <v>100</v>
      </c>
      <c r="D110" s="493">
        <f t="shared" ref="D110:M110" si="39">C110-$K36</f>
        <v>100</v>
      </c>
      <c r="E110" s="493">
        <f t="shared" si="39"/>
        <v>100</v>
      </c>
      <c r="F110" s="493">
        <f t="shared" si="39"/>
        <v>100</v>
      </c>
      <c r="G110" s="493">
        <f t="shared" si="39"/>
        <v>100</v>
      </c>
      <c r="H110" s="493">
        <f t="shared" si="39"/>
        <v>100</v>
      </c>
      <c r="I110" s="493">
        <f t="shared" si="39"/>
        <v>100</v>
      </c>
      <c r="J110" s="493">
        <f t="shared" si="39"/>
        <v>100</v>
      </c>
      <c r="K110" s="493">
        <f t="shared" si="39"/>
        <v>100</v>
      </c>
      <c r="L110" s="493">
        <f t="shared" si="39"/>
        <v>100</v>
      </c>
      <c r="M110" s="493">
        <f t="shared" si="39"/>
        <v>100</v>
      </c>
      <c r="N110" s="934"/>
      <c r="O110" s="934"/>
      <c r="P110" s="1921"/>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4.4" thickBot="1">
      <c r="A113" s="502"/>
      <c r="B113" s="492"/>
      <c r="C113" s="531">
        <v>100</v>
      </c>
      <c r="D113" s="493">
        <f>C113+$K37</f>
        <v>103</v>
      </c>
      <c r="E113" s="493">
        <f>D113+$K37</f>
        <v>106</v>
      </c>
      <c r="F113" s="493">
        <f>E113+$K37</f>
        <v>109</v>
      </c>
      <c r="G113" s="493">
        <f>F113+$K37</f>
        <v>112</v>
      </c>
      <c r="H113" s="493">
        <f>G113+$K37</f>
        <v>115</v>
      </c>
      <c r="I113" s="531"/>
      <c r="J113" s="556"/>
      <c r="K113" s="556"/>
      <c r="L113" s="556"/>
      <c r="M113" s="557"/>
      <c r="N113" s="935"/>
      <c r="O113" s="935"/>
      <c r="P113" s="1922"/>
      <c r="Q113" s="508"/>
    </row>
    <row r="114" spans="1:17" ht="15" thickTop="1">
      <c r="A114" s="548"/>
      <c r="B114" s="487" t="s">
        <v>1741</v>
      </c>
      <c r="C114" s="3453" t="s">
        <v>3503</v>
      </c>
      <c r="D114" s="503"/>
      <c r="E114" s="532"/>
      <c r="F114" s="532"/>
      <c r="G114" s="532"/>
      <c r="H114" s="532"/>
      <c r="I114" s="532"/>
      <c r="J114" s="532"/>
      <c r="K114" s="533"/>
      <c r="L114" s="534"/>
      <c r="M114" s="535"/>
      <c r="N114" s="933"/>
      <c r="O114" s="933"/>
      <c r="P114" s="1921"/>
      <c r="Q114" s="453"/>
    </row>
    <row r="115" spans="1:17" ht="14.4" thickBot="1">
      <c r="A115" s="483"/>
      <c r="B115" s="492"/>
      <c r="C115" s="493">
        <v>100</v>
      </c>
      <c r="D115" s="493">
        <f t="shared" ref="D115:M115" si="40">C115-$K38</f>
        <v>100</v>
      </c>
      <c r="E115" s="493">
        <f t="shared" si="40"/>
        <v>100</v>
      </c>
      <c r="F115" s="493">
        <f t="shared" si="40"/>
        <v>100</v>
      </c>
      <c r="G115" s="493">
        <f t="shared" si="40"/>
        <v>100</v>
      </c>
      <c r="H115" s="493">
        <f t="shared" si="40"/>
        <v>100</v>
      </c>
      <c r="I115" s="493">
        <f t="shared" si="40"/>
        <v>100</v>
      </c>
      <c r="J115" s="493">
        <f t="shared" si="40"/>
        <v>100</v>
      </c>
      <c r="K115" s="493">
        <f t="shared" si="40"/>
        <v>100</v>
      </c>
      <c r="L115" s="493">
        <f t="shared" si="40"/>
        <v>100</v>
      </c>
      <c r="M115" s="493">
        <f t="shared" si="40"/>
        <v>100</v>
      </c>
      <c r="N115" s="934"/>
      <c r="O115" s="934"/>
      <c r="P115" s="1921"/>
      <c r="Q115" s="453"/>
    </row>
    <row r="116" spans="1:17" ht="15" thickTop="1">
      <c r="A116" s="548"/>
      <c r="B116" s="487" t="s">
        <v>1742</v>
      </c>
      <c r="C116" s="3453" t="s">
        <v>3504</v>
      </c>
      <c r="D116" s="503"/>
      <c r="E116" s="503"/>
      <c r="F116" s="503"/>
      <c r="G116" s="503"/>
      <c r="H116" s="532"/>
      <c r="I116" s="532"/>
      <c r="J116" s="532"/>
      <c r="K116" s="533"/>
      <c r="L116" s="534"/>
      <c r="M116" s="535"/>
      <c r="N116" s="933"/>
      <c r="O116" s="933"/>
      <c r="P116" s="1921"/>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1743</v>
      </c>
      <c r="C118" s="3455" t="s">
        <v>3505</v>
      </c>
      <c r="D118" s="532"/>
      <c r="E118" s="532"/>
      <c r="F118" s="532"/>
      <c r="G118" s="532"/>
      <c r="H118" s="532"/>
      <c r="I118" s="532"/>
      <c r="J118" s="532"/>
      <c r="K118" s="533"/>
      <c r="L118" s="534"/>
      <c r="M118" s="535"/>
      <c r="N118" s="933"/>
      <c r="O118" s="933"/>
      <c r="P118" s="1921"/>
      <c r="Q118" s="453"/>
    </row>
    <row r="119" spans="1:17" ht="14.4" thickBot="1">
      <c r="A119" s="483"/>
      <c r="B119" s="492"/>
      <c r="C119" s="493">
        <v>100</v>
      </c>
      <c r="D119" s="493">
        <f t="shared" ref="D119:M119" si="41">C119-$K40</f>
        <v>100</v>
      </c>
      <c r="E119" s="493">
        <f t="shared" si="41"/>
        <v>100</v>
      </c>
      <c r="F119" s="493">
        <f t="shared" si="41"/>
        <v>100</v>
      </c>
      <c r="G119" s="493">
        <f t="shared" si="41"/>
        <v>100</v>
      </c>
      <c r="H119" s="493">
        <f t="shared" si="41"/>
        <v>100</v>
      </c>
      <c r="I119" s="493">
        <f t="shared" si="41"/>
        <v>100</v>
      </c>
      <c r="J119" s="493">
        <f t="shared" si="41"/>
        <v>100</v>
      </c>
      <c r="K119" s="493">
        <f t="shared" si="41"/>
        <v>100</v>
      </c>
      <c r="L119" s="493">
        <f t="shared" si="41"/>
        <v>100</v>
      </c>
      <c r="M119" s="493">
        <f t="shared" si="41"/>
        <v>100</v>
      </c>
      <c r="N119" s="934"/>
      <c r="O119" s="934"/>
      <c r="P119" s="1921"/>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2"/>
      <c r="Q120" s="508"/>
    </row>
    <row r="121" spans="1:17" s="422" customFormat="1" ht="14.4"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1744</v>
      </c>
      <c r="C122" s="3453" t="s">
        <v>3506</v>
      </c>
      <c r="D122" s="503"/>
      <c r="E122" s="503"/>
      <c r="F122" s="532"/>
      <c r="G122" s="532"/>
      <c r="H122" s="532"/>
      <c r="I122" s="532"/>
      <c r="J122" s="532"/>
      <c r="K122" s="533"/>
      <c r="L122" s="534"/>
      <c r="M122" s="535"/>
      <c r="N122" s="933"/>
      <c r="O122" s="933"/>
      <c r="P122" s="1921"/>
      <c r="Q122" s="453"/>
    </row>
    <row r="123" spans="1:17" ht="14.4" thickBot="1">
      <c r="A123" s="483"/>
      <c r="B123" s="492"/>
      <c r="C123" s="493">
        <v>100</v>
      </c>
      <c r="D123" s="493">
        <f t="shared" ref="D123:M123" si="42">C123-$K42</f>
        <v>100</v>
      </c>
      <c r="E123" s="493">
        <f t="shared" si="42"/>
        <v>100</v>
      </c>
      <c r="F123" s="493">
        <f t="shared" si="42"/>
        <v>100</v>
      </c>
      <c r="G123" s="493">
        <f t="shared" si="42"/>
        <v>100</v>
      </c>
      <c r="H123" s="493">
        <f t="shared" si="42"/>
        <v>100</v>
      </c>
      <c r="I123" s="493">
        <f t="shared" si="42"/>
        <v>100</v>
      </c>
      <c r="J123" s="493">
        <f t="shared" si="42"/>
        <v>100</v>
      </c>
      <c r="K123" s="493">
        <f t="shared" si="42"/>
        <v>100</v>
      </c>
      <c r="L123" s="493">
        <f t="shared" si="42"/>
        <v>100</v>
      </c>
      <c r="M123" s="493">
        <f t="shared" si="42"/>
        <v>100</v>
      </c>
      <c r="N123" s="934"/>
      <c r="O123" s="934"/>
      <c r="P123" s="1921"/>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2"/>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t="str">
        <f>B44</f>
        <v>景观</v>
      </c>
      <c r="C126" s="3453" t="s">
        <v>3508</v>
      </c>
      <c r="D126" s="3453" t="s">
        <v>3509</v>
      </c>
      <c r="E126" s="503"/>
      <c r="F126" s="503"/>
      <c r="G126" s="503"/>
      <c r="H126" s="504"/>
      <c r="I126" s="504"/>
      <c r="J126" s="504"/>
      <c r="K126" s="504"/>
      <c r="L126" s="505"/>
      <c r="M126" s="506"/>
      <c r="N126" s="935"/>
      <c r="O126" s="935"/>
      <c r="P126" s="1922"/>
      <c r="Q126" s="508"/>
    </row>
    <row r="127" spans="1:17" s="422" customFormat="1" ht="14.4" thickBot="1">
      <c r="A127" s="502"/>
      <c r="B127" s="492"/>
      <c r="C127" s="509">
        <v>100</v>
      </c>
      <c r="D127" s="485">
        <v>95</v>
      </c>
      <c r="E127" s="485"/>
      <c r="F127" s="485"/>
      <c r="G127" s="509"/>
      <c r="H127" s="511"/>
      <c r="I127" s="511"/>
      <c r="J127" s="511"/>
      <c r="K127" s="511"/>
      <c r="L127" s="511"/>
      <c r="M127" s="512"/>
      <c r="N127" s="935"/>
      <c r="O127" s="935"/>
      <c r="P127" s="1922"/>
      <c r="Q127" s="508"/>
    </row>
    <row r="128" spans="1:17" ht="14.4" thickTop="1">
      <c r="A128" s="548"/>
      <c r="B128" s="487" t="str">
        <f>B45</f>
        <v>建成年代</v>
      </c>
      <c r="C128" s="503">
        <v>2002</v>
      </c>
      <c r="D128" s="503">
        <v>2005</v>
      </c>
      <c r="E128" s="503">
        <v>2017</v>
      </c>
      <c r="F128" s="503"/>
      <c r="G128" s="532"/>
      <c r="H128" s="532"/>
      <c r="I128" s="532"/>
      <c r="J128" s="532"/>
      <c r="K128" s="533"/>
      <c r="L128" s="534"/>
      <c r="M128" s="535"/>
      <c r="N128" s="933"/>
      <c r="O128" s="933"/>
      <c r="P128" s="1921"/>
      <c r="Q128" s="453"/>
    </row>
    <row r="129" spans="1:17" ht="14.4" thickBot="1">
      <c r="A129" s="483"/>
      <c r="B129" s="492"/>
      <c r="C129" s="509">
        <v>100</v>
      </c>
      <c r="D129" s="509">
        <v>100.5</v>
      </c>
      <c r="E129" s="509">
        <v>107.5</v>
      </c>
      <c r="F129" s="509"/>
      <c r="G129" s="485"/>
      <c r="H129" s="485"/>
      <c r="I129" s="485"/>
      <c r="J129" s="485"/>
      <c r="K129" s="485"/>
      <c r="L129" s="485"/>
      <c r="M129" s="486"/>
      <c r="N129" s="934"/>
      <c r="O129" s="934"/>
      <c r="P129" s="1921"/>
      <c r="Q129" s="453"/>
    </row>
    <row r="130" spans="1:17" ht="14.4" thickTop="1">
      <c r="A130" s="548"/>
      <c r="B130" s="495">
        <f>B46</f>
        <v>111</v>
      </c>
      <c r="C130" s="503"/>
      <c r="D130" s="503"/>
      <c r="E130" s="503"/>
      <c r="F130" s="503"/>
      <c r="G130" s="536"/>
      <c r="H130" s="536"/>
      <c r="I130" s="536"/>
      <c r="J130" s="536"/>
      <c r="K130" s="472"/>
      <c r="L130" s="473"/>
      <c r="M130" s="539"/>
      <c r="N130" s="933"/>
      <c r="O130" s="933"/>
      <c r="P130" s="1921"/>
      <c r="Q130" s="453"/>
    </row>
    <row r="131" spans="1:17" ht="14.4"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1746</v>
      </c>
    </row>
    <row r="137" spans="1:17" ht="15">
      <c r="B137" s="1929" t="s">
        <v>1747</v>
      </c>
      <c r="C137" s="1930"/>
      <c r="D137" s="1930"/>
      <c r="E137" s="1930"/>
      <c r="F137" s="1930"/>
      <c r="G137" s="1931"/>
      <c r="H137" s="1932"/>
      <c r="I137" s="1933" t="s">
        <v>1748</v>
      </c>
      <c r="J137" s="1930"/>
      <c r="K137" s="1934"/>
    </row>
    <row r="138" spans="1:17" ht="15">
      <c r="B138" s="1935"/>
      <c r="C138" s="137" t="s">
        <v>1749</v>
      </c>
      <c r="D138" s="137" t="s">
        <v>1750</v>
      </c>
      <c r="E138" s="1936" t="s">
        <v>1751</v>
      </c>
      <c r="F138" s="1937" t="s">
        <v>1752</v>
      </c>
      <c r="G138" s="137" t="s">
        <v>1750</v>
      </c>
      <c r="H138" s="138" t="s">
        <v>1751</v>
      </c>
      <c r="I138" s="1938"/>
      <c r="J138" s="137" t="s">
        <v>1753</v>
      </c>
      <c r="K138" s="138" t="s">
        <v>1754</v>
      </c>
    </row>
    <row r="139" spans="1:17" ht="15">
      <c r="B139" s="867">
        <v>6</v>
      </c>
      <c r="C139" s="868">
        <v>96</v>
      </c>
      <c r="D139" s="1939" t="s">
        <v>1755</v>
      </c>
      <c r="E139" s="869">
        <v>100</v>
      </c>
      <c r="F139" s="870">
        <v>102.5</v>
      </c>
      <c r="G139" s="1939" t="s">
        <v>1755</v>
      </c>
      <c r="H139" s="871">
        <v>105</v>
      </c>
      <c r="I139" s="1940" t="s">
        <v>1756</v>
      </c>
      <c r="J139" s="868">
        <v>20</v>
      </c>
      <c r="K139" s="872">
        <f>C145/(J139-2)</f>
        <v>4.0555555555555553E-3</v>
      </c>
    </row>
    <row r="140" spans="1:17" ht="15">
      <c r="B140" s="873">
        <v>5</v>
      </c>
      <c r="C140" s="874">
        <v>100</v>
      </c>
      <c r="D140" s="874"/>
      <c r="E140" s="875"/>
      <c r="F140" s="876">
        <v>102</v>
      </c>
      <c r="G140" s="874"/>
      <c r="H140" s="877"/>
      <c r="I140" s="1941" t="s">
        <v>1757</v>
      </c>
      <c r="J140" s="271">
        <f>ROUNDUP((J139-1)/2,0)</f>
        <v>10</v>
      </c>
      <c r="K140" s="878">
        <v>100</v>
      </c>
    </row>
    <row r="141" spans="1:17" ht="15">
      <c r="B141" s="873">
        <v>4</v>
      </c>
      <c r="C141" s="874">
        <v>102</v>
      </c>
      <c r="D141" s="874"/>
      <c r="E141" s="875"/>
      <c r="F141" s="876">
        <v>101.5</v>
      </c>
      <c r="G141" s="874"/>
      <c r="H141" s="877"/>
      <c r="I141" s="1941" t="s">
        <v>1758</v>
      </c>
      <c r="J141" s="271">
        <v>1</v>
      </c>
      <c r="K141" s="879">
        <f>ROUND(100+(J141-J140)*K139*100,1)</f>
        <v>96.4</v>
      </c>
    </row>
    <row r="142" spans="1:17" ht="15">
      <c r="B142" s="873">
        <v>3</v>
      </c>
      <c r="C142" s="874">
        <v>103</v>
      </c>
      <c r="D142" s="874"/>
      <c r="E142" s="875"/>
      <c r="F142" s="876">
        <v>101</v>
      </c>
      <c r="G142" s="874"/>
      <c r="H142" s="877"/>
      <c r="I142" s="1941" t="s">
        <v>1759</v>
      </c>
      <c r="J142" s="271">
        <f>J139</f>
        <v>20</v>
      </c>
      <c r="K142" s="880">
        <v>95</v>
      </c>
    </row>
    <row r="143" spans="1:17" ht="15">
      <c r="B143" s="873">
        <v>2</v>
      </c>
      <c r="C143" s="874">
        <v>100</v>
      </c>
      <c r="D143" s="874"/>
      <c r="E143" s="875"/>
      <c r="F143" s="876">
        <v>100.5</v>
      </c>
      <c r="G143" s="874"/>
      <c r="H143" s="877"/>
      <c r="I143" s="1941" t="s">
        <v>1760</v>
      </c>
      <c r="J143" s="874">
        <v>15</v>
      </c>
      <c r="K143" s="879">
        <f>ROUND(100+(J143-J140)*K139*100,1)</f>
        <v>102</v>
      </c>
    </row>
    <row r="144" spans="1:17" ht="15">
      <c r="B144" s="873">
        <v>1</v>
      </c>
      <c r="C144" s="874">
        <v>98</v>
      </c>
      <c r="D144" s="1942" t="s">
        <v>1761</v>
      </c>
      <c r="E144" s="875">
        <v>102</v>
      </c>
      <c r="F144" s="881">
        <v>100</v>
      </c>
      <c r="G144" s="1942" t="s">
        <v>1761</v>
      </c>
      <c r="H144" s="877">
        <v>105</v>
      </c>
      <c r="I144" s="1941" t="s">
        <v>1760</v>
      </c>
      <c r="J144" s="874">
        <v>18</v>
      </c>
      <c r="K144" s="879">
        <f>ROUND(100+(J144-J140)*K139*100,1)</f>
        <v>103.2</v>
      </c>
    </row>
    <row r="145" spans="2:11" ht="16.2" thickBot="1">
      <c r="B145" s="1943" t="s">
        <v>1762</v>
      </c>
      <c r="C145" s="882">
        <f>ROUND(MAX(C139:C144)/MIN(C139:C144)-1,3)</f>
        <v>7.2999999999999995E-2</v>
      </c>
      <c r="D145" s="883"/>
      <c r="E145" s="883"/>
      <c r="F145" s="1944" t="s">
        <v>1763</v>
      </c>
      <c r="G145" s="1945"/>
      <c r="H145" s="1946"/>
      <c r="I145" s="1947" t="s">
        <v>1760</v>
      </c>
      <c r="J145" s="884">
        <v>8</v>
      </c>
      <c r="K145" s="885">
        <f>ROUND(100+(J145-J140)*K139*100,1)</f>
        <v>99.2</v>
      </c>
    </row>
    <row r="147" spans="2:11" ht="14.4">
      <c r="B147" s="1928" t="s">
        <v>1764</v>
      </c>
    </row>
    <row r="148" spans="2:11" ht="14.4">
      <c r="B148" s="192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C1" sqref="C1"/>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0"/>
      <c r="C1" s="1191"/>
      <c r="D1" s="1189"/>
      <c r="E1" s="2803"/>
      <c r="F1" s="2803"/>
      <c r="G1" s="2668"/>
      <c r="H1" s="2803"/>
      <c r="I1" s="2803"/>
      <c r="J1" s="2803"/>
      <c r="K1" s="2804">
        <f>MATCH(C1,'数据-取费表'!A6:A16,0)+5</f>
        <v>7</v>
      </c>
    </row>
    <row r="2" spans="1:33" ht="18" customHeight="1">
      <c r="A2" s="201" t="s">
        <v>1462</v>
      </c>
      <c r="B2" s="204">
        <f ca="1">C32</f>
        <v>-8</v>
      </c>
      <c r="C2" s="276" t="s">
        <v>1595</v>
      </c>
      <c r="D2" s="276"/>
      <c r="E2" s="2803"/>
      <c r="F2" s="2803"/>
      <c r="G2" s="2803"/>
      <c r="H2" s="2803"/>
      <c r="I2" s="2803"/>
      <c r="J2" s="2803"/>
      <c r="K2" s="2803"/>
    </row>
    <row r="3" spans="1:33" ht="18" customHeight="1" thickBot="1">
      <c r="A3" s="203" t="s">
        <v>1464</v>
      </c>
      <c r="B3" s="204">
        <f ca="1">ROUND(B2*10000/IF(C1="",'数据-汇总表'!E3,INDIRECT("'数据-取费表'!K"&amp;$K$1)),0)</f>
        <v>-213</v>
      </c>
      <c r="C3" s="276" t="s">
        <v>1596</v>
      </c>
      <c r="D3" s="276"/>
      <c r="E3" s="2803"/>
      <c r="F3" s="2803"/>
      <c r="G3" s="2803"/>
      <c r="H3" s="2803"/>
      <c r="I3" s="2803"/>
      <c r="J3" s="2803"/>
      <c r="K3" s="2803"/>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0.1</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375.87</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0.03</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375.87</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6</v>
      </c>
      <c r="D18" s="846"/>
      <c r="E18" s="21"/>
      <c r="F18" s="804"/>
      <c r="G18" s="1861"/>
      <c r="H18" s="1186"/>
      <c r="I18" s="1862" t="s">
        <v>1625</v>
      </c>
      <c r="J18" s="807"/>
      <c r="K18" s="808"/>
    </row>
    <row r="19" spans="1:33" s="803" customFormat="1" ht="13.5" customHeight="1">
      <c r="A19" s="800" t="s">
        <v>360</v>
      </c>
      <c r="B19" s="801" t="s">
        <v>1626</v>
      </c>
      <c r="C19" s="21">
        <f ca="1">ROUND(D19*E19/10000,0)</f>
        <v>6</v>
      </c>
      <c r="D19" s="846">
        <f ca="1">IF(C1="",'数据-汇总表'!E5,IF(INDIRECT("'数据-取费表'!c"&amp;$K$1)="住宅",INDIRECT("'数据-取费表'!k"&amp;$K$1),0))</f>
        <v>375.87</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6</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2</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2</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c r="D1" s="1361" t="s">
        <v>43</v>
      </c>
      <c r="E1" s="1362" t="s">
        <v>678</v>
      </c>
      <c r="F1" s="1062">
        <f ca="1">J53</f>
        <v>0</v>
      </c>
      <c r="G1" s="1377">
        <f>MATCH(C1,'数据-取费表'!A6:A16,0)+5</f>
        <v>7</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3"/>
      <c r="H2" s="2692"/>
      <c r="I2" s="2692"/>
      <c r="J2" s="2692"/>
      <c r="K2" s="2693"/>
      <c r="L2" s="2692"/>
      <c r="M2" s="2692"/>
    </row>
    <row r="3" spans="1:37" ht="18" customHeight="1" thickBot="1">
      <c r="A3" s="1389" t="s">
        <v>806</v>
      </c>
      <c r="B3" s="1390">
        <f ca="1">IF(ISERROR(B2*10000/F43),0,ROUND(B2*10000/F43,0))</f>
        <v>0</v>
      </c>
      <c r="C3" s="1386" t="s">
        <v>807</v>
      </c>
      <c r="D3" s="1386"/>
      <c r="E3" s="1387"/>
      <c r="F3" s="1388"/>
      <c r="G3" s="2703"/>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710" t="s">
        <v>694</v>
      </c>
      <c r="C6" s="1074">
        <f ca="1">ROUND(F6*F8*F7*(1-F9)/10000,0)</f>
        <v>0</v>
      </c>
      <c r="D6" s="155" t="s">
        <v>2107</v>
      </c>
      <c r="E6" s="302" t="s">
        <v>696</v>
      </c>
      <c r="F6" s="303">
        <f ca="1">INDIRECT("'数据-取费表'!u"&amp;$G$1)</f>
        <v>0</v>
      </c>
      <c r="G6" s="1383"/>
      <c r="H6" s="1069" t="s">
        <v>398</v>
      </c>
      <c r="I6" s="3710" t="s">
        <v>694</v>
      </c>
      <c r="J6" s="301">
        <f ca="1">ROUND(M6*M8*M7*(1-M9)/10000,0)</f>
        <v>0</v>
      </c>
      <c r="K6" s="155" t="s">
        <v>2106</v>
      </c>
      <c r="L6" s="302" t="s">
        <v>696</v>
      </c>
      <c r="M6" s="303">
        <f ca="1">INDIRECT("'数据-取费表'!z"&amp;$G$1)</f>
        <v>0</v>
      </c>
    </row>
    <row r="7" spans="1:37" ht="18" customHeight="1">
      <c r="A7" s="1073"/>
      <c r="B7" s="3711"/>
      <c r="C7" s="1075"/>
      <c r="D7" s="307"/>
      <c r="E7" s="1076" t="s">
        <v>697</v>
      </c>
      <c r="F7" s="303">
        <f ca="1">IF(INDIRECT("'数据-取费表'!ah"&amp;$G$1)="",INDIRECT("'数据-取费表'!k"&amp;$G$1),INDIRECT("'数据-取费表'!ah"&amp;$G$1))</f>
        <v>0</v>
      </c>
      <c r="G7" s="1383"/>
      <c r="H7" s="304"/>
      <c r="I7" s="3711"/>
      <c r="J7" s="306"/>
      <c r="K7" s="307"/>
      <c r="L7" s="302" t="s">
        <v>697</v>
      </c>
      <c r="M7" s="303">
        <f ca="1">F7</f>
        <v>0</v>
      </c>
    </row>
    <row r="8" spans="1:37" ht="18" customHeight="1">
      <c r="A8" s="304"/>
      <c r="B8" s="3711"/>
      <c r="C8" s="306"/>
      <c r="D8" s="307"/>
      <c r="E8" s="302" t="s">
        <v>698</v>
      </c>
      <c r="F8" s="303">
        <f ca="1">INDIRECT("'数据-取费表'!ai"&amp;$G$1)</f>
        <v>0</v>
      </c>
      <c r="G8" s="1383"/>
      <c r="H8" s="304"/>
      <c r="I8" s="3711"/>
      <c r="J8" s="306"/>
      <c r="K8" s="307"/>
      <c r="L8" s="302" t="s">
        <v>698</v>
      </c>
      <c r="M8" s="303">
        <f ca="1">INDIRECT("'数据-取费表'!ai"&amp;$G$1)</f>
        <v>0</v>
      </c>
    </row>
    <row r="9" spans="1:37" ht="18" customHeight="1">
      <c r="A9" s="304"/>
      <c r="B9" s="3712"/>
      <c r="C9" s="306"/>
      <c r="D9" s="307"/>
      <c r="E9" s="302" t="s">
        <v>699</v>
      </c>
      <c r="F9" s="312">
        <f ca="1">INDIRECT("'数据-取费表'!w"&amp;$G$1)</f>
        <v>0</v>
      </c>
      <c r="G9" s="1383"/>
      <c r="H9" s="304"/>
      <c r="I9" s="3712"/>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2115</v>
      </c>
      <c r="E10" s="313" t="s">
        <v>701</v>
      </c>
      <c r="F10" s="1116"/>
      <c r="G10" s="1383"/>
      <c r="H10" s="1069" t="s">
        <v>402</v>
      </c>
      <c r="I10" s="1364" t="s">
        <v>700</v>
      </c>
      <c r="J10" s="301">
        <f ca="1">ROUND(IF(M10="押一",J6/12*M11,IF(M10="押二",J6/12*2*M11,IF(M10="押三",J6/12*3*M11,J11*M11))),0)</f>
        <v>0</v>
      </c>
      <c r="K10" s="1365" t="s">
        <v>2114</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0.1</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200</v>
      </c>
      <c r="G17" s="1395"/>
      <c r="H17" s="982" t="s">
        <v>398</v>
      </c>
      <c r="I17" s="302" t="s">
        <v>719</v>
      </c>
      <c r="J17" s="2315">
        <f ca="1">ROUND(IF(AND(项目基本情况!B11="自然人",项目基本情况!B10="北京市"),J6*M17/(1+'数据-取费表'!C42),J18+J19+J20),2)</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0.03</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3333</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4"/>
      <c r="I30" s="1397"/>
      <c r="J30" s="1398"/>
      <c r="K30" s="2473"/>
      <c r="L30" s="2695"/>
      <c r="M30" s="2696"/>
    </row>
    <row r="31" spans="1:37" ht="18" customHeight="1">
      <c r="A31" s="982" t="s">
        <v>398</v>
      </c>
      <c r="B31" s="302" t="s">
        <v>719</v>
      </c>
      <c r="C31" s="2315">
        <f ca="1">ROUND(IF(AND(项目基本情况!B11="自然人",项目基本情况!B10="北京市"),C6*F31/(1+'数据-取费表'!C42),C32+C33+C34),2)</f>
        <v>0</v>
      </c>
      <c r="D31" s="1344" t="s">
        <v>720</v>
      </c>
      <c r="E31" s="1343" t="s">
        <v>770</v>
      </c>
      <c r="F31" s="2314" t="str">
        <f>IF(项目基本情况!B11="企业","——",IF(M47="住宅",IF(F6*F7*F8/12/(1+'数据-取费表'!F30)&gt;100000,4%,2.5%),IF(F6*F7*F8/12/(1+'数据-取费表'!F30)&gt;100000,12%,7%)))</f>
        <v>——</v>
      </c>
      <c r="G31" s="1383"/>
      <c r="H31" s="2805" t="s">
        <v>2304</v>
      </c>
      <c r="I31" s="1397"/>
      <c r="J31" s="1398"/>
      <c r="K31" s="2473"/>
      <c r="L31" s="2695"/>
      <c r="M31" s="2696"/>
    </row>
    <row r="32" spans="1:37" ht="18" customHeight="1">
      <c r="A32" s="982" t="s">
        <v>397</v>
      </c>
      <c r="B32" s="302" t="s">
        <v>723</v>
      </c>
      <c r="C32" s="21">
        <f ca="1">IF(项目基本情况!B11="自然人","——",ROUND(C6*F32/(1+'数据-取费表'!C42),2))</f>
        <v>0</v>
      </c>
      <c r="D32" s="1343" t="s">
        <v>724</v>
      </c>
      <c r="E32" s="302" t="s">
        <v>712</v>
      </c>
      <c r="F32" s="331">
        <f>'数据-取费表'!B41</f>
        <v>5.6000000000000001E-2</v>
      </c>
      <c r="G32" s="1383"/>
      <c r="H32" s="2694"/>
      <c r="I32" s="1397"/>
      <c r="J32" s="1398"/>
      <c r="K32" s="2473"/>
      <c r="L32" s="2695"/>
      <c r="M32" s="2696"/>
    </row>
    <row r="33" spans="1:18" ht="18" customHeight="1">
      <c r="A33" s="982" t="s">
        <v>399</v>
      </c>
      <c r="B33" s="302" t="s">
        <v>727</v>
      </c>
      <c r="C33" s="21">
        <f ca="1">IF(项目基本情况!B11="自然人","——",IF(D33="按租金收入计税",ROUND(C6*F33/(1+'数据-取费表'!C42),2),IF(D33="按房产原值计税",ROUND(C29*F33*0.7,2),INDIRECT("'数据-取费表'!Aj"&amp;$G$1))))</f>
        <v>0</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f ca="1">IF(项目基本情况!B11="自然人","——",ROUND(F34*F35/10000,2))</f>
        <v>0</v>
      </c>
      <c r="D34" s="324" t="s">
        <v>731</v>
      </c>
      <c r="E34" s="302" t="s">
        <v>732</v>
      </c>
      <c r="F34" s="325">
        <f>'数据-取费表'!B52</f>
        <v>0</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ROUND(C29*F36,2)</f>
        <v>0</v>
      </c>
      <c r="D36" s="1343" t="s">
        <v>771</v>
      </c>
      <c r="E36" s="302" t="s">
        <v>712</v>
      </c>
      <c r="F36" s="328">
        <f ca="1">INDIRECT("'数据-取费表'!Ak"&amp;$G$1)</f>
        <v>0</v>
      </c>
      <c r="G36" s="1383"/>
      <c r="H36" s="2697"/>
      <c r="I36" s="1397"/>
      <c r="J36" s="1398"/>
      <c r="K36" s="2541"/>
      <c r="L36" s="2697"/>
      <c r="M36" s="2697"/>
    </row>
    <row r="37" spans="1:18" ht="18" customHeight="1">
      <c r="A37" s="982" t="s">
        <v>437</v>
      </c>
      <c r="B37" s="302" t="s">
        <v>742</v>
      </c>
      <c r="C37" s="21">
        <f ca="1">ROUND(C13*F37,2)</f>
        <v>0</v>
      </c>
      <c r="D37" s="1343" t="s">
        <v>743</v>
      </c>
      <c r="E37" s="302" t="s">
        <v>744</v>
      </c>
      <c r="F37" s="330">
        <f ca="1">INDIRECT("'数据-取费表'!Al"&amp;$G$1)</f>
        <v>0</v>
      </c>
      <c r="G37" s="1383"/>
      <c r="H37" s="2697"/>
      <c r="I37" s="1397"/>
      <c r="J37" s="1398"/>
      <c r="K37" s="2541"/>
      <c r="L37" s="2697"/>
      <c r="M37" s="2697"/>
    </row>
    <row r="38" spans="1:18" ht="18" customHeight="1" thickBot="1">
      <c r="A38" s="1089" t="s">
        <v>684</v>
      </c>
      <c r="B38" s="1090" t="s">
        <v>728</v>
      </c>
      <c r="C38" s="1091">
        <f ca="1">ROUND(C5*F38,2)</f>
        <v>0</v>
      </c>
      <c r="D38" s="1092" t="s">
        <v>748</v>
      </c>
      <c r="E38" s="1090" t="s">
        <v>744</v>
      </c>
      <c r="F38" s="1086">
        <f ca="1">INDIRECT("'数据-取费表'!Am"&amp;$G$1)</f>
        <v>0</v>
      </c>
      <c r="G38" s="1383"/>
      <c r="H38" s="2697"/>
      <c r="I38" s="1397"/>
      <c r="J38" s="1398"/>
      <c r="K38" s="2701"/>
      <c r="L38" s="2697"/>
      <c r="M38" s="2697"/>
    </row>
    <row r="39" spans="1:18" ht="24.6" customHeight="1" thickTop="1">
      <c r="A39" s="1079" t="s">
        <v>394</v>
      </c>
      <c r="B39" s="1094" t="s">
        <v>772</v>
      </c>
      <c r="C39" s="310">
        <f ca="1">C5-C30</f>
        <v>0</v>
      </c>
      <c r="D39" s="1095" t="s">
        <v>773</v>
      </c>
      <c r="E39" s="1096"/>
      <c r="F39" s="1097"/>
      <c r="G39" s="1383"/>
      <c r="H39" s="2697"/>
      <c r="I39" s="1397"/>
      <c r="J39" s="1398"/>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41"/>
      <c r="L41" s="1190"/>
      <c r="M41" s="1190"/>
    </row>
    <row r="42" spans="1:18" ht="18" customHeight="1">
      <c r="A42" s="308"/>
      <c r="B42" s="309"/>
      <c r="C42" s="310"/>
      <c r="D42" s="327"/>
      <c r="E42" s="302" t="s">
        <v>766</v>
      </c>
      <c r="F42" s="312">
        <f ca="1">INDIRECT("'数据-取费表'!v"&amp;$G$1)</f>
        <v>0</v>
      </c>
      <c r="G42" s="1383"/>
      <c r="H42" s="1190"/>
      <c r="I42" s="1397"/>
      <c r="J42" s="1398"/>
      <c r="K42" s="2541"/>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2" t="s">
        <v>808</v>
      </c>
      <c r="P45" s="1460"/>
      <c r="Q45" s="1460"/>
      <c r="R45" s="1460"/>
    </row>
    <row r="46" spans="1:18" s="1383" customFormat="1" ht="13.8"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8"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8" thickBot="1">
      <c r="A49" s="975" t="s">
        <v>439</v>
      </c>
      <c r="B49" s="1370" t="s">
        <v>779</v>
      </c>
      <c r="C49" s="1114">
        <f ca="1">ROUND(F49*F51*F50*(1-F52)/10000,0)</f>
        <v>0</v>
      </c>
      <c r="D49" s="1055" t="s">
        <v>2108</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8"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8"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8"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36.6" thickBot="1">
      <c r="A53" s="1152" t="s">
        <v>440</v>
      </c>
      <c r="B53" s="1372" t="s">
        <v>700</v>
      </c>
      <c r="C53" s="316">
        <f ca="1">ROUND(IF(F53="押一",C49/12*F11,IF(F53="押二",C49/12*2*F11,IF(F53="押三",C49/12*3*F11,C54*F11))),0)</f>
        <v>0</v>
      </c>
      <c r="D53" s="1365" t="s">
        <v>2114</v>
      </c>
      <c r="E53" s="313" t="s">
        <v>701</v>
      </c>
      <c r="F53" s="1116"/>
      <c r="I53" s="1438" t="s">
        <v>836</v>
      </c>
      <c r="J53" s="2167">
        <f ca="1">IF(M47="住宅",IF(D1="——",MAX(J51,L48),MAX(J51,L48-'数据-取费表'!B24)),IF(D1="——",MIN(J51,L48),MIN(J51,L48-'数据-取费表'!B24)))</f>
        <v>0</v>
      </c>
      <c r="K53" s="3708" t="s">
        <v>837</v>
      </c>
      <c r="L53" s="3709"/>
      <c r="O53" s="1417" t="s">
        <v>409</v>
      </c>
      <c r="P53" s="1418" t="s">
        <v>838</v>
      </c>
      <c r="Q53" s="1419" t="e">
        <f ca="1">Q47+Q48</f>
        <v>#DIV/0!</v>
      </c>
      <c r="R53" s="1419" t="s">
        <v>410</v>
      </c>
    </row>
    <row r="54" spans="1:18" s="1383" customFormat="1" ht="24.6"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37.200000000000003"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6"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6"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IF(项目基本情况!B11="自然人","——",ROUND(C48*F60/(1+'数据-取费表'!C42),2))</f>
        <v>0</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IF(项目基本情况!B11="自然人","——",IF(D61="按租金收入计税",ROUND(C49*F61/(1+'数据-取费表'!C42),2),IF(D61="按房产原值计税",ROUND(C57*F61*0.7,2),INDIRECT("'数据-取费表'!Aj"&amp;$G$1))))</f>
        <v>0</v>
      </c>
      <c r="D61" s="1369" t="s">
        <v>3333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IF(项目基本情况!B11="自然人","——",ROUND(F62*F63/10000,2))</f>
        <v>0</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2"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24.6"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2"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8" thickBot="1">
      <c r="A69" s="951"/>
      <c r="B69" s="952"/>
      <c r="C69" s="306"/>
      <c r="D69" s="970" t="s">
        <v>762</v>
      </c>
      <c r="E69" s="950" t="s">
        <v>763</v>
      </c>
      <c r="F69" s="333">
        <f ca="1">F41</f>
        <v>0</v>
      </c>
      <c r="O69" s="1427" t="s">
        <v>411</v>
      </c>
      <c r="P69" s="1466" t="s">
        <v>872</v>
      </c>
      <c r="Q69" s="1419">
        <f ca="1">C39</f>
        <v>0</v>
      </c>
      <c r="R69" s="1419" t="s">
        <v>818</v>
      </c>
    </row>
    <row r="70" spans="1:18" s="1383" customFormat="1" ht="13.8" thickBot="1">
      <c r="A70" s="954"/>
      <c r="B70" s="955"/>
      <c r="C70" s="310"/>
      <c r="D70" s="966"/>
      <c r="E70" s="950" t="s">
        <v>766</v>
      </c>
      <c r="F70" s="1054"/>
      <c r="O70" s="1427" t="s">
        <v>412</v>
      </c>
      <c r="P70" s="1466" t="s">
        <v>873</v>
      </c>
      <c r="Q70" s="1419">
        <f ca="1">C13</f>
        <v>0</v>
      </c>
      <c r="R70" s="1419" t="s">
        <v>818</v>
      </c>
    </row>
    <row r="71" spans="1:18" s="1383" customFormat="1" ht="13.8"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5:AB464"/>
  <sheetViews>
    <sheetView tabSelected="1" topLeftCell="A22" workbookViewId="0">
      <selection activeCell="A29" sqref="A29"/>
    </sheetView>
  </sheetViews>
  <sheetFormatPr defaultRowHeight="14.4"/>
  <sheetData>
    <row r="15" spans="19:19">
      <c r="S15">
        <f>25580/196.6</f>
        <v>130.11190233977621</v>
      </c>
    </row>
    <row r="29" spans="1:1">
      <c r="A29" s="3446" t="s">
        <v>3388</v>
      </c>
    </row>
    <row r="265" spans="17:28">
      <c r="Q265" s="3446" t="s">
        <v>3528</v>
      </c>
      <c r="AB265" s="3446" t="s">
        <v>3527</v>
      </c>
    </row>
    <row r="357" spans="15:15">
      <c r="O357">
        <f>58000/196.54</f>
        <v>295.10532207184292</v>
      </c>
    </row>
    <row r="427" spans="22:22">
      <c r="V427">
        <f>43710000/256.16</f>
        <v>170635.54028732041</v>
      </c>
    </row>
    <row r="464" spans="18:18">
      <c r="R464">
        <f>42761777/273.97</f>
        <v>156081.96882870386</v>
      </c>
    </row>
  </sheetData>
  <phoneticPr fontId="134" type="noConversion"/>
  <hyperlinks>
    <hyperlink ref="A29" r:id="rId1"/>
    <hyperlink ref="AB265" r:id="rId2"/>
    <hyperlink ref="Q265" r:id="rId3"/>
  </hyperlinks>
  <pageMargins left="0.7" right="0.7" top="0.75" bottom="0.75" header="0.3" footer="0.3"/>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0"/>
  <sheetViews>
    <sheetView workbookViewId="0">
      <selection activeCell="A2" sqref="A2"/>
    </sheetView>
  </sheetViews>
  <sheetFormatPr defaultRowHeight="15.6"/>
  <cols>
    <col min="1" max="492" width="22.21875" style="3447" customWidth="1"/>
    <col min="493" max="16384" width="8.88671875" style="3447"/>
  </cols>
  <sheetData>
    <row r="1" spans="1:7">
      <c r="A1" s="3447" t="s">
        <v>3398</v>
      </c>
      <c r="B1" s="3447" t="s">
        <v>3399</v>
      </c>
      <c r="C1" s="3447" t="s">
        <v>3400</v>
      </c>
      <c r="D1" s="3447" t="s">
        <v>3401</v>
      </c>
      <c r="E1" s="3447" t="s">
        <v>3402</v>
      </c>
      <c r="F1" s="3447" t="s">
        <v>3403</v>
      </c>
      <c r="G1" s="3447" t="s">
        <v>3404</v>
      </c>
    </row>
    <row r="2" spans="1:7">
      <c r="A2" s="3447" t="s">
        <v>3405</v>
      </c>
      <c r="B2" s="3447">
        <v>168</v>
      </c>
      <c r="C2" s="3447">
        <v>42241</v>
      </c>
      <c r="D2" s="3447">
        <v>61819</v>
      </c>
      <c r="E2" s="3447">
        <v>261127.75</v>
      </c>
      <c r="F2" s="3447" t="s">
        <v>633</v>
      </c>
      <c r="G2" s="3447" t="s">
        <v>633</v>
      </c>
    </row>
    <row r="3" spans="1:7">
      <c r="A3" s="3447" t="s">
        <v>3406</v>
      </c>
      <c r="B3" s="3447">
        <v>168</v>
      </c>
      <c r="C3" s="3447">
        <v>42241</v>
      </c>
      <c r="D3" s="3447">
        <v>61819</v>
      </c>
      <c r="E3" s="3447">
        <v>261127.75</v>
      </c>
      <c r="F3" s="3447" t="s">
        <v>633</v>
      </c>
      <c r="G3" s="3447" t="s">
        <v>633</v>
      </c>
    </row>
    <row r="4" spans="1:7">
      <c r="A4" s="3447" t="s">
        <v>3407</v>
      </c>
      <c r="B4" s="3447" t="s">
        <v>633</v>
      </c>
      <c r="C4" s="3447" t="s">
        <v>633</v>
      </c>
      <c r="D4" s="3447" t="s">
        <v>633</v>
      </c>
      <c r="E4" s="3447" t="s">
        <v>633</v>
      </c>
      <c r="F4" s="3447">
        <v>6</v>
      </c>
      <c r="G4" s="3447">
        <v>1792</v>
      </c>
    </row>
    <row r="5" spans="1:7">
      <c r="A5" s="3447" t="s">
        <v>3408</v>
      </c>
      <c r="B5" s="3447" t="s">
        <v>633</v>
      </c>
      <c r="C5" s="3447" t="s">
        <v>633</v>
      </c>
      <c r="D5" s="3447" t="s">
        <v>633</v>
      </c>
      <c r="E5" s="3447" t="s">
        <v>633</v>
      </c>
      <c r="F5" s="3447">
        <v>6</v>
      </c>
      <c r="G5" s="3447">
        <v>1792</v>
      </c>
    </row>
    <row r="6" spans="1:7">
      <c r="A6" s="3447" t="s">
        <v>3409</v>
      </c>
      <c r="B6" s="3447" t="s">
        <v>633</v>
      </c>
      <c r="C6" s="3447" t="s">
        <v>633</v>
      </c>
      <c r="D6" s="3447" t="s">
        <v>633</v>
      </c>
      <c r="E6" s="3447" t="s">
        <v>633</v>
      </c>
      <c r="F6" s="3447">
        <v>6</v>
      </c>
      <c r="G6" s="3447">
        <v>1792</v>
      </c>
    </row>
    <row r="7" spans="1:7">
      <c r="A7" s="3447" t="s">
        <v>3410</v>
      </c>
      <c r="B7" s="3447" t="s">
        <v>633</v>
      </c>
      <c r="C7" s="3447" t="s">
        <v>633</v>
      </c>
      <c r="D7" s="3447" t="s">
        <v>633</v>
      </c>
      <c r="E7" s="3447" t="s">
        <v>633</v>
      </c>
      <c r="F7" s="3447">
        <v>6</v>
      </c>
      <c r="G7" s="3447">
        <v>1792</v>
      </c>
    </row>
    <row r="8" spans="1:7">
      <c r="A8" s="3447" t="s">
        <v>3411</v>
      </c>
      <c r="B8" s="3447" t="s">
        <v>633</v>
      </c>
      <c r="C8" s="3447" t="s">
        <v>633</v>
      </c>
      <c r="D8" s="3447" t="s">
        <v>633</v>
      </c>
      <c r="E8" s="3447" t="s">
        <v>633</v>
      </c>
      <c r="F8" s="3447">
        <v>6</v>
      </c>
      <c r="G8" s="3447">
        <v>1792</v>
      </c>
    </row>
    <row r="9" spans="1:7">
      <c r="A9" s="3447" t="s">
        <v>3412</v>
      </c>
      <c r="B9" s="3447" t="s">
        <v>633</v>
      </c>
      <c r="C9" s="3447" t="s">
        <v>633</v>
      </c>
      <c r="D9" s="3447" t="s">
        <v>633</v>
      </c>
      <c r="E9" s="3447" t="s">
        <v>633</v>
      </c>
      <c r="F9" s="3447">
        <v>6</v>
      </c>
      <c r="G9" s="3447">
        <v>1792</v>
      </c>
    </row>
    <row r="10" spans="1:7">
      <c r="A10" s="3447" t="s">
        <v>3413</v>
      </c>
      <c r="B10" s="3447" t="s">
        <v>633</v>
      </c>
      <c r="C10" s="3447" t="s">
        <v>633</v>
      </c>
      <c r="D10" s="3447" t="s">
        <v>633</v>
      </c>
      <c r="E10" s="3447" t="s">
        <v>633</v>
      </c>
      <c r="F10" s="3447">
        <v>6</v>
      </c>
      <c r="G10" s="3447">
        <v>1792</v>
      </c>
    </row>
    <row r="11" spans="1:7">
      <c r="A11" s="3447" t="s">
        <v>3414</v>
      </c>
      <c r="B11" s="3447" t="s">
        <v>633</v>
      </c>
      <c r="C11" s="3447" t="s">
        <v>633</v>
      </c>
      <c r="D11" s="3447" t="s">
        <v>633</v>
      </c>
      <c r="E11" s="3447" t="s">
        <v>633</v>
      </c>
      <c r="F11" s="3447">
        <v>6</v>
      </c>
      <c r="G11" s="3447">
        <v>1792</v>
      </c>
    </row>
    <row r="12" spans="1:7">
      <c r="A12" s="3447" t="s">
        <v>3415</v>
      </c>
      <c r="B12" s="3447" t="s">
        <v>633</v>
      </c>
      <c r="C12" s="3447" t="s">
        <v>633</v>
      </c>
      <c r="D12" s="3447" t="s">
        <v>633</v>
      </c>
      <c r="E12" s="3447" t="s">
        <v>633</v>
      </c>
      <c r="F12" s="3447">
        <v>6</v>
      </c>
      <c r="G12" s="3447">
        <v>1792</v>
      </c>
    </row>
    <row r="13" spans="1:7">
      <c r="A13" s="3447" t="s">
        <v>3416</v>
      </c>
      <c r="B13" s="3447" t="s">
        <v>633</v>
      </c>
      <c r="C13" s="3447" t="s">
        <v>633</v>
      </c>
      <c r="D13" s="3447" t="s">
        <v>633</v>
      </c>
      <c r="E13" s="3447" t="s">
        <v>633</v>
      </c>
      <c r="F13" s="3447">
        <v>6</v>
      </c>
      <c r="G13" s="3447">
        <v>1792</v>
      </c>
    </row>
    <row r="14" spans="1:7">
      <c r="A14" s="3447" t="s">
        <v>3417</v>
      </c>
      <c r="B14" s="3447" t="s">
        <v>633</v>
      </c>
      <c r="C14" s="3447" t="s">
        <v>633</v>
      </c>
      <c r="D14" s="3447" t="s">
        <v>633</v>
      </c>
      <c r="E14" s="3447" t="s">
        <v>633</v>
      </c>
      <c r="F14" s="3447">
        <v>6</v>
      </c>
      <c r="G14" s="3447">
        <v>1792</v>
      </c>
    </row>
    <row r="15" spans="1:7">
      <c r="A15" s="3447" t="s">
        <v>3418</v>
      </c>
      <c r="B15" s="3447" t="s">
        <v>633</v>
      </c>
      <c r="C15" s="3447" t="s">
        <v>633</v>
      </c>
      <c r="D15" s="3447" t="s">
        <v>633</v>
      </c>
      <c r="E15" s="3447" t="s">
        <v>633</v>
      </c>
      <c r="F15" s="3447">
        <v>6</v>
      </c>
      <c r="G15" s="3447">
        <v>1792</v>
      </c>
    </row>
    <row r="16" spans="1:7">
      <c r="A16" s="3447" t="s">
        <v>3419</v>
      </c>
      <c r="B16" s="3447" t="s">
        <v>633</v>
      </c>
      <c r="C16" s="3447" t="s">
        <v>633</v>
      </c>
      <c r="D16" s="3447" t="s">
        <v>633</v>
      </c>
      <c r="E16" s="3447" t="s">
        <v>633</v>
      </c>
      <c r="F16" s="3447">
        <v>6</v>
      </c>
      <c r="G16" s="3447">
        <v>1792</v>
      </c>
    </row>
    <row r="17" spans="1:7">
      <c r="A17" s="3447" t="s">
        <v>3420</v>
      </c>
      <c r="B17" s="3447">
        <v>1</v>
      </c>
      <c r="C17" s="3447">
        <v>197</v>
      </c>
      <c r="D17" s="3447">
        <v>80000</v>
      </c>
      <c r="E17" s="3447">
        <v>1572.32</v>
      </c>
      <c r="F17" s="3447">
        <v>6</v>
      </c>
      <c r="G17" s="3447">
        <v>1792</v>
      </c>
    </row>
    <row r="18" spans="1:7">
      <c r="A18" s="3447" t="s">
        <v>3421</v>
      </c>
      <c r="B18" s="3447" t="s">
        <v>633</v>
      </c>
      <c r="C18" s="3447" t="s">
        <v>633</v>
      </c>
      <c r="D18" s="3447" t="s">
        <v>633</v>
      </c>
      <c r="E18" s="3447" t="s">
        <v>633</v>
      </c>
      <c r="F18" s="3447">
        <v>7</v>
      </c>
      <c r="G18" s="3447">
        <v>1988</v>
      </c>
    </row>
    <row r="19" spans="1:7">
      <c r="A19" s="3447" t="s">
        <v>3422</v>
      </c>
      <c r="B19" s="3447" t="s">
        <v>633</v>
      </c>
      <c r="C19" s="3447" t="s">
        <v>633</v>
      </c>
      <c r="D19" s="3447" t="s">
        <v>633</v>
      </c>
      <c r="E19" s="3447" t="s">
        <v>633</v>
      </c>
      <c r="F19" s="3447">
        <v>7</v>
      </c>
      <c r="G19" s="3447">
        <v>1988</v>
      </c>
    </row>
    <row r="20" spans="1:7">
      <c r="A20" s="3447" t="s">
        <v>3423</v>
      </c>
      <c r="B20" s="3447">
        <v>1</v>
      </c>
      <c r="C20" s="3447">
        <v>344</v>
      </c>
      <c r="D20" s="3447">
        <v>100000</v>
      </c>
      <c r="E20" s="3447">
        <v>3435.6</v>
      </c>
      <c r="F20" s="3447">
        <v>7</v>
      </c>
      <c r="G20" s="3447">
        <v>1988</v>
      </c>
    </row>
    <row r="21" spans="1:7">
      <c r="A21" s="3447" t="s">
        <v>3424</v>
      </c>
      <c r="B21" s="3447">
        <v>2</v>
      </c>
      <c r="C21" s="3447">
        <v>581</v>
      </c>
      <c r="D21" s="3447">
        <v>95045</v>
      </c>
      <c r="E21" s="3447">
        <v>5526.38</v>
      </c>
      <c r="F21" s="3447">
        <v>9</v>
      </c>
      <c r="G21" s="3447">
        <v>2676</v>
      </c>
    </row>
    <row r="22" spans="1:7">
      <c r="A22" s="3447" t="s">
        <v>3425</v>
      </c>
      <c r="B22" s="3447" t="s">
        <v>633</v>
      </c>
      <c r="C22" s="3447" t="s">
        <v>633</v>
      </c>
      <c r="D22" s="3447" t="s">
        <v>633</v>
      </c>
      <c r="E22" s="3447" t="s">
        <v>633</v>
      </c>
      <c r="F22" s="3447">
        <v>9</v>
      </c>
      <c r="G22" s="3447">
        <v>2676</v>
      </c>
    </row>
    <row r="23" spans="1:7">
      <c r="A23" s="3447" t="s">
        <v>3426</v>
      </c>
      <c r="B23" s="3447" t="s">
        <v>633</v>
      </c>
      <c r="C23" s="3447" t="s">
        <v>633</v>
      </c>
      <c r="D23" s="3447" t="s">
        <v>633</v>
      </c>
      <c r="E23" s="3447" t="s">
        <v>633</v>
      </c>
      <c r="F23" s="3447">
        <v>11</v>
      </c>
      <c r="G23" s="3447">
        <v>3110</v>
      </c>
    </row>
    <row r="24" spans="1:7">
      <c r="A24" s="3447" t="s">
        <v>3427</v>
      </c>
      <c r="B24" s="3447" t="s">
        <v>633</v>
      </c>
      <c r="C24" s="3447" t="s">
        <v>633</v>
      </c>
      <c r="D24" s="3447" t="s">
        <v>633</v>
      </c>
      <c r="E24" s="3447" t="s">
        <v>633</v>
      </c>
      <c r="F24" s="3447">
        <v>11</v>
      </c>
      <c r="G24" s="3447">
        <v>3110</v>
      </c>
    </row>
    <row r="25" spans="1:7">
      <c r="A25" s="3447" t="s">
        <v>3428</v>
      </c>
      <c r="B25" s="3447" t="s">
        <v>633</v>
      </c>
      <c r="C25" s="3447" t="s">
        <v>633</v>
      </c>
      <c r="D25" s="3447" t="s">
        <v>633</v>
      </c>
      <c r="E25" s="3447" t="s">
        <v>633</v>
      </c>
      <c r="F25" s="3447">
        <v>11</v>
      </c>
      <c r="G25" s="3447">
        <v>3110</v>
      </c>
    </row>
    <row r="26" spans="1:7">
      <c r="A26" s="3447" t="s">
        <v>3429</v>
      </c>
      <c r="B26" s="3447">
        <v>2</v>
      </c>
      <c r="C26" s="3447">
        <v>434</v>
      </c>
      <c r="D26" s="3447">
        <v>80000</v>
      </c>
      <c r="E26" s="3447">
        <v>3475.44</v>
      </c>
      <c r="F26" s="3447">
        <v>11</v>
      </c>
      <c r="G26" s="3447">
        <v>3110</v>
      </c>
    </row>
    <row r="27" spans="1:7">
      <c r="A27" s="3447" t="s">
        <v>3430</v>
      </c>
      <c r="B27" s="3447" t="s">
        <v>633</v>
      </c>
      <c r="C27" s="3447" t="s">
        <v>633</v>
      </c>
      <c r="D27" s="3447" t="s">
        <v>633</v>
      </c>
      <c r="E27" s="3447" t="s">
        <v>633</v>
      </c>
      <c r="F27" s="3447">
        <v>11</v>
      </c>
      <c r="G27" s="3447">
        <v>3110</v>
      </c>
    </row>
    <row r="28" spans="1:7">
      <c r="A28" s="3447" t="s">
        <v>3431</v>
      </c>
      <c r="B28" s="3447" t="s">
        <v>633</v>
      </c>
      <c r="C28" s="3447" t="s">
        <v>633</v>
      </c>
      <c r="D28" s="3447" t="s">
        <v>633</v>
      </c>
      <c r="E28" s="3447" t="s">
        <v>633</v>
      </c>
      <c r="F28" s="3447">
        <v>11</v>
      </c>
      <c r="G28" s="3447">
        <v>3110</v>
      </c>
    </row>
    <row r="29" spans="1:7">
      <c r="A29" s="3447" t="s">
        <v>3432</v>
      </c>
      <c r="B29" s="3447">
        <v>4</v>
      </c>
      <c r="C29" s="3447">
        <v>1017</v>
      </c>
      <c r="D29" s="3447">
        <v>95057</v>
      </c>
      <c r="E29" s="3447">
        <v>9663.1</v>
      </c>
      <c r="F29" s="3447">
        <v>11</v>
      </c>
      <c r="G29" s="3447">
        <v>3110</v>
      </c>
    </row>
    <row r="30" spans="1:7">
      <c r="A30" s="3447" t="s">
        <v>3433</v>
      </c>
      <c r="B30" s="3447">
        <v>3</v>
      </c>
      <c r="C30" s="3447">
        <v>728</v>
      </c>
      <c r="D30" s="3447">
        <v>82000</v>
      </c>
      <c r="E30" s="3447">
        <v>5971.73</v>
      </c>
      <c r="F30" s="3447">
        <v>15</v>
      </c>
      <c r="G30" s="3447">
        <v>4127</v>
      </c>
    </row>
    <row r="31" spans="1:7">
      <c r="A31" s="3447" t="s">
        <v>3434</v>
      </c>
      <c r="B31" s="3447">
        <v>1</v>
      </c>
      <c r="C31" s="3447">
        <v>197</v>
      </c>
      <c r="D31" s="3447">
        <v>70000</v>
      </c>
      <c r="E31" s="3447">
        <v>1376.2</v>
      </c>
      <c r="F31" s="3447" t="s">
        <v>633</v>
      </c>
      <c r="G31" s="3447" t="s">
        <v>633</v>
      </c>
    </row>
    <row r="32" spans="1:7">
      <c r="A32" s="3447" t="s">
        <v>3435</v>
      </c>
      <c r="B32" s="3447">
        <v>3</v>
      </c>
      <c r="C32" s="3447">
        <v>858</v>
      </c>
      <c r="D32" s="3447">
        <v>68433</v>
      </c>
      <c r="E32" s="3447">
        <v>5870.99</v>
      </c>
      <c r="F32" s="3447" t="s">
        <v>633</v>
      </c>
      <c r="G32" s="3447" t="s">
        <v>633</v>
      </c>
    </row>
    <row r="33" spans="1:7">
      <c r="A33" s="3447" t="s">
        <v>3436</v>
      </c>
      <c r="B33" s="3447">
        <v>15</v>
      </c>
      <c r="C33" s="3447">
        <v>3661</v>
      </c>
      <c r="D33" s="3447">
        <v>62703</v>
      </c>
      <c r="E33" s="3447">
        <v>22957.77</v>
      </c>
      <c r="F33" s="3447" t="s">
        <v>633</v>
      </c>
      <c r="G33" s="3447" t="s">
        <v>633</v>
      </c>
    </row>
    <row r="34" spans="1:7">
      <c r="A34" s="3447" t="s">
        <v>3437</v>
      </c>
      <c r="B34" s="3447">
        <v>1</v>
      </c>
      <c r="C34" s="3447">
        <v>393</v>
      </c>
      <c r="D34" s="3447">
        <v>79000</v>
      </c>
      <c r="E34" s="3447">
        <v>3103.52</v>
      </c>
      <c r="F34" s="3447" t="s">
        <v>633</v>
      </c>
      <c r="G34" s="3447" t="s">
        <v>633</v>
      </c>
    </row>
    <row r="35" spans="1:7">
      <c r="A35" s="3447" t="s">
        <v>3438</v>
      </c>
      <c r="B35" s="3447" t="s">
        <v>633</v>
      </c>
      <c r="C35" s="3447" t="s">
        <v>633</v>
      </c>
      <c r="D35" s="3447" t="s">
        <v>633</v>
      </c>
      <c r="E35" s="3447" t="s">
        <v>633</v>
      </c>
      <c r="F35" s="3447">
        <v>40</v>
      </c>
      <c r="G35" s="3447">
        <v>10489</v>
      </c>
    </row>
    <row r="36" spans="1:7">
      <c r="A36" s="3447" t="s">
        <v>3439</v>
      </c>
      <c r="B36" s="3447">
        <v>9</v>
      </c>
      <c r="C36" s="3447">
        <v>2183</v>
      </c>
      <c r="D36" s="3447">
        <v>57561</v>
      </c>
      <c r="E36" s="3447">
        <v>12564.25</v>
      </c>
      <c r="F36" s="3447">
        <v>40</v>
      </c>
      <c r="G36" s="3447">
        <v>10489</v>
      </c>
    </row>
    <row r="37" spans="1:7">
      <c r="A37" s="3447" t="s">
        <v>3440</v>
      </c>
      <c r="B37" s="3447" t="s">
        <v>633</v>
      </c>
      <c r="C37" s="3447" t="s">
        <v>633</v>
      </c>
      <c r="D37" s="3447" t="s">
        <v>633</v>
      </c>
      <c r="E37" s="3447" t="s">
        <v>633</v>
      </c>
      <c r="F37" s="3447">
        <v>49</v>
      </c>
      <c r="G37" s="3447">
        <v>12672</v>
      </c>
    </row>
    <row r="38" spans="1:7">
      <c r="A38" s="3447" t="s">
        <v>3441</v>
      </c>
      <c r="B38" s="3447">
        <v>3</v>
      </c>
      <c r="C38" s="3447">
        <v>816</v>
      </c>
      <c r="D38" s="3447">
        <v>62041</v>
      </c>
      <c r="E38" s="3447">
        <v>5061.32</v>
      </c>
      <c r="F38" s="3447">
        <v>49</v>
      </c>
      <c r="G38" s="3447">
        <v>12672</v>
      </c>
    </row>
    <row r="39" spans="1:7">
      <c r="A39" s="3447" t="s">
        <v>3442</v>
      </c>
      <c r="B39" s="3447" t="s">
        <v>633</v>
      </c>
      <c r="C39" s="3447" t="s">
        <v>633</v>
      </c>
      <c r="D39" s="3447" t="s">
        <v>633</v>
      </c>
      <c r="E39" s="3447" t="s">
        <v>633</v>
      </c>
      <c r="F39" s="3447">
        <v>52</v>
      </c>
      <c r="G39" s="3447">
        <v>13488</v>
      </c>
    </row>
    <row r="40" spans="1:7">
      <c r="A40" s="3447" t="s">
        <v>3443</v>
      </c>
      <c r="B40" s="3447" t="s">
        <v>633</v>
      </c>
      <c r="C40" s="3447" t="s">
        <v>633</v>
      </c>
      <c r="D40" s="3447" t="s">
        <v>633</v>
      </c>
      <c r="E40" s="3447" t="s">
        <v>633</v>
      </c>
      <c r="F40" s="3447">
        <v>52</v>
      </c>
      <c r="G40" s="3447">
        <v>13488</v>
      </c>
    </row>
    <row r="41" spans="1:7">
      <c r="A41" s="3447" t="s">
        <v>3444</v>
      </c>
      <c r="B41" s="3447" t="s">
        <v>633</v>
      </c>
      <c r="C41" s="3447" t="s">
        <v>633</v>
      </c>
      <c r="D41" s="3447" t="s">
        <v>633</v>
      </c>
      <c r="E41" s="3447" t="s">
        <v>633</v>
      </c>
      <c r="F41" s="3447">
        <v>52</v>
      </c>
      <c r="G41" s="3447">
        <v>13488</v>
      </c>
    </row>
    <row r="42" spans="1:7">
      <c r="A42" s="3447" t="s">
        <v>3445</v>
      </c>
      <c r="B42" s="3447" t="s">
        <v>633</v>
      </c>
      <c r="C42" s="3447" t="s">
        <v>633</v>
      </c>
      <c r="D42" s="3447" t="s">
        <v>633</v>
      </c>
      <c r="E42" s="3447" t="s">
        <v>633</v>
      </c>
      <c r="F42" s="3447">
        <v>52</v>
      </c>
      <c r="G42" s="3447">
        <v>13488</v>
      </c>
    </row>
    <row r="43" spans="1:7">
      <c r="A43" s="3447" t="s">
        <v>3446</v>
      </c>
      <c r="B43" s="3447">
        <v>14</v>
      </c>
      <c r="C43" s="3447">
        <v>3303</v>
      </c>
      <c r="D43" s="3447">
        <v>54502</v>
      </c>
      <c r="E43" s="3447">
        <v>18003.97</v>
      </c>
      <c r="F43" s="3447">
        <v>52</v>
      </c>
      <c r="G43" s="3447">
        <v>13488</v>
      </c>
    </row>
    <row r="44" spans="1:7">
      <c r="A44" s="3447" t="s">
        <v>3447</v>
      </c>
      <c r="B44" s="3447">
        <v>2</v>
      </c>
      <c r="C44" s="3447">
        <v>434</v>
      </c>
      <c r="D44" s="3447">
        <v>62379</v>
      </c>
      <c r="E44" s="3447">
        <v>2710.3</v>
      </c>
      <c r="F44" s="3447">
        <v>66</v>
      </c>
      <c r="G44" s="3447">
        <v>16791</v>
      </c>
    </row>
    <row r="45" spans="1:7">
      <c r="A45" s="3447" t="s">
        <v>3448</v>
      </c>
      <c r="B45" s="3447" t="s">
        <v>633</v>
      </c>
      <c r="C45" s="3447" t="s">
        <v>633</v>
      </c>
      <c r="D45" s="3447" t="s">
        <v>633</v>
      </c>
      <c r="E45" s="3447" t="s">
        <v>633</v>
      </c>
      <c r="F45" s="3447">
        <v>68</v>
      </c>
      <c r="G45" s="3447">
        <v>17225</v>
      </c>
    </row>
    <row r="46" spans="1:7">
      <c r="A46" s="3447" t="s">
        <v>3449</v>
      </c>
      <c r="B46" s="3447">
        <v>2</v>
      </c>
      <c r="C46" s="3447">
        <v>484</v>
      </c>
      <c r="D46" s="3447">
        <v>52970</v>
      </c>
      <c r="E46" s="3447">
        <v>2564.58</v>
      </c>
      <c r="F46" s="3447">
        <v>68</v>
      </c>
      <c r="G46" s="3447">
        <v>17225</v>
      </c>
    </row>
    <row r="47" spans="1:7">
      <c r="A47" s="3447" t="s">
        <v>3450</v>
      </c>
      <c r="B47" s="3447" t="s">
        <v>633</v>
      </c>
      <c r="C47" s="3447" t="s">
        <v>633</v>
      </c>
      <c r="D47" s="3447" t="s">
        <v>633</v>
      </c>
      <c r="E47" s="3447" t="s">
        <v>633</v>
      </c>
      <c r="F47" s="3447">
        <v>70</v>
      </c>
      <c r="G47" s="3447">
        <v>17710</v>
      </c>
    </row>
    <row r="48" spans="1:7">
      <c r="A48" s="3447" t="s">
        <v>3451</v>
      </c>
      <c r="B48" s="3447" t="s">
        <v>633</v>
      </c>
      <c r="C48" s="3447" t="s">
        <v>633</v>
      </c>
      <c r="D48" s="3447" t="s">
        <v>633</v>
      </c>
      <c r="E48" s="3447" t="s">
        <v>633</v>
      </c>
      <c r="F48" s="3447">
        <v>70</v>
      </c>
      <c r="G48" s="3447">
        <v>17710</v>
      </c>
    </row>
    <row r="49" spans="1:7">
      <c r="A49" s="3447" t="s">
        <v>3452</v>
      </c>
      <c r="B49" s="3447">
        <v>19</v>
      </c>
      <c r="C49" s="3447">
        <v>5601</v>
      </c>
      <c r="D49" s="3447">
        <v>64774</v>
      </c>
      <c r="E49" s="3447">
        <v>36282.18</v>
      </c>
      <c r="F49" s="3447">
        <v>70</v>
      </c>
      <c r="G49" s="3447">
        <v>17710</v>
      </c>
    </row>
    <row r="50" spans="1:7">
      <c r="A50" s="3447" t="s">
        <v>3453</v>
      </c>
      <c r="B50" s="3447" t="s">
        <v>633</v>
      </c>
      <c r="C50" s="3447" t="s">
        <v>633</v>
      </c>
      <c r="D50" s="3447" t="s">
        <v>633</v>
      </c>
      <c r="E50" s="3447" t="s">
        <v>633</v>
      </c>
      <c r="F50" s="3447">
        <v>89</v>
      </c>
      <c r="G50" s="3447">
        <v>23311</v>
      </c>
    </row>
    <row r="51" spans="1:7">
      <c r="A51" s="3447" t="s">
        <v>3454</v>
      </c>
      <c r="B51" s="3447">
        <v>5</v>
      </c>
      <c r="C51" s="3447">
        <v>1210</v>
      </c>
      <c r="D51" s="3447">
        <v>63366</v>
      </c>
      <c r="E51" s="3447">
        <v>7665.79</v>
      </c>
      <c r="F51" s="3447">
        <v>89</v>
      </c>
      <c r="G51" s="3447">
        <v>23311</v>
      </c>
    </row>
    <row r="52" spans="1:7">
      <c r="A52" s="3447" t="s">
        <v>3455</v>
      </c>
      <c r="B52" s="3447">
        <v>1</v>
      </c>
      <c r="C52" s="3447">
        <v>238</v>
      </c>
      <c r="D52" s="3447">
        <v>50000</v>
      </c>
      <c r="E52" s="3447">
        <v>1189.45</v>
      </c>
      <c r="F52" s="3447">
        <v>94</v>
      </c>
      <c r="G52" s="3447">
        <v>24521</v>
      </c>
    </row>
    <row r="53" spans="1:7">
      <c r="A53" s="3447" t="s">
        <v>3456</v>
      </c>
      <c r="B53" s="3447" t="s">
        <v>633</v>
      </c>
      <c r="C53" s="3447" t="s">
        <v>633</v>
      </c>
      <c r="D53" s="3447" t="s">
        <v>633</v>
      </c>
      <c r="E53" s="3447" t="s">
        <v>633</v>
      </c>
      <c r="F53" s="3447">
        <v>95</v>
      </c>
      <c r="G53" s="3447">
        <v>24759</v>
      </c>
    </row>
    <row r="54" spans="1:7">
      <c r="A54" s="3447" t="s">
        <v>3457</v>
      </c>
      <c r="B54" s="3447" t="s">
        <v>633</v>
      </c>
      <c r="C54" s="3447" t="s">
        <v>633</v>
      </c>
      <c r="D54" s="3447" t="s">
        <v>633</v>
      </c>
      <c r="E54" s="3447" t="s">
        <v>633</v>
      </c>
      <c r="F54" s="3447">
        <v>95</v>
      </c>
      <c r="G54" s="3447">
        <v>24759</v>
      </c>
    </row>
    <row r="55" spans="1:7">
      <c r="A55" s="3447" t="s">
        <v>3458</v>
      </c>
      <c r="B55" s="3447">
        <v>3</v>
      </c>
      <c r="C55" s="3447">
        <v>722</v>
      </c>
      <c r="D55" s="3447">
        <v>59776</v>
      </c>
      <c r="E55" s="3447">
        <v>4315.78</v>
      </c>
      <c r="F55" s="3447">
        <v>95</v>
      </c>
      <c r="G55" s="3447">
        <v>24759</v>
      </c>
    </row>
    <row r="56" spans="1:7">
      <c r="A56" s="3447" t="s">
        <v>3459</v>
      </c>
      <c r="B56" s="3447">
        <v>1</v>
      </c>
      <c r="C56" s="3447">
        <v>197</v>
      </c>
      <c r="D56" s="3447">
        <v>80000</v>
      </c>
      <c r="E56" s="3447">
        <v>1572.8</v>
      </c>
      <c r="F56" s="3447">
        <v>98</v>
      </c>
      <c r="G56" s="3447">
        <v>25481</v>
      </c>
    </row>
    <row r="57" spans="1:7">
      <c r="A57" s="3447" t="s">
        <v>3460</v>
      </c>
      <c r="B57" s="3447">
        <v>5</v>
      </c>
      <c r="C57" s="3447">
        <v>1488</v>
      </c>
      <c r="D57" s="3447">
        <v>73110</v>
      </c>
      <c r="E57" s="3447">
        <v>10880.88</v>
      </c>
      <c r="F57" s="3447">
        <v>99</v>
      </c>
      <c r="G57" s="3447">
        <v>25677</v>
      </c>
    </row>
    <row r="58" spans="1:7">
      <c r="A58" s="3447" t="s">
        <v>3461</v>
      </c>
      <c r="B58" s="3447">
        <v>3</v>
      </c>
      <c r="C58" s="3447">
        <v>825</v>
      </c>
      <c r="D58" s="3447">
        <v>62960</v>
      </c>
      <c r="E58" s="3447">
        <v>5193.32</v>
      </c>
      <c r="F58" s="3447">
        <v>104</v>
      </c>
      <c r="G58" s="3447">
        <v>27165</v>
      </c>
    </row>
    <row r="59" spans="1:7">
      <c r="A59" s="3447" t="s">
        <v>3462</v>
      </c>
      <c r="B59" s="3447" t="s">
        <v>633</v>
      </c>
      <c r="C59" s="3447" t="s">
        <v>633</v>
      </c>
      <c r="D59" s="3447" t="s">
        <v>633</v>
      </c>
      <c r="E59" s="3447" t="s">
        <v>633</v>
      </c>
      <c r="F59" s="3447">
        <v>107</v>
      </c>
      <c r="G59" s="3447">
        <v>27990</v>
      </c>
    </row>
    <row r="60" spans="1:7">
      <c r="A60" s="3447" t="s">
        <v>3463</v>
      </c>
      <c r="B60" s="3447">
        <v>2</v>
      </c>
      <c r="C60" s="3447">
        <v>393</v>
      </c>
      <c r="D60" s="3447">
        <v>55000</v>
      </c>
      <c r="E60" s="3447">
        <v>2162.6</v>
      </c>
      <c r="F60" s="3447">
        <v>107</v>
      </c>
      <c r="G60" s="3447">
        <v>27990</v>
      </c>
    </row>
    <row r="61" spans="1:7">
      <c r="A61" s="3447" t="s">
        <v>3464</v>
      </c>
      <c r="B61" s="3447">
        <v>4</v>
      </c>
      <c r="C61" s="3447">
        <v>1012</v>
      </c>
      <c r="D61" s="3447">
        <v>60298</v>
      </c>
      <c r="E61" s="3447">
        <v>6104.24</v>
      </c>
      <c r="F61" s="3447">
        <v>109</v>
      </c>
      <c r="G61" s="3447">
        <v>28383</v>
      </c>
    </row>
    <row r="62" spans="1:7">
      <c r="A62" s="3447" t="s">
        <v>3465</v>
      </c>
      <c r="B62" s="3447" t="s">
        <v>633</v>
      </c>
      <c r="C62" s="3447" t="s">
        <v>633</v>
      </c>
      <c r="D62" s="3447" t="s">
        <v>633</v>
      </c>
      <c r="E62" s="3447" t="s">
        <v>633</v>
      </c>
      <c r="F62" s="3447">
        <v>113</v>
      </c>
      <c r="G62" s="3447">
        <v>29396</v>
      </c>
    </row>
    <row r="63" spans="1:7">
      <c r="A63" s="3447" t="s">
        <v>3466</v>
      </c>
      <c r="B63" s="3447">
        <v>3</v>
      </c>
      <c r="C63" s="3447">
        <v>825</v>
      </c>
      <c r="D63" s="3447">
        <v>64080</v>
      </c>
      <c r="E63" s="3447">
        <v>5285.7</v>
      </c>
      <c r="F63" s="3447">
        <v>113</v>
      </c>
      <c r="G63" s="3447">
        <v>29396</v>
      </c>
    </row>
    <row r="64" spans="1:7">
      <c r="A64" s="3447" t="s">
        <v>3467</v>
      </c>
      <c r="B64" s="3447">
        <v>2</v>
      </c>
      <c r="C64" s="3447">
        <v>578</v>
      </c>
      <c r="D64" s="3447">
        <v>68796</v>
      </c>
      <c r="E64" s="3447">
        <v>3975.78</v>
      </c>
      <c r="F64" s="3447">
        <v>116</v>
      </c>
      <c r="G64" s="3447">
        <v>30221</v>
      </c>
    </row>
    <row r="65" spans="1:7">
      <c r="A65" s="3447" t="s">
        <v>3468</v>
      </c>
      <c r="B65" s="3447" t="s">
        <v>633</v>
      </c>
      <c r="C65" s="3447" t="s">
        <v>633</v>
      </c>
      <c r="D65" s="3447" t="s">
        <v>633</v>
      </c>
      <c r="E65" s="3447" t="s">
        <v>633</v>
      </c>
      <c r="F65" s="3447">
        <v>117</v>
      </c>
      <c r="G65" s="3447">
        <v>30511</v>
      </c>
    </row>
    <row r="66" spans="1:7">
      <c r="A66" s="3447" t="s">
        <v>3469</v>
      </c>
      <c r="B66" s="3447">
        <v>9</v>
      </c>
      <c r="C66" s="3447">
        <v>2225</v>
      </c>
      <c r="D66" s="3447">
        <v>53080</v>
      </c>
      <c r="E66" s="3447">
        <v>11809.27</v>
      </c>
      <c r="F66" s="3447">
        <v>117</v>
      </c>
      <c r="G66" s="3447">
        <v>30511</v>
      </c>
    </row>
    <row r="67" spans="1:7">
      <c r="A67" s="3447" t="s">
        <v>3470</v>
      </c>
      <c r="B67" s="3447">
        <v>3</v>
      </c>
      <c r="C67" s="3447">
        <v>684</v>
      </c>
      <c r="D67" s="3447">
        <v>50000</v>
      </c>
      <c r="E67" s="3447">
        <v>3417.75</v>
      </c>
      <c r="F67" s="3447">
        <v>126</v>
      </c>
      <c r="G67" s="3447">
        <v>32736</v>
      </c>
    </row>
    <row r="68" spans="1:7">
      <c r="A68" s="3447" t="s">
        <v>3471</v>
      </c>
      <c r="B68" s="3447">
        <v>6</v>
      </c>
      <c r="C68" s="3447">
        <v>1448</v>
      </c>
      <c r="D68" s="3447">
        <v>49157</v>
      </c>
      <c r="E68" s="3447">
        <v>7118.92</v>
      </c>
      <c r="F68" s="3447">
        <v>129</v>
      </c>
      <c r="G68" s="3447">
        <v>33419</v>
      </c>
    </row>
    <row r="69" spans="1:7">
      <c r="A69" s="3447" t="s">
        <v>3472</v>
      </c>
      <c r="B69" s="3447">
        <v>39</v>
      </c>
      <c r="C69" s="3447">
        <v>9165</v>
      </c>
      <c r="D69" s="3447">
        <v>54879</v>
      </c>
      <c r="E69" s="3447">
        <v>50295.82</v>
      </c>
      <c r="F69" s="3447">
        <v>135</v>
      </c>
      <c r="G69" s="3447">
        <v>34868</v>
      </c>
    </row>
    <row r="70" spans="1:7">
      <c r="A70" s="3447" t="s">
        <v>3473</v>
      </c>
      <c r="B70" s="3447" t="s">
        <v>633</v>
      </c>
      <c r="C70" s="3447" t="s">
        <v>633</v>
      </c>
      <c r="D70" s="3447" t="s">
        <v>633</v>
      </c>
      <c r="E70" s="3447" t="s">
        <v>633</v>
      </c>
      <c r="F70" s="3447">
        <v>174</v>
      </c>
      <c r="G70" s="3447">
        <v>44033</v>
      </c>
    </row>
  </sheetData>
  <phoneticPr fontId="134"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41" sqref="F4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7" customWidth="1"/>
    <col min="12" max="12" width="16.33203125" style="258" customWidth="1"/>
    <col min="13" max="13" width="13" style="258" customWidth="1"/>
    <col min="14" max="14" width="13.77734375" style="1383" customWidth="1"/>
    <col min="15" max="15" width="5.109375" style="1383" customWidth="1"/>
    <col min="16" max="16" width="25.77734375" style="1383" customWidth="1"/>
    <col min="17" max="17" width="13.77734375" style="1383" customWidth="1"/>
    <col min="18" max="18" width="20.44140625" style="1383" customWidth="1"/>
    <col min="19" max="19" width="13.21875" style="1383" customWidth="1"/>
    <col min="20" max="37" width="9" style="1383"/>
    <col min="38" max="16384" width="9" style="258"/>
  </cols>
  <sheetData>
    <row r="1" spans="1:37" s="293" customFormat="1" ht="21.6">
      <c r="A1" s="1374" t="s">
        <v>877</v>
      </c>
      <c r="B1" s="713"/>
      <c r="C1" s="1378" t="s">
        <v>3392</v>
      </c>
      <c r="D1" s="1361" t="s">
        <v>43</v>
      </c>
      <c r="E1" s="1362" t="s">
        <v>678</v>
      </c>
      <c r="F1" s="1062">
        <f ca="1">J53</f>
        <v>45.53</v>
      </c>
      <c r="G1" s="1377">
        <f>MATCH(C1,'数据-取费表'!A6:A16,0)+5</f>
        <v>6</v>
      </c>
      <c r="H1" s="2689"/>
      <c r="I1" s="2690"/>
      <c r="J1" s="2690"/>
      <c r="K1" s="2691"/>
      <c r="L1" s="2690"/>
      <c r="M1" s="2690"/>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2">
        <f ca="1">ROUND(D2/10000,4)</f>
        <v>2667.7177999999999</v>
      </c>
      <c r="C2" s="1386" t="s">
        <v>879</v>
      </c>
      <c r="D2" s="1470">
        <f ca="1">C40+J29+L46</f>
        <v>26677178</v>
      </c>
      <c r="E2" s="1387" t="s">
        <v>880</v>
      </c>
      <c r="F2" s="1388"/>
      <c r="G2" s="2703"/>
      <c r="H2" s="2692"/>
      <c r="I2" s="2692"/>
      <c r="J2" s="2692"/>
      <c r="K2" s="2693"/>
      <c r="L2" s="2692"/>
      <c r="M2" s="2692"/>
    </row>
    <row r="3" spans="1:37" ht="18" customHeight="1" thickBot="1">
      <c r="A3" s="1389" t="s">
        <v>881</v>
      </c>
      <c r="B3" s="1390">
        <f ca="1">IF(ISERROR(D2/F43),0,ROUND(D2/F43,0))</f>
        <v>70974</v>
      </c>
      <c r="C3" s="1386" t="s">
        <v>882</v>
      </c>
      <c r="D3" s="1386"/>
      <c r="E3" s="1387"/>
      <c r="F3" s="1388"/>
      <c r="G3" s="2703"/>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1056762</v>
      </c>
      <c r="D5" s="1363" t="s">
        <v>889</v>
      </c>
      <c r="E5" s="1071"/>
      <c r="F5" s="1072"/>
      <c r="G5" s="1383"/>
      <c r="H5" s="299">
        <v>1</v>
      </c>
      <c r="I5" s="300" t="s">
        <v>888</v>
      </c>
      <c r="J5" s="1070">
        <f ca="1">J6+J10+J12</f>
        <v>0</v>
      </c>
      <c r="K5" s="1363" t="s">
        <v>889</v>
      </c>
      <c r="L5" s="1071"/>
      <c r="M5" s="1072"/>
    </row>
    <row r="6" spans="1:37" ht="18" customHeight="1">
      <c r="A6" s="1069" t="s">
        <v>398</v>
      </c>
      <c r="B6" s="3710" t="s">
        <v>694</v>
      </c>
      <c r="C6" s="1074">
        <f ca="1">ROUND(F6*F8*F7*(1-F9),0)</f>
        <v>1055443</v>
      </c>
      <c r="D6" s="155" t="s">
        <v>2104</v>
      </c>
      <c r="E6" s="302" t="s">
        <v>696</v>
      </c>
      <c r="F6" s="303">
        <f ca="1">INDIRECT("'数据-取费表'!u"&amp;$G$1)</f>
        <v>260</v>
      </c>
      <c r="G6" s="1383"/>
      <c r="H6" s="1069" t="s">
        <v>398</v>
      </c>
      <c r="I6" s="3710" t="s">
        <v>694</v>
      </c>
      <c r="J6" s="301">
        <f ca="1">ROUND(M6*M8*M7*(1-M9),0)</f>
        <v>0</v>
      </c>
      <c r="K6" s="1375" t="s">
        <v>2105</v>
      </c>
      <c r="L6" s="302" t="s">
        <v>696</v>
      </c>
      <c r="M6" s="303">
        <f ca="1">INDIRECT("'数据-取费表'!z"&amp;$G$1)</f>
        <v>0</v>
      </c>
    </row>
    <row r="7" spans="1:37" ht="18" customHeight="1">
      <c r="A7" s="1073"/>
      <c r="B7" s="3711"/>
      <c r="C7" s="1075"/>
      <c r="D7" s="307"/>
      <c r="E7" s="1076" t="s">
        <v>697</v>
      </c>
      <c r="F7" s="303">
        <f ca="1">IF(INDIRECT("'数据-取费表'!ah"&amp;$G$1)="",INDIRECT("'数据-取费表'!k"&amp;$G$1),INDIRECT("'数据-取费表'!ah"&amp;$G$1))</f>
        <v>375.87</v>
      </c>
      <c r="G7" s="1383"/>
      <c r="H7" s="304"/>
      <c r="I7" s="3711"/>
      <c r="J7" s="306"/>
      <c r="K7" s="307"/>
      <c r="L7" s="302" t="s">
        <v>697</v>
      </c>
      <c r="M7" s="303">
        <f ca="1">F7</f>
        <v>375.87</v>
      </c>
    </row>
    <row r="8" spans="1:37" ht="18" customHeight="1">
      <c r="A8" s="304"/>
      <c r="B8" s="3711"/>
      <c r="C8" s="306"/>
      <c r="D8" s="307"/>
      <c r="E8" s="302" t="s">
        <v>698</v>
      </c>
      <c r="F8" s="303">
        <f ca="1">INDIRECT("'数据-取费表'!ai"&amp;$G$1)</f>
        <v>12</v>
      </c>
      <c r="G8" s="1383"/>
      <c r="H8" s="304"/>
      <c r="I8" s="3711"/>
      <c r="J8" s="306"/>
      <c r="K8" s="307"/>
      <c r="L8" s="302" t="s">
        <v>698</v>
      </c>
      <c r="M8" s="303">
        <f ca="1">INDIRECT("'数据-取费表'!ai"&amp;$G$1)</f>
        <v>12</v>
      </c>
    </row>
    <row r="9" spans="1:37" ht="18" customHeight="1">
      <c r="A9" s="304"/>
      <c r="B9" s="3712"/>
      <c r="C9" s="306"/>
      <c r="D9" s="307"/>
      <c r="E9" s="302" t="s">
        <v>699</v>
      </c>
      <c r="F9" s="312">
        <f ca="1">INDIRECT("'数据-取费表'!w"&amp;$G$1)</f>
        <v>0.1</v>
      </c>
      <c r="G9" s="1383"/>
      <c r="H9" s="304"/>
      <c r="I9" s="3712"/>
      <c r="J9" s="306"/>
      <c r="K9" s="307"/>
      <c r="L9" s="313" t="s">
        <v>699</v>
      </c>
      <c r="M9" s="314">
        <f ca="1">INDIRECT("'数据-取费表'!ab"&amp;$G$1)</f>
        <v>0</v>
      </c>
    </row>
    <row r="10" spans="1:37" ht="18" customHeight="1">
      <c r="A10" s="1069" t="s">
        <v>402</v>
      </c>
      <c r="B10" s="1364" t="s">
        <v>700</v>
      </c>
      <c r="C10" s="316">
        <f ca="1">ROUND(IF(F10="押一",C6/12*F11,IF(F10="押二",C6/12*2*F11,IF(F10="押三",C6/12*3*F11,C11*F11))),0)</f>
        <v>1319</v>
      </c>
      <c r="D10" s="1365" t="s">
        <v>2114</v>
      </c>
      <c r="E10" s="313" t="s">
        <v>701</v>
      </c>
      <c r="F10" s="1116" t="s">
        <v>3486</v>
      </c>
      <c r="G10" s="1383"/>
      <c r="H10" s="1069" t="s">
        <v>402</v>
      </c>
      <c r="I10" s="1364" t="s">
        <v>700</v>
      </c>
      <c r="J10" s="301">
        <f ca="1">ROUND(IF(M10="押一",J6/12*M11,IF(M10="押二",J6/12*2*M11,IF(M10="押三",J6/12*3*M11,J11*M11))),0)</f>
        <v>0</v>
      </c>
      <c r="K10" s="1376" t="s">
        <v>2116</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12076092</v>
      </c>
      <c r="D13" s="1081" t="s">
        <v>705</v>
      </c>
      <c r="E13" s="1081" t="s">
        <v>706</v>
      </c>
      <c r="F13" s="1082">
        <f ca="1">INDIRECT("'数据-取费表'!y"&amp;$G$1)</f>
        <v>0.88</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7517400</v>
      </c>
      <c r="D14" s="1344" t="s">
        <v>708</v>
      </c>
      <c r="E14" s="1341"/>
      <c r="F14" s="319"/>
      <c r="G14" s="1383"/>
      <c r="H14" s="982" t="s">
        <v>398</v>
      </c>
      <c r="I14" s="302" t="s">
        <v>709</v>
      </c>
      <c r="J14" s="21">
        <f ca="1">C29</f>
        <v>13722832</v>
      </c>
      <c r="K14" s="12"/>
      <c r="L14" s="807"/>
      <c r="M14" s="808"/>
    </row>
    <row r="15" spans="1:37" s="1396" customFormat="1" ht="18" customHeight="1" thickBot="1">
      <c r="A15" s="982" t="s">
        <v>399</v>
      </c>
      <c r="B15" s="302" t="s">
        <v>710</v>
      </c>
      <c r="C15" s="21">
        <f ca="1">ROUND(C14*F15,0)</f>
        <v>751740</v>
      </c>
      <c r="D15" s="320" t="s">
        <v>711</v>
      </c>
      <c r="E15" s="320" t="s">
        <v>712</v>
      </c>
      <c r="F15" s="321">
        <f>'数据-取费表'!B33</f>
        <v>0.1</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751740</v>
      </c>
      <c r="D16" s="302" t="s">
        <v>711</v>
      </c>
      <c r="E16" s="302" t="s">
        <v>712</v>
      </c>
      <c r="F16" s="322">
        <f ca="1">IF(INDIRECT("'数据-取费表'!c"&amp;$G$1)="住宅",'数据-取费表'!B34,0)</f>
        <v>0.1</v>
      </c>
      <c r="G16" s="1383"/>
      <c r="H16" s="1079" t="s">
        <v>393</v>
      </c>
      <c r="I16" s="1080" t="s">
        <v>714</v>
      </c>
      <c r="J16" s="310">
        <f ca="1">ROUND(J17+J22+J23+J24,0)</f>
        <v>27446</v>
      </c>
      <c r="K16" s="1087" t="s">
        <v>715</v>
      </c>
      <c r="L16" s="1088"/>
      <c r="M16" s="1072"/>
    </row>
    <row r="17" spans="1:37" s="1396" customFormat="1" ht="18" customHeight="1">
      <c r="A17" s="982" t="s">
        <v>681</v>
      </c>
      <c r="B17" s="302" t="s">
        <v>716</v>
      </c>
      <c r="C17" s="21">
        <f ca="1">ROUND(F17*(F43+INDIRECT("'数据-取费表'!S"&amp;$G$1)),0)</f>
        <v>75174</v>
      </c>
      <c r="D17" s="302" t="s">
        <v>717</v>
      </c>
      <c r="E17" s="302" t="s">
        <v>718</v>
      </c>
      <c r="F17" s="23">
        <f>'数据-取费表'!B35</f>
        <v>200</v>
      </c>
      <c r="G17" s="1395"/>
      <c r="H17" s="982" t="s">
        <v>398</v>
      </c>
      <c r="I17" s="302" t="s">
        <v>719</v>
      </c>
      <c r="J17" s="2315">
        <f ca="1">ROUND(IF(AND(项目基本情况!B11="自然人",项目基本情况!B10="北京市"),J6*M17/(1+'数据-取费表'!C42),J18+J19+J20),0)</f>
        <v>0</v>
      </c>
      <c r="K17" s="1344" t="s">
        <v>720</v>
      </c>
      <c r="L17" s="1343" t="s">
        <v>721</v>
      </c>
      <c r="M17" s="2314" t="str">
        <f>IF(项目基本情况!B11="企业","",IF('数据-取费表'!B10="住宅",IF(M6*M7*M8/12/(1+'数据-取费表'!F30)&gt;100000,4%,2.5%),IF(M6*M7*M8/12/(1+'数据-取费表'!F30)&gt;100000,12%,7%)))</f>
        <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225522</v>
      </c>
      <c r="D18" s="302" t="s">
        <v>711</v>
      </c>
      <c r="E18" s="302" t="s">
        <v>712</v>
      </c>
      <c r="F18" s="322">
        <f>'数据-取费表'!B36</f>
        <v>0.03</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9321576</v>
      </c>
      <c r="D19" s="131" t="s">
        <v>726</v>
      </c>
      <c r="E19" s="1359"/>
      <c r="F19" s="23"/>
      <c r="G19" s="1383"/>
      <c r="H19" s="982" t="s">
        <v>399</v>
      </c>
      <c r="I19" s="302" t="s">
        <v>727</v>
      </c>
      <c r="J19" s="21">
        <f ca="1">IF(K19="按租金收入计税",ROUND(J6*M19/(1+'数据-取费表'!C42),0),ROUND(C29*M19*0.7,0))</f>
        <v>0</v>
      </c>
      <c r="K19" s="1369" t="s">
        <v>3333</v>
      </c>
      <c r="L19" s="302" t="s">
        <v>712</v>
      </c>
      <c r="M19" s="322">
        <f>IF(K19="按租金收入计税",'数据-取费表'!B51,'数据-取费表'!B50)</f>
        <v>0.12</v>
      </c>
    </row>
    <row r="20" spans="1:37" s="1396" customFormat="1" ht="18" customHeight="1">
      <c r="A20" s="982" t="s">
        <v>402</v>
      </c>
      <c r="B20" s="302" t="s">
        <v>728</v>
      </c>
      <c r="C20" s="21">
        <f ca="1">ROUND(C19*F20,0)</f>
        <v>279647</v>
      </c>
      <c r="D20" s="323" t="s">
        <v>729</v>
      </c>
      <c r="E20" s="302" t="s">
        <v>712</v>
      </c>
      <c r="F20" s="322">
        <f>'数据-取费表'!B37</f>
        <v>0.03</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27446</v>
      </c>
      <c r="K22" s="1343" t="s">
        <v>739</v>
      </c>
      <c r="L22" s="302" t="s">
        <v>712</v>
      </c>
      <c r="M22" s="328">
        <f ca="1">INDIRECT("'数据-取费表'!Ak"&amp;$G$1)</f>
        <v>2E-3</v>
      </c>
    </row>
    <row r="23" spans="1:37" s="1396" customFormat="1" ht="18" customHeight="1">
      <c r="A23" s="982" t="s">
        <v>397</v>
      </c>
      <c r="B23" s="302" t="s">
        <v>740</v>
      </c>
      <c r="C23" s="21">
        <f ca="1">IF('数据-取费表'!B22&lt;=1,ROUND(C19*F24*F23/2,0)+ROUND(C20*F24*F23/2,0),ROUND(C19*(POWER((1+F24),F23/2)-1),0)+ROUND(C20*(POWER((1+F24),F23/2)-1),0))</f>
        <v>456058</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-27446</v>
      </c>
      <c r="K25" s="1095" t="s">
        <v>753</v>
      </c>
      <c r="L25" s="1096"/>
      <c r="M25" s="1097"/>
    </row>
    <row r="26" spans="1:37" ht="18" customHeight="1">
      <c r="A26" s="982" t="s">
        <v>397</v>
      </c>
      <c r="B26" s="302" t="s">
        <v>754</v>
      </c>
      <c r="C26" s="21">
        <f ca="1">ROUND((C19+C20)*F26,0)</f>
        <v>2400306</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7.4999999999999997E-3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13722832</v>
      </c>
      <c r="D29" s="1092"/>
      <c r="E29" s="1090"/>
      <c r="F29" s="1093"/>
      <c r="G29" s="1395"/>
      <c r="H29" s="334" t="s">
        <v>396</v>
      </c>
      <c r="I29" s="335" t="s">
        <v>768</v>
      </c>
      <c r="J29" s="336">
        <f ca="1">ROUND(J26/(1+F40)^F41,0)</f>
        <v>0</v>
      </c>
      <c r="K29" s="337" t="s">
        <v>769</v>
      </c>
      <c r="L29" s="338"/>
      <c r="M29" s="339">
        <f ca="1">INDIRECT("'数据-取费表'!k"&amp;$G$1)</f>
        <v>375.87</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227002</v>
      </c>
      <c r="D30" s="1087" t="s">
        <v>715</v>
      </c>
      <c r="E30" s="1088"/>
      <c r="F30" s="1072"/>
      <c r="G30" s="1383"/>
      <c r="H30" s="2694"/>
      <c r="I30" s="1397"/>
      <c r="J30" s="1398"/>
      <c r="K30" s="2473"/>
      <c r="L30" s="2695"/>
      <c r="M30" s="2696"/>
    </row>
    <row r="31" spans="1:37" ht="18" customHeight="1">
      <c r="A31" s="982" t="s">
        <v>398</v>
      </c>
      <c r="B31" s="302" t="s">
        <v>719</v>
      </c>
      <c r="C31" s="2315">
        <f ca="1">ROUND(IF(AND(项目基本情况!B11="自然人",项目基本情况!B10="北京市"),C6*F31/(1+'数据-取费表'!C42),C32+C33+C34),0)</f>
        <v>176912</v>
      </c>
      <c r="D31" s="1344" t="s">
        <v>720</v>
      </c>
      <c r="E31" s="1343" t="s">
        <v>770</v>
      </c>
      <c r="F31" s="2314" t="str">
        <f>IF(项目基本情况!B11="企业","——",IF(M47="住宅",IF(F6*F7*F8/12/(1+'数据-取费表'!F30)&gt;100000,4%,2.5%),IF(F6*F7*F8/12/(1+'数据-取费表'!F30)&gt;100000,12%,7%)))</f>
        <v>——</v>
      </c>
      <c r="G31" s="1383"/>
      <c r="H31" s="2805" t="s">
        <v>2304</v>
      </c>
      <c r="I31" s="1397"/>
      <c r="J31" s="1398"/>
      <c r="K31" s="2473"/>
      <c r="L31" s="2695"/>
      <c r="M31" s="2696"/>
    </row>
    <row r="32" spans="1:37" ht="18" customHeight="1">
      <c r="A32" s="982" t="s">
        <v>397</v>
      </c>
      <c r="B32" s="302" t="s">
        <v>723</v>
      </c>
      <c r="C32" s="21">
        <f ca="1">IF(项目基本情况!B11="自然人","——",ROUND(C6*F32/(1+'数据-取费表'!C42),0))</f>
        <v>56290</v>
      </c>
      <c r="D32" s="1343" t="s">
        <v>724</v>
      </c>
      <c r="E32" s="302" t="s">
        <v>712</v>
      </c>
      <c r="F32" s="331">
        <f>'数据-取费表'!B41</f>
        <v>5.6000000000000001E-2</v>
      </c>
      <c r="G32" s="1383"/>
      <c r="H32" s="2694"/>
      <c r="I32" s="1397"/>
      <c r="J32" s="1398"/>
      <c r="K32" s="2473"/>
      <c r="L32" s="2695"/>
      <c r="M32" s="2696"/>
    </row>
    <row r="33" spans="1:18" ht="18" customHeight="1">
      <c r="A33" s="982" t="s">
        <v>399</v>
      </c>
      <c r="B33" s="302" t="s">
        <v>727</v>
      </c>
      <c r="C33" s="21">
        <f ca="1">IF(项目基本情况!B11="自然人","——",IF(D33="按租金收入计税",ROUND(C6*F33/(1+'数据-取费表'!C42),0),IF(D33="按房产原值计税",ROUND(C29*F33*0.7,0),INDIRECT("'数据-取费表'!Aj"&amp;$G$1))))</f>
        <v>120622</v>
      </c>
      <c r="D33" s="1369" t="s">
        <v>3333</v>
      </c>
      <c r="E33" s="302" t="s">
        <v>712</v>
      </c>
      <c r="F33" s="322">
        <f>IF(D33="按票据","——",IF(D33="按租金收入计税",'数据-取费表'!B51,'数据-取费表'!B50))</f>
        <v>0.12</v>
      </c>
      <c r="G33" s="1383"/>
      <c r="H33" s="2697"/>
      <c r="I33" s="1397"/>
      <c r="J33" s="1398"/>
      <c r="K33" s="2698"/>
      <c r="L33" s="2697"/>
      <c r="M33" s="2697"/>
    </row>
    <row r="34" spans="1:18" ht="18" customHeight="1">
      <c r="A34" s="1069" t="s">
        <v>680</v>
      </c>
      <c r="B34" s="155" t="s">
        <v>730</v>
      </c>
      <c r="C34" s="22">
        <f ca="1">IF(项目基本情况!B11="自然人","——",ROUND(F34*F35,0))</f>
        <v>0</v>
      </c>
      <c r="D34" s="324" t="s">
        <v>731</v>
      </c>
      <c r="E34" s="302" t="s">
        <v>732</v>
      </c>
      <c r="F34" s="325">
        <f>'数据-取费表'!B52</f>
        <v>0</v>
      </c>
      <c r="G34" s="1383"/>
      <c r="H34" s="2694"/>
      <c r="I34" s="1397"/>
      <c r="J34" s="1398"/>
      <c r="K34" s="2699"/>
      <c r="L34" s="2700"/>
      <c r="M34" s="2700"/>
    </row>
    <row r="35" spans="1:18" ht="18" customHeight="1">
      <c r="A35" s="1103"/>
      <c r="B35" s="1101"/>
      <c r="C35" s="26"/>
      <c r="D35" s="327"/>
      <c r="E35" s="302" t="s">
        <v>736</v>
      </c>
      <c r="F35" s="303">
        <f ca="1">INDIRECT("'数据-取费表'!r"&amp;$G$1)</f>
        <v>0</v>
      </c>
      <c r="G35" s="1383"/>
      <c r="H35" s="2694"/>
      <c r="I35" s="1397"/>
      <c r="J35" s="1398"/>
      <c r="K35" s="2698"/>
      <c r="L35" s="2697"/>
      <c r="M35" s="2697"/>
    </row>
    <row r="36" spans="1:18" ht="18" customHeight="1">
      <c r="A36" s="1102" t="s">
        <v>402</v>
      </c>
      <c r="B36" s="302" t="s">
        <v>738</v>
      </c>
      <c r="C36" s="21">
        <f ca="1">ROUND(C29*F36,0)</f>
        <v>27446</v>
      </c>
      <c r="D36" s="1343" t="s">
        <v>771</v>
      </c>
      <c r="E36" s="302" t="s">
        <v>712</v>
      </c>
      <c r="F36" s="328">
        <f ca="1">INDIRECT("'数据-取费表'!Ak"&amp;$G$1)</f>
        <v>2E-3</v>
      </c>
      <c r="G36" s="1383"/>
      <c r="H36" s="2697"/>
      <c r="I36" s="1397"/>
      <c r="J36" s="1398"/>
      <c r="K36" s="2541"/>
      <c r="L36" s="2697"/>
      <c r="M36" s="2697"/>
    </row>
    <row r="37" spans="1:18" ht="18" customHeight="1">
      <c r="A37" s="982" t="s">
        <v>437</v>
      </c>
      <c r="B37" s="302" t="s">
        <v>742</v>
      </c>
      <c r="C37" s="21">
        <f ca="1">ROUND(C13*F37,0)</f>
        <v>12076</v>
      </c>
      <c r="D37" s="1343" t="s">
        <v>743</v>
      </c>
      <c r="E37" s="302" t="s">
        <v>744</v>
      </c>
      <c r="F37" s="330">
        <f ca="1">INDIRECT("'数据-取费表'!Al"&amp;$G$1)</f>
        <v>1E-3</v>
      </c>
      <c r="G37" s="1383"/>
      <c r="H37" s="2697"/>
      <c r="I37" s="1397"/>
      <c r="J37" s="1398"/>
      <c r="K37" s="2541"/>
      <c r="L37" s="2697"/>
      <c r="M37" s="2697"/>
    </row>
    <row r="38" spans="1:18" ht="18" customHeight="1" thickBot="1">
      <c r="A38" s="1089" t="s">
        <v>684</v>
      </c>
      <c r="B38" s="1090" t="s">
        <v>728</v>
      </c>
      <c r="C38" s="1091">
        <f ca="1">ROUND(C5*F38,0)</f>
        <v>10568</v>
      </c>
      <c r="D38" s="1092" t="s">
        <v>748</v>
      </c>
      <c r="E38" s="1090" t="s">
        <v>744</v>
      </c>
      <c r="F38" s="1086">
        <f ca="1">INDIRECT("'数据-取费表'!Am"&amp;$G$1)</f>
        <v>0.01</v>
      </c>
      <c r="G38" s="1383"/>
      <c r="H38" s="2697"/>
      <c r="I38" s="1397"/>
      <c r="J38" s="1398"/>
      <c r="K38" s="2701"/>
      <c r="L38" s="2697"/>
      <c r="M38" s="2697"/>
    </row>
    <row r="39" spans="1:18" ht="24.6" customHeight="1" thickTop="1">
      <c r="A39" s="1079" t="s">
        <v>394</v>
      </c>
      <c r="B39" s="1094" t="s">
        <v>772</v>
      </c>
      <c r="C39" s="310">
        <f ca="1">C5-C30</f>
        <v>829760</v>
      </c>
      <c r="D39" s="1095" t="s">
        <v>773</v>
      </c>
      <c r="E39" s="1096"/>
      <c r="F39" s="1097"/>
      <c r="G39" s="1383"/>
      <c r="H39" s="2697"/>
      <c r="I39" s="1397"/>
      <c r="J39" s="1398"/>
      <c r="K39" s="2701"/>
      <c r="L39" s="2697"/>
      <c r="M39" s="2697"/>
    </row>
    <row r="40" spans="1:18" ht="18" customHeight="1">
      <c r="A40" s="299" t="s">
        <v>395</v>
      </c>
      <c r="B40" s="300" t="s">
        <v>774</v>
      </c>
      <c r="C40" s="301">
        <f ca="1">ROUND(C39*(1-((1+F42)/(1+F40))^F41)/(F40-F42),0)</f>
        <v>26677178</v>
      </c>
      <c r="D40" s="324" t="s">
        <v>758</v>
      </c>
      <c r="E40" s="302" t="s">
        <v>759</v>
      </c>
      <c r="F40" s="312">
        <f ca="1">INDIRECT("'数据-取费表'!I"&amp;$G$1)</f>
        <v>4.4999999999999998E-2</v>
      </c>
      <c r="G40" s="1383"/>
      <c r="H40" s="1460"/>
      <c r="I40" s="1397"/>
      <c r="J40" s="1398"/>
      <c r="K40" s="2701"/>
      <c r="L40" s="1460"/>
      <c r="M40" s="1460"/>
    </row>
    <row r="41" spans="1:18" ht="18" customHeight="1">
      <c r="A41" s="304"/>
      <c r="B41" s="305"/>
      <c r="C41" s="306"/>
      <c r="D41" s="332" t="s">
        <v>775</v>
      </c>
      <c r="E41" s="302" t="s">
        <v>763</v>
      </c>
      <c r="F41" s="333">
        <f ca="1">IF(INDIRECT("'数据-取费表'!af"&amp;$G$1)=0,INDIRECT("'数据-取费表'!ae"&amp;$G$1),INDIRECT("'数据-取费表'!af"&amp;$G$1))</f>
        <v>45.53</v>
      </c>
      <c r="G41" s="1383"/>
      <c r="H41" s="1190"/>
      <c r="I41" s="1397"/>
      <c r="J41" s="1398"/>
      <c r="K41" s="2541"/>
      <c r="L41" s="1190"/>
      <c r="M41" s="1190"/>
    </row>
    <row r="42" spans="1:18" ht="18" customHeight="1">
      <c r="A42" s="308"/>
      <c r="B42" s="309"/>
      <c r="C42" s="310"/>
      <c r="D42" s="327"/>
      <c r="E42" s="302" t="s">
        <v>766</v>
      </c>
      <c r="F42" s="312">
        <f ca="1">INDIRECT("'数据-取费表'!v"&amp;$G$1)</f>
        <v>0.03</v>
      </c>
      <c r="G42" s="1383"/>
      <c r="H42" s="1190"/>
      <c r="I42" s="1397"/>
      <c r="J42" s="1398"/>
      <c r="K42" s="2541"/>
      <c r="L42" s="1190"/>
      <c r="M42" s="1190"/>
    </row>
    <row r="43" spans="1:18" ht="18" customHeight="1" thickBot="1">
      <c r="A43" s="334" t="s">
        <v>396</v>
      </c>
      <c r="B43" s="335" t="s">
        <v>776</v>
      </c>
      <c r="C43" s="336">
        <f ca="1">ROUND(C40/F43,0)</f>
        <v>70974</v>
      </c>
      <c r="D43" s="337" t="s">
        <v>777</v>
      </c>
      <c r="E43" s="338" t="s">
        <v>778</v>
      </c>
      <c r="F43" s="339">
        <f ca="1">INDIRECT("'数据-取费表'!k"&amp;$G$1)</f>
        <v>375.87</v>
      </c>
      <c r="G43" s="1383"/>
      <c r="H43" s="1190"/>
      <c r="I43" s="1190"/>
      <c r="J43" s="1190"/>
      <c r="K43" s="2541"/>
      <c r="L43" s="1190"/>
      <c r="M43" s="1190"/>
    </row>
    <row r="44" spans="1:18" s="1383" customFormat="1" ht="18" customHeight="1">
      <c r="A44" s="1399"/>
      <c r="B44" s="1399"/>
      <c r="C44" s="1400"/>
      <c r="D44" s="1399"/>
      <c r="E44" s="1399"/>
      <c r="F44" s="1399"/>
      <c r="K44" s="1401"/>
    </row>
    <row r="45" spans="1:18" s="1383" customFormat="1" ht="18" customHeight="1" thickBot="1">
      <c r="A45" s="3428" t="s">
        <v>3349</v>
      </c>
      <c r="B45" s="1399"/>
      <c r="C45" s="1471">
        <f ca="1">ROUND((C68-C40)/10000,4)</f>
        <v>-2743.7069000000001</v>
      </c>
      <c r="D45" s="3429" t="s">
        <v>3350</v>
      </c>
      <c r="E45" s="1399"/>
      <c r="F45" s="1399"/>
      <c r="O45" s="1402" t="s">
        <v>808</v>
      </c>
      <c r="P45" s="1460"/>
      <c r="Q45" s="1460"/>
      <c r="R45" s="1460"/>
    </row>
    <row r="46" spans="1:18" s="1383" customFormat="1" ht="13.8" thickBot="1">
      <c r="A46" s="1403" t="s">
        <v>809</v>
      </c>
      <c r="C46" s="1404">
        <f ca="1">ROUND(C45,0)</f>
        <v>-2744</v>
      </c>
      <c r="D46" s="1405" t="str">
        <f>C2</f>
        <v>万元</v>
      </c>
      <c r="I46" s="1406" t="s">
        <v>810</v>
      </c>
      <c r="J46" s="1407"/>
      <c r="K46" s="1408"/>
      <c r="L46" s="1409">
        <f>IF(M47="住宅",0,IF(L48&gt;J51,L60,J60))</f>
        <v>0</v>
      </c>
      <c r="O46" s="1410" t="s">
        <v>811</v>
      </c>
      <c r="P46" s="1411" t="s">
        <v>812</v>
      </c>
      <c r="Q46" s="1412" t="s">
        <v>813</v>
      </c>
      <c r="R46" s="1412" t="s">
        <v>814</v>
      </c>
    </row>
    <row r="47" spans="1:18" s="1383" customFormat="1" ht="13.8" thickBot="1">
      <c r="A47" s="946" t="s">
        <v>687</v>
      </c>
      <c r="B47" s="978" t="s">
        <v>688</v>
      </c>
      <c r="C47" s="978" t="s">
        <v>689</v>
      </c>
      <c r="D47" s="978" t="s">
        <v>690</v>
      </c>
      <c r="E47" s="1058" t="s">
        <v>691</v>
      </c>
      <c r="F47" s="1059"/>
      <c r="G47" s="722"/>
      <c r="I47" s="1413" t="s">
        <v>815</v>
      </c>
      <c r="J47" s="1414" t="s">
        <v>3487</v>
      </c>
      <c r="K47" s="1415" t="s">
        <v>816</v>
      </c>
      <c r="L47" s="1416">
        <f ca="1">INDIRECT("'数据-取费表'!d"&amp;$G$1)</f>
        <v>70</v>
      </c>
      <c r="M47" s="1379" t="str">
        <f>IF(ISNUMBER(FIND("住宅",C1)),"住宅","非住宅")</f>
        <v>住宅</v>
      </c>
      <c r="O47" s="1417" t="s">
        <v>403</v>
      </c>
      <c r="P47" s="1418" t="s">
        <v>817</v>
      </c>
      <c r="Q47" s="1419">
        <f ca="1">C40+J29</f>
        <v>26677178</v>
      </c>
      <c r="R47" s="1419" t="s">
        <v>818</v>
      </c>
    </row>
    <row r="48" spans="1:18" s="1383" customFormat="1" ht="40.200000000000003" thickBot="1">
      <c r="A48" s="1110" t="s">
        <v>438</v>
      </c>
      <c r="B48" s="300" t="s">
        <v>692</v>
      </c>
      <c r="C48" s="1358">
        <f ca="1">C49+C53+C55</f>
        <v>0</v>
      </c>
      <c r="D48" s="1112"/>
      <c r="E48" s="1113"/>
      <c r="F48" s="962"/>
      <c r="G48" s="722"/>
      <c r="H48" s="723"/>
      <c r="I48" s="1420" t="s">
        <v>819</v>
      </c>
      <c r="J48" s="1421" t="s">
        <v>3488</v>
      </c>
      <c r="K48" s="1422" t="s">
        <v>820</v>
      </c>
      <c r="L48" s="1423">
        <f ca="1">INDIRECT("'数据-取费表'!f"&amp;$G$1)</f>
        <v>45.53</v>
      </c>
      <c r="O48" s="1417" t="s">
        <v>404</v>
      </c>
      <c r="P48" s="1418" t="s">
        <v>821</v>
      </c>
      <c r="Q48" s="1419" t="str">
        <f ca="1">J60</f>
        <v>0</v>
      </c>
      <c r="R48" s="1419" t="s">
        <v>822</v>
      </c>
    </row>
    <row r="49" spans="1:18" s="1383" customFormat="1" ht="13.8" thickBot="1">
      <c r="A49" s="975" t="s">
        <v>439</v>
      </c>
      <c r="B49" s="1370" t="s">
        <v>779</v>
      </c>
      <c r="C49" s="1114">
        <f ca="1">ROUND(F49*F51*F50*(1-F52),0)</f>
        <v>0</v>
      </c>
      <c r="D49" s="1055" t="s">
        <v>695</v>
      </c>
      <c r="E49" s="1371" t="s">
        <v>780</v>
      </c>
      <c r="F49" s="1060"/>
      <c r="G49" s="1424"/>
      <c r="H49" s="723"/>
      <c r="I49" s="1420" t="s">
        <v>823</v>
      </c>
      <c r="J49" s="1425">
        <v>2002</v>
      </c>
      <c r="K49" s="1422" t="s">
        <v>824</v>
      </c>
      <c r="L49" s="1426"/>
      <c r="O49" s="1427" t="s">
        <v>405</v>
      </c>
      <c r="P49" s="1418" t="s">
        <v>825</v>
      </c>
      <c r="Q49" s="1419">
        <f ca="1">C29</f>
        <v>13722832</v>
      </c>
      <c r="R49" s="1419" t="s">
        <v>818</v>
      </c>
    </row>
    <row r="50" spans="1:18" s="1383" customFormat="1" ht="13.8" thickBot="1">
      <c r="A50" s="976"/>
      <c r="B50" s="979"/>
      <c r="C50" s="980"/>
      <c r="D50" s="953"/>
      <c r="E50" s="1056" t="s">
        <v>697</v>
      </c>
      <c r="F50" s="1057">
        <f ca="1">F7</f>
        <v>375.87</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8" thickBot="1">
      <c r="A51" s="977"/>
      <c r="B51" s="979"/>
      <c r="C51" s="980"/>
      <c r="D51" s="953"/>
      <c r="E51" s="981" t="s">
        <v>698</v>
      </c>
      <c r="F51" s="303">
        <f ca="1">F8</f>
        <v>12</v>
      </c>
      <c r="I51" s="1431" t="s">
        <v>829</v>
      </c>
      <c r="J51" s="1432">
        <f>IF(J49="",J50,J49+J50-YEAR('数据-取费表'!B2))</f>
        <v>38</v>
      </c>
      <c r="K51" s="1433" t="s">
        <v>830</v>
      </c>
      <c r="L51" s="1434">
        <f ca="1">ROUND(-PV(INDIRECT("'数据-取费表'!h"&amp;$G$1),J51,(C39-C13*C76),0),0)</f>
        <v>16070679</v>
      </c>
      <c r="M51" s="1435"/>
      <c r="O51" s="1427" t="s">
        <v>407</v>
      </c>
      <c r="P51" s="1418" t="s">
        <v>831</v>
      </c>
      <c r="Q51" s="1430">
        <f>J52</f>
        <v>0.05</v>
      </c>
      <c r="R51" s="1419"/>
    </row>
    <row r="52" spans="1:18" s="1383" customFormat="1" ht="13.8" thickBot="1">
      <c r="A52" s="977"/>
      <c r="B52" s="979"/>
      <c r="C52" s="980"/>
      <c r="D52" s="953"/>
      <c r="E52" s="981" t="s">
        <v>699</v>
      </c>
      <c r="F52" s="1054"/>
      <c r="I52" s="1436" t="s">
        <v>832</v>
      </c>
      <c r="J52" s="1437">
        <v>0.05</v>
      </c>
      <c r="K52" s="1436" t="s">
        <v>833</v>
      </c>
      <c r="L52" s="1437"/>
      <c r="O52" s="1427" t="s">
        <v>408</v>
      </c>
      <c r="P52" s="1418" t="s">
        <v>834</v>
      </c>
      <c r="Q52" s="1419">
        <f ca="1">J53</f>
        <v>45.53</v>
      </c>
      <c r="R52" s="1419" t="s">
        <v>835</v>
      </c>
    </row>
    <row r="53" spans="1:18" s="1383" customFormat="1" ht="30.75" customHeight="1" thickBot="1">
      <c r="A53" s="1111" t="s">
        <v>440</v>
      </c>
      <c r="B53" s="323" t="s">
        <v>700</v>
      </c>
      <c r="C53" s="316">
        <f ca="1">ROUND(IF(F53="押一",C49/12*F11,IF(F53="押二",C49/12*2*F11,IF(F53="押三",C49/12*3*F11,C54*F11))),0)</f>
        <v>0</v>
      </c>
      <c r="D53" s="1365" t="s">
        <v>2117</v>
      </c>
      <c r="E53" s="313" t="s">
        <v>701</v>
      </c>
      <c r="F53" s="1116"/>
      <c r="I53" s="1438" t="s">
        <v>836</v>
      </c>
      <c r="J53" s="2167">
        <f ca="1">IF(M47="住宅",IF(D1="——",MAX(J51,L48),MAX(J51,L48-'数据-取费表'!B24)),IF(D1="——",MIN(J51,L48),MIN(J51,L48-'数据-取费表'!B24)))</f>
        <v>45.53</v>
      </c>
      <c r="K53" s="3708" t="s">
        <v>837</v>
      </c>
      <c r="L53" s="3709"/>
      <c r="O53" s="1417" t="s">
        <v>409</v>
      </c>
      <c r="P53" s="1418" t="s">
        <v>838</v>
      </c>
      <c r="Q53" s="1419">
        <f ca="1">Q47+Q48</f>
        <v>26677178</v>
      </c>
      <c r="R53" s="1419" t="s">
        <v>410</v>
      </c>
    </row>
    <row r="54" spans="1:18" s="1383" customFormat="1" ht="13.8"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8"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12076092</v>
      </c>
      <c r="D56" s="1446"/>
      <c r="E56" s="1447"/>
      <c r="F56" s="1439"/>
      <c r="I56" s="1448" t="s">
        <v>842</v>
      </c>
      <c r="J56" s="1449" t="s">
        <v>3391</v>
      </c>
      <c r="K56" s="1420" t="s">
        <v>843</v>
      </c>
      <c r="L56" s="1423">
        <f ca="1">IF(L48&lt;J51,"——",L48-J51)</f>
        <v>7.5300000000000011</v>
      </c>
      <c r="O56" s="1417" t="s">
        <v>403</v>
      </c>
      <c r="P56" s="1418" t="s">
        <v>817</v>
      </c>
      <c r="Q56" s="1419">
        <f ca="1">C40+J29</f>
        <v>26677178</v>
      </c>
      <c r="R56" s="1419" t="s">
        <v>818</v>
      </c>
    </row>
    <row r="57" spans="1:18" s="1383" customFormat="1" ht="24.6" thickBot="1">
      <c r="A57" s="1450"/>
      <c r="B57" s="950" t="s">
        <v>767</v>
      </c>
      <c r="C57" s="238">
        <f ca="1">C29</f>
        <v>13722832</v>
      </c>
      <c r="D57" s="1451"/>
      <c r="E57" s="1452"/>
      <c r="F57" s="1453"/>
      <c r="I57" s="1454" t="s">
        <v>844</v>
      </c>
      <c r="J57" s="1455" t="str">
        <f ca="1">IF(OR(M47="住宅",J51&lt;L48,J56="是"),"——",J51-L48)</f>
        <v>——</v>
      </c>
      <c r="K57" s="1420" t="s">
        <v>892</v>
      </c>
      <c r="L57" s="1423">
        <f ca="1">IF(L48&lt;J51,"——",IF(L55="比较法",L49,IF(L55="基准地价",L50,L51)))</f>
        <v>16070679</v>
      </c>
      <c r="O57" s="1417" t="s">
        <v>404</v>
      </c>
      <c r="P57" s="1418" t="s">
        <v>893</v>
      </c>
      <c r="Q57" s="1419">
        <f ca="1">L60</f>
        <v>0</v>
      </c>
      <c r="R57" s="1419" t="s">
        <v>894</v>
      </c>
    </row>
    <row r="58" spans="1:18" s="1383" customFormat="1" ht="24.6" thickBot="1">
      <c r="A58" s="315" t="s">
        <v>393</v>
      </c>
      <c r="B58" s="958" t="s">
        <v>714</v>
      </c>
      <c r="C58" s="316">
        <f ca="1">ROUND(C59+C64+C65+C66,0)</f>
        <v>39522</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6" thickBot="1">
      <c r="A59" s="982" t="s">
        <v>398</v>
      </c>
      <c r="B59" s="950" t="s">
        <v>719</v>
      </c>
      <c r="C59" s="2315">
        <f ca="1">ROUND(IF(AND(项目基本情况!B11="自然人",项目基本情况!B10="北京市"),C49*F59/(1+'数据-取费表'!C42),C60+C61+C62),0)</f>
        <v>0</v>
      </c>
      <c r="D59" s="963" t="s">
        <v>720</v>
      </c>
      <c r="E59" s="964" t="s">
        <v>721</v>
      </c>
      <c r="F59" s="2314" t="str">
        <f>IF(项目基本情况!B11="企业","——",IF('数据-取费表'!B10="住宅",IF(F49*F50*F51/12/(1+'数据-取费表'!F30)&gt;100000,4%,2.5%),IF(F49*F50*F51/12/(1+'数据-取费表'!F30)&gt;100000,12%,7%)))</f>
        <v>——</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2" thickBot="1">
      <c r="A60" s="982" t="s">
        <v>397</v>
      </c>
      <c r="B60" s="950" t="s">
        <v>723</v>
      </c>
      <c r="C60" s="21">
        <f ca="1">IF(项目基本情况!B11="自然人","——",ROUND(C48*F60/(1+'数据-取费表'!C42),0))</f>
        <v>0</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8" thickBot="1">
      <c r="A61" s="982" t="s">
        <v>781</v>
      </c>
      <c r="B61" s="950" t="s">
        <v>782</v>
      </c>
      <c r="C61" s="21">
        <f ca="1">IF(项目基本情况!B11="自然人","——",IF(D61="按租金收入计税",ROUND(C49*F61/(1+'数据-取费表'!C42),0),IF(D61="按房产原值计税",ROUND(C57*F61*0.7,0),INDIRECT("'数据-取费表'!Aj"&amp;$G$1))))</f>
        <v>0</v>
      </c>
      <c r="D61" s="1369" t="s">
        <v>3333</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8" thickBot="1">
      <c r="A62" s="982" t="s">
        <v>784</v>
      </c>
      <c r="B62" s="949" t="s">
        <v>785</v>
      </c>
      <c r="C62" s="22">
        <f ca="1">IF(项目基本情况!B11="自然人","——",ROUND(F62*F63,0))</f>
        <v>0</v>
      </c>
      <c r="D62" s="965" t="s">
        <v>786</v>
      </c>
      <c r="E62" s="950" t="s">
        <v>787</v>
      </c>
      <c r="F62" s="325">
        <f t="shared" si="0"/>
        <v>0</v>
      </c>
      <c r="I62" s="1461" t="s">
        <v>858</v>
      </c>
      <c r="J62" s="1462" t="s">
        <v>859</v>
      </c>
      <c r="K62" s="1462" t="s">
        <v>860</v>
      </c>
      <c r="L62" s="1462" t="s">
        <v>861</v>
      </c>
      <c r="M62" s="1463" t="s">
        <v>862</v>
      </c>
      <c r="O62" s="1417" t="s">
        <v>409</v>
      </c>
      <c r="P62" s="1418" t="s">
        <v>863</v>
      </c>
      <c r="Q62" s="1419">
        <f ca="1">Q56+Q57</f>
        <v>26677178</v>
      </c>
      <c r="R62" s="1419" t="s">
        <v>410</v>
      </c>
    </row>
    <row r="63" spans="1:18" s="1383" customFormat="1" ht="13.8"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8" thickBot="1">
      <c r="A64" s="982" t="s">
        <v>789</v>
      </c>
      <c r="B64" s="950" t="s">
        <v>790</v>
      </c>
      <c r="C64" s="21">
        <f ca="1">ROUND(C57*F64,0)</f>
        <v>27446</v>
      </c>
      <c r="D64" s="964" t="s">
        <v>791</v>
      </c>
      <c r="E64" s="950" t="s">
        <v>783</v>
      </c>
      <c r="F64" s="328">
        <f t="shared" ca="1" si="0"/>
        <v>2E-3</v>
      </c>
      <c r="I64" s="1461" t="s">
        <v>866</v>
      </c>
      <c r="J64" s="1462">
        <v>50</v>
      </c>
      <c r="K64" s="1462">
        <v>35</v>
      </c>
      <c r="L64" s="1462">
        <v>60</v>
      </c>
      <c r="M64" s="1463">
        <v>0</v>
      </c>
      <c r="O64" s="1410" t="s">
        <v>811</v>
      </c>
      <c r="P64" s="1411" t="s">
        <v>812</v>
      </c>
      <c r="Q64" s="1412" t="s">
        <v>813</v>
      </c>
      <c r="R64" s="1412" t="s">
        <v>814</v>
      </c>
    </row>
    <row r="65" spans="1:18" s="1383" customFormat="1" ht="13.8" thickBot="1">
      <c r="A65" s="982" t="s">
        <v>792</v>
      </c>
      <c r="B65" s="950" t="s">
        <v>742</v>
      </c>
      <c r="C65" s="21">
        <f ca="1">ROUND(C56*F65,0)</f>
        <v>12076</v>
      </c>
      <c r="D65" s="964" t="s">
        <v>743</v>
      </c>
      <c r="E65" s="950" t="s">
        <v>744</v>
      </c>
      <c r="F65" s="330">
        <f t="shared" ca="1" si="0"/>
        <v>1E-3</v>
      </c>
      <c r="I65" s="1461" t="s">
        <v>867</v>
      </c>
      <c r="J65" s="1462">
        <v>40</v>
      </c>
      <c r="K65" s="1462">
        <v>30</v>
      </c>
      <c r="L65" s="1462">
        <v>50</v>
      </c>
      <c r="M65" s="1464">
        <v>0.02</v>
      </c>
      <c r="O65" s="1417" t="s">
        <v>403</v>
      </c>
      <c r="P65" s="1418" t="s">
        <v>868</v>
      </c>
      <c r="Q65" s="1419">
        <f ca="1">C40+J29</f>
        <v>26677178</v>
      </c>
      <c r="R65" s="1419" t="s">
        <v>818</v>
      </c>
    </row>
    <row r="66" spans="1:18" s="1383" customFormat="1" ht="16.2"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24.6" thickBot="1">
      <c r="A67" s="957" t="s">
        <v>394</v>
      </c>
      <c r="B67" s="967" t="s">
        <v>752</v>
      </c>
      <c r="C67" s="316">
        <f ca="1">C48-C58</f>
        <v>-39522</v>
      </c>
      <c r="D67" s="963" t="s">
        <v>753</v>
      </c>
      <c r="E67" s="968"/>
      <c r="F67" s="969"/>
      <c r="O67" s="1427" t="s">
        <v>405</v>
      </c>
      <c r="P67" s="1418" t="s">
        <v>850</v>
      </c>
      <c r="Q67" s="1465">
        <f ca="1">L51</f>
        <v>16070679</v>
      </c>
      <c r="R67" s="1419" t="s">
        <v>870</v>
      </c>
    </row>
    <row r="68" spans="1:18" s="1383" customFormat="1" ht="16.2" thickBot="1">
      <c r="A68" s="947" t="s">
        <v>395</v>
      </c>
      <c r="B68" s="948" t="s">
        <v>774</v>
      </c>
      <c r="C68" s="301">
        <f ca="1">ROUND(C67*(1-((1+F70)/(1+F68))^F69)/(F68-F70),0)</f>
        <v>-759891</v>
      </c>
      <c r="D68" s="965" t="s">
        <v>758</v>
      </c>
      <c r="E68" s="950" t="s">
        <v>759</v>
      </c>
      <c r="F68" s="312">
        <f ca="1">F40</f>
        <v>4.4999999999999998E-2</v>
      </c>
      <c r="O68" s="1427" t="s">
        <v>406</v>
      </c>
      <c r="P68" s="1466" t="s">
        <v>871</v>
      </c>
      <c r="Q68" s="1419">
        <f ca="1">ROUND(Q69-Q70*Q71,0)</f>
        <v>829760</v>
      </c>
      <c r="R68" s="1419" t="s">
        <v>414</v>
      </c>
    </row>
    <row r="69" spans="1:18" s="1383" customFormat="1" ht="13.8" thickBot="1">
      <c r="A69" s="951"/>
      <c r="B69" s="952"/>
      <c r="C69" s="306"/>
      <c r="D69" s="970" t="s">
        <v>762</v>
      </c>
      <c r="E69" s="950" t="s">
        <v>763</v>
      </c>
      <c r="F69" s="333">
        <f ca="1">F41</f>
        <v>45.53</v>
      </c>
      <c r="O69" s="1427" t="s">
        <v>411</v>
      </c>
      <c r="P69" s="1466" t="s">
        <v>872</v>
      </c>
      <c r="Q69" s="1419">
        <f ca="1">C39</f>
        <v>829760</v>
      </c>
      <c r="R69" s="1419" t="s">
        <v>818</v>
      </c>
    </row>
    <row r="70" spans="1:18" s="1383" customFormat="1" ht="13.8" thickBot="1">
      <c r="A70" s="954"/>
      <c r="B70" s="955"/>
      <c r="C70" s="310"/>
      <c r="D70" s="966"/>
      <c r="E70" s="950" t="s">
        <v>766</v>
      </c>
      <c r="F70" s="1054"/>
      <c r="O70" s="1427" t="s">
        <v>412</v>
      </c>
      <c r="P70" s="1466" t="s">
        <v>873</v>
      </c>
      <c r="Q70" s="1419">
        <f ca="1">C13</f>
        <v>12076092</v>
      </c>
      <c r="R70" s="1419" t="s">
        <v>818</v>
      </c>
    </row>
    <row r="71" spans="1:18" s="1383" customFormat="1" ht="13.8" thickBot="1">
      <c r="A71" s="971" t="s">
        <v>396</v>
      </c>
      <c r="B71" s="972" t="s">
        <v>776</v>
      </c>
      <c r="C71" s="336">
        <f ca="1">ROUND(C68/F71,0)</f>
        <v>-2022</v>
      </c>
      <c r="D71" s="973" t="s">
        <v>777</v>
      </c>
      <c r="E71" s="974" t="s">
        <v>778</v>
      </c>
      <c r="F71" s="339">
        <f ca="1">F43</f>
        <v>375.87</v>
      </c>
      <c r="O71" s="1427" t="s">
        <v>413</v>
      </c>
      <c r="P71" s="1466" t="s">
        <v>874</v>
      </c>
      <c r="Q71" s="1430">
        <f ca="1">C76</f>
        <v>0</v>
      </c>
      <c r="R71" s="1419"/>
    </row>
    <row r="72" spans="1:18" s="1383" customFormat="1" ht="13.8" thickBot="1">
      <c r="B72" s="726"/>
      <c r="C72" s="726"/>
      <c r="O72" s="1427" t="s">
        <v>407</v>
      </c>
      <c r="P72" s="1418" t="s">
        <v>852</v>
      </c>
      <c r="Q72" s="1430">
        <f>L52</f>
        <v>0</v>
      </c>
      <c r="R72" s="1419"/>
    </row>
    <row r="73" spans="1:18" ht="16.2" thickBot="1">
      <c r="A73" s="1383"/>
      <c r="B73" s="726"/>
      <c r="C73" s="726"/>
      <c r="D73" s="1383"/>
      <c r="E73" s="1383"/>
      <c r="F73" s="1383"/>
      <c r="O73" s="1427" t="s">
        <v>408</v>
      </c>
      <c r="P73" s="1418" t="s">
        <v>855</v>
      </c>
      <c r="Q73" s="1419" t="e">
        <f ca="1">L58</f>
        <v>#DIV/0!</v>
      </c>
      <c r="R73" s="1419" t="s">
        <v>856</v>
      </c>
    </row>
    <row r="74" spans="1:18" ht="13.8"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8" thickBot="1">
      <c r="A75" s="1383"/>
      <c r="B75" s="340" t="s">
        <v>795</v>
      </c>
      <c r="C75" s="341">
        <f ca="1">ROUND(C13*C76,0)</f>
        <v>0</v>
      </c>
      <c r="D75" s="1383"/>
      <c r="E75" s="1383"/>
      <c r="F75" s="1383"/>
      <c r="K75" s="1401"/>
      <c r="L75" s="1383"/>
      <c r="O75" s="1417" t="s">
        <v>409</v>
      </c>
      <c r="P75" s="1418" t="s">
        <v>838</v>
      </c>
      <c r="Q75" s="1419">
        <f ca="1">Q65+Q66</f>
        <v>26677178</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1</v>
      </c>
    </row>
    <row r="80" spans="1:18">
      <c r="B80" s="340" t="s">
        <v>800</v>
      </c>
      <c r="C80" s="274">
        <f ca="1">ROUND(C75/C39,3)</f>
        <v>0</v>
      </c>
    </row>
    <row r="81" spans="2:3">
      <c r="B81" s="270" t="s">
        <v>801</v>
      </c>
      <c r="C81" s="238"/>
    </row>
    <row r="82" spans="2:3">
      <c r="B82" s="273" t="s">
        <v>802</v>
      </c>
      <c r="C82" s="275">
        <f ca="1">1-C83</f>
        <v>0.54699999999999993</v>
      </c>
    </row>
    <row r="83" spans="2:3">
      <c r="B83" s="273" t="s">
        <v>803</v>
      </c>
      <c r="C83" s="274">
        <f ca="1">ROUND(C13/C40,3)</f>
        <v>0.45300000000000001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39" customWidth="1"/>
    <col min="2" max="2" width="8.88671875" style="2839"/>
    <col min="3" max="5" width="12.88671875" style="2839" customWidth="1"/>
    <col min="6" max="6" width="47.44140625" style="2839" customWidth="1"/>
    <col min="7" max="7" width="13" style="2998" customWidth="1"/>
    <col min="8" max="8" width="8.88671875" style="2833"/>
    <col min="9" max="9" width="8.88671875" style="2834"/>
    <col min="10" max="10" width="5.77734375" style="2999" customWidth="1"/>
    <col min="11" max="11" width="11.77734375" style="2999" customWidth="1"/>
    <col min="12" max="13" width="10.77734375" style="2999" customWidth="1"/>
    <col min="14" max="14" width="10" style="2999" customWidth="1"/>
    <col min="15" max="16" width="10.44140625" style="2999" bestFit="1" customWidth="1"/>
    <col min="17" max="17" width="10" style="2999" customWidth="1"/>
    <col min="18" max="18" width="10.109375" style="2999" customWidth="1"/>
    <col min="19" max="19" width="10" style="2999" customWidth="1"/>
    <col min="20" max="20" width="26.109375" style="2999" customWidth="1"/>
    <col min="21" max="21" width="8.88671875" style="2999"/>
    <col min="22" max="22" width="8.88671875" style="2834"/>
    <col min="23" max="256" width="8.88671875" style="2839"/>
    <col min="257" max="257" width="9.44140625" style="2839" customWidth="1"/>
    <col min="258" max="258" width="8.88671875" style="2839"/>
    <col min="259" max="261" width="12.88671875" style="2839" customWidth="1"/>
    <col min="262" max="262" width="47.44140625" style="2839" customWidth="1"/>
    <col min="263" max="263" width="13" style="2839" customWidth="1"/>
    <col min="264" max="265" width="8.88671875" style="2839"/>
    <col min="266" max="266" width="5.77734375" style="2839" customWidth="1"/>
    <col min="267" max="267" width="11.77734375" style="2839" customWidth="1"/>
    <col min="268" max="269" width="10.77734375" style="2839" customWidth="1"/>
    <col min="270" max="270" width="10" style="2839" customWidth="1"/>
    <col min="271" max="272" width="10.44140625" style="2839" bestFit="1" customWidth="1"/>
    <col min="273" max="273" width="10" style="2839" customWidth="1"/>
    <col min="274" max="274" width="10.109375" style="2839" customWidth="1"/>
    <col min="275" max="275" width="10" style="2839" customWidth="1"/>
    <col min="276" max="276" width="26.109375" style="2839" customWidth="1"/>
    <col min="277" max="512" width="8.88671875" style="2839"/>
    <col min="513" max="513" width="9.44140625" style="2839" customWidth="1"/>
    <col min="514" max="514" width="8.88671875" style="2839"/>
    <col min="515" max="517" width="12.88671875" style="2839" customWidth="1"/>
    <col min="518" max="518" width="47.44140625" style="2839" customWidth="1"/>
    <col min="519" max="519" width="13" style="2839" customWidth="1"/>
    <col min="520" max="521" width="8.88671875" style="2839"/>
    <col min="522" max="522" width="5.77734375" style="2839" customWidth="1"/>
    <col min="523" max="523" width="11.77734375" style="2839" customWidth="1"/>
    <col min="524" max="525" width="10.77734375" style="2839" customWidth="1"/>
    <col min="526" max="526" width="10" style="2839" customWidth="1"/>
    <col min="527" max="528" width="10.44140625" style="2839" bestFit="1" customWidth="1"/>
    <col min="529" max="529" width="10" style="2839" customWidth="1"/>
    <col min="530" max="530" width="10.109375" style="2839" customWidth="1"/>
    <col min="531" max="531" width="10" style="2839" customWidth="1"/>
    <col min="532" max="532" width="26.109375" style="2839" customWidth="1"/>
    <col min="533" max="768" width="8.88671875" style="2839"/>
    <col min="769" max="769" width="9.44140625" style="2839" customWidth="1"/>
    <col min="770" max="770" width="8.88671875" style="2839"/>
    <col min="771" max="773" width="12.88671875" style="2839" customWidth="1"/>
    <col min="774" max="774" width="47.44140625" style="2839" customWidth="1"/>
    <col min="775" max="775" width="13" style="2839" customWidth="1"/>
    <col min="776" max="777" width="8.88671875" style="2839"/>
    <col min="778" max="778" width="5.77734375" style="2839" customWidth="1"/>
    <col min="779" max="779" width="11.77734375" style="2839" customWidth="1"/>
    <col min="780" max="781" width="10.77734375" style="2839" customWidth="1"/>
    <col min="782" max="782" width="10" style="2839" customWidth="1"/>
    <col min="783" max="784" width="10.44140625" style="2839" bestFit="1" customWidth="1"/>
    <col min="785" max="785" width="10" style="2839" customWidth="1"/>
    <col min="786" max="786" width="10.109375" style="2839" customWidth="1"/>
    <col min="787" max="787" width="10" style="2839" customWidth="1"/>
    <col min="788" max="788" width="26.109375" style="2839" customWidth="1"/>
    <col min="789" max="1024" width="8.88671875" style="2839"/>
    <col min="1025" max="1025" width="9.44140625" style="2839" customWidth="1"/>
    <col min="1026" max="1026" width="8.88671875" style="2839"/>
    <col min="1027" max="1029" width="12.88671875" style="2839" customWidth="1"/>
    <col min="1030" max="1030" width="47.44140625" style="2839" customWidth="1"/>
    <col min="1031" max="1031" width="13" style="2839" customWidth="1"/>
    <col min="1032" max="1033" width="8.88671875" style="2839"/>
    <col min="1034" max="1034" width="5.77734375" style="2839" customWidth="1"/>
    <col min="1035" max="1035" width="11.77734375" style="2839" customWidth="1"/>
    <col min="1036" max="1037" width="10.77734375" style="2839" customWidth="1"/>
    <col min="1038" max="1038" width="10" style="2839" customWidth="1"/>
    <col min="1039" max="1040" width="10.44140625" style="2839" bestFit="1" customWidth="1"/>
    <col min="1041" max="1041" width="10" style="2839" customWidth="1"/>
    <col min="1042" max="1042" width="10.109375" style="2839" customWidth="1"/>
    <col min="1043" max="1043" width="10" style="2839" customWidth="1"/>
    <col min="1044" max="1044" width="26.109375" style="2839" customWidth="1"/>
    <col min="1045" max="1280" width="8.88671875" style="2839"/>
    <col min="1281" max="1281" width="9.44140625" style="2839" customWidth="1"/>
    <col min="1282" max="1282" width="8.88671875" style="2839"/>
    <col min="1283" max="1285" width="12.88671875" style="2839" customWidth="1"/>
    <col min="1286" max="1286" width="47.44140625" style="2839" customWidth="1"/>
    <col min="1287" max="1287" width="13" style="2839" customWidth="1"/>
    <col min="1288" max="1289" width="8.88671875" style="2839"/>
    <col min="1290" max="1290" width="5.77734375" style="2839" customWidth="1"/>
    <col min="1291" max="1291" width="11.77734375" style="2839" customWidth="1"/>
    <col min="1292" max="1293" width="10.77734375" style="2839" customWidth="1"/>
    <col min="1294" max="1294" width="10" style="2839" customWidth="1"/>
    <col min="1295" max="1296" width="10.44140625" style="2839" bestFit="1" customWidth="1"/>
    <col min="1297" max="1297" width="10" style="2839" customWidth="1"/>
    <col min="1298" max="1298" width="10.109375" style="2839" customWidth="1"/>
    <col min="1299" max="1299" width="10" style="2839" customWidth="1"/>
    <col min="1300" max="1300" width="26.109375" style="2839" customWidth="1"/>
    <col min="1301" max="1536" width="8.88671875" style="2839"/>
    <col min="1537" max="1537" width="9.44140625" style="2839" customWidth="1"/>
    <col min="1538" max="1538" width="8.88671875" style="2839"/>
    <col min="1539" max="1541" width="12.88671875" style="2839" customWidth="1"/>
    <col min="1542" max="1542" width="47.44140625" style="2839" customWidth="1"/>
    <col min="1543" max="1543" width="13" style="2839" customWidth="1"/>
    <col min="1544" max="1545" width="8.88671875" style="2839"/>
    <col min="1546" max="1546" width="5.77734375" style="2839" customWidth="1"/>
    <col min="1547" max="1547" width="11.77734375" style="2839" customWidth="1"/>
    <col min="1548" max="1549" width="10.77734375" style="2839" customWidth="1"/>
    <col min="1550" max="1550" width="10" style="2839" customWidth="1"/>
    <col min="1551" max="1552" width="10.44140625" style="2839" bestFit="1" customWidth="1"/>
    <col min="1553" max="1553" width="10" style="2839" customWidth="1"/>
    <col min="1554" max="1554" width="10.109375" style="2839" customWidth="1"/>
    <col min="1555" max="1555" width="10" style="2839" customWidth="1"/>
    <col min="1556" max="1556" width="26.109375" style="2839" customWidth="1"/>
    <col min="1557" max="1792" width="8.88671875" style="2839"/>
    <col min="1793" max="1793" width="9.44140625" style="2839" customWidth="1"/>
    <col min="1794" max="1794" width="8.88671875" style="2839"/>
    <col min="1795" max="1797" width="12.88671875" style="2839" customWidth="1"/>
    <col min="1798" max="1798" width="47.44140625" style="2839" customWidth="1"/>
    <col min="1799" max="1799" width="13" style="2839" customWidth="1"/>
    <col min="1800" max="1801" width="8.88671875" style="2839"/>
    <col min="1802" max="1802" width="5.77734375" style="2839" customWidth="1"/>
    <col min="1803" max="1803" width="11.77734375" style="2839" customWidth="1"/>
    <col min="1804" max="1805" width="10.77734375" style="2839" customWidth="1"/>
    <col min="1806" max="1806" width="10" style="2839" customWidth="1"/>
    <col min="1807" max="1808" width="10.44140625" style="2839" bestFit="1" customWidth="1"/>
    <col min="1809" max="1809" width="10" style="2839" customWidth="1"/>
    <col min="1810" max="1810" width="10.109375" style="2839" customWidth="1"/>
    <col min="1811" max="1811" width="10" style="2839" customWidth="1"/>
    <col min="1812" max="1812" width="26.109375" style="2839" customWidth="1"/>
    <col min="1813" max="2048" width="8.88671875" style="2839"/>
    <col min="2049" max="2049" width="9.44140625" style="2839" customWidth="1"/>
    <col min="2050" max="2050" width="8.88671875" style="2839"/>
    <col min="2051" max="2053" width="12.88671875" style="2839" customWidth="1"/>
    <col min="2054" max="2054" width="47.44140625" style="2839" customWidth="1"/>
    <col min="2055" max="2055" width="13" style="2839" customWidth="1"/>
    <col min="2056" max="2057" width="8.88671875" style="2839"/>
    <col min="2058" max="2058" width="5.77734375" style="2839" customWidth="1"/>
    <col min="2059" max="2059" width="11.77734375" style="2839" customWidth="1"/>
    <col min="2060" max="2061" width="10.77734375" style="2839" customWidth="1"/>
    <col min="2062" max="2062" width="10" style="2839" customWidth="1"/>
    <col min="2063" max="2064" width="10.44140625" style="2839" bestFit="1" customWidth="1"/>
    <col min="2065" max="2065" width="10" style="2839" customWidth="1"/>
    <col min="2066" max="2066" width="10.109375" style="2839" customWidth="1"/>
    <col min="2067" max="2067" width="10" style="2839" customWidth="1"/>
    <col min="2068" max="2068" width="26.109375" style="2839" customWidth="1"/>
    <col min="2069" max="2304" width="8.88671875" style="2839"/>
    <col min="2305" max="2305" width="9.44140625" style="2839" customWidth="1"/>
    <col min="2306" max="2306" width="8.88671875" style="2839"/>
    <col min="2307" max="2309" width="12.88671875" style="2839" customWidth="1"/>
    <col min="2310" max="2310" width="47.44140625" style="2839" customWidth="1"/>
    <col min="2311" max="2311" width="13" style="2839" customWidth="1"/>
    <col min="2312" max="2313" width="8.88671875" style="2839"/>
    <col min="2314" max="2314" width="5.77734375" style="2839" customWidth="1"/>
    <col min="2315" max="2315" width="11.77734375" style="2839" customWidth="1"/>
    <col min="2316" max="2317" width="10.77734375" style="2839" customWidth="1"/>
    <col min="2318" max="2318" width="10" style="2839" customWidth="1"/>
    <col min="2319" max="2320" width="10.44140625" style="2839" bestFit="1" customWidth="1"/>
    <col min="2321" max="2321" width="10" style="2839" customWidth="1"/>
    <col min="2322" max="2322" width="10.109375" style="2839" customWidth="1"/>
    <col min="2323" max="2323" width="10" style="2839" customWidth="1"/>
    <col min="2324" max="2324" width="26.109375" style="2839" customWidth="1"/>
    <col min="2325" max="2560" width="8.88671875" style="2839"/>
    <col min="2561" max="2561" width="9.44140625" style="2839" customWidth="1"/>
    <col min="2562" max="2562" width="8.88671875" style="2839"/>
    <col min="2563" max="2565" width="12.88671875" style="2839" customWidth="1"/>
    <col min="2566" max="2566" width="47.44140625" style="2839" customWidth="1"/>
    <col min="2567" max="2567" width="13" style="2839" customWidth="1"/>
    <col min="2568" max="2569" width="8.88671875" style="2839"/>
    <col min="2570" max="2570" width="5.77734375" style="2839" customWidth="1"/>
    <col min="2571" max="2571" width="11.77734375" style="2839" customWidth="1"/>
    <col min="2572" max="2573" width="10.77734375" style="2839" customWidth="1"/>
    <col min="2574" max="2574" width="10" style="2839" customWidth="1"/>
    <col min="2575" max="2576" width="10.44140625" style="2839" bestFit="1" customWidth="1"/>
    <col min="2577" max="2577" width="10" style="2839" customWidth="1"/>
    <col min="2578" max="2578" width="10.109375" style="2839" customWidth="1"/>
    <col min="2579" max="2579" width="10" style="2839" customWidth="1"/>
    <col min="2580" max="2580" width="26.109375" style="2839" customWidth="1"/>
    <col min="2581" max="2816" width="8.88671875" style="2839"/>
    <col min="2817" max="2817" width="9.44140625" style="2839" customWidth="1"/>
    <col min="2818" max="2818" width="8.88671875" style="2839"/>
    <col min="2819" max="2821" width="12.88671875" style="2839" customWidth="1"/>
    <col min="2822" max="2822" width="47.44140625" style="2839" customWidth="1"/>
    <col min="2823" max="2823" width="13" style="2839" customWidth="1"/>
    <col min="2824" max="2825" width="8.88671875" style="2839"/>
    <col min="2826" max="2826" width="5.77734375" style="2839" customWidth="1"/>
    <col min="2827" max="2827" width="11.77734375" style="2839" customWidth="1"/>
    <col min="2828" max="2829" width="10.77734375" style="2839" customWidth="1"/>
    <col min="2830" max="2830" width="10" style="2839" customWidth="1"/>
    <col min="2831" max="2832" width="10.44140625" style="2839" bestFit="1" customWidth="1"/>
    <col min="2833" max="2833" width="10" style="2839" customWidth="1"/>
    <col min="2834" max="2834" width="10.109375" style="2839" customWidth="1"/>
    <col min="2835" max="2835" width="10" style="2839" customWidth="1"/>
    <col min="2836" max="2836" width="26.109375" style="2839" customWidth="1"/>
    <col min="2837" max="3072" width="8.88671875" style="2839"/>
    <col min="3073" max="3073" width="9.44140625" style="2839" customWidth="1"/>
    <col min="3074" max="3074" width="8.88671875" style="2839"/>
    <col min="3075" max="3077" width="12.88671875" style="2839" customWidth="1"/>
    <col min="3078" max="3078" width="47.44140625" style="2839" customWidth="1"/>
    <col min="3079" max="3079" width="13" style="2839" customWidth="1"/>
    <col min="3080" max="3081" width="8.88671875" style="2839"/>
    <col min="3082" max="3082" width="5.77734375" style="2839" customWidth="1"/>
    <col min="3083" max="3083" width="11.77734375" style="2839" customWidth="1"/>
    <col min="3084" max="3085" width="10.77734375" style="2839" customWidth="1"/>
    <col min="3086" max="3086" width="10" style="2839" customWidth="1"/>
    <col min="3087" max="3088" width="10.44140625" style="2839" bestFit="1" customWidth="1"/>
    <col min="3089" max="3089" width="10" style="2839" customWidth="1"/>
    <col min="3090" max="3090" width="10.109375" style="2839" customWidth="1"/>
    <col min="3091" max="3091" width="10" style="2839" customWidth="1"/>
    <col min="3092" max="3092" width="26.109375" style="2839" customWidth="1"/>
    <col min="3093" max="3328" width="8.88671875" style="2839"/>
    <col min="3329" max="3329" width="9.44140625" style="2839" customWidth="1"/>
    <col min="3330" max="3330" width="8.88671875" style="2839"/>
    <col min="3331" max="3333" width="12.88671875" style="2839" customWidth="1"/>
    <col min="3334" max="3334" width="47.44140625" style="2839" customWidth="1"/>
    <col min="3335" max="3335" width="13" style="2839" customWidth="1"/>
    <col min="3336" max="3337" width="8.88671875" style="2839"/>
    <col min="3338" max="3338" width="5.77734375" style="2839" customWidth="1"/>
    <col min="3339" max="3339" width="11.77734375" style="2839" customWidth="1"/>
    <col min="3340" max="3341" width="10.77734375" style="2839" customWidth="1"/>
    <col min="3342" max="3342" width="10" style="2839" customWidth="1"/>
    <col min="3343" max="3344" width="10.44140625" style="2839" bestFit="1" customWidth="1"/>
    <col min="3345" max="3345" width="10" style="2839" customWidth="1"/>
    <col min="3346" max="3346" width="10.109375" style="2839" customWidth="1"/>
    <col min="3347" max="3347" width="10" style="2839" customWidth="1"/>
    <col min="3348" max="3348" width="26.109375" style="2839" customWidth="1"/>
    <col min="3349" max="3584" width="8.88671875" style="2839"/>
    <col min="3585" max="3585" width="9.44140625" style="2839" customWidth="1"/>
    <col min="3586" max="3586" width="8.88671875" style="2839"/>
    <col min="3587" max="3589" width="12.88671875" style="2839" customWidth="1"/>
    <col min="3590" max="3590" width="47.44140625" style="2839" customWidth="1"/>
    <col min="3591" max="3591" width="13" style="2839" customWidth="1"/>
    <col min="3592" max="3593" width="8.88671875" style="2839"/>
    <col min="3594" max="3594" width="5.77734375" style="2839" customWidth="1"/>
    <col min="3595" max="3595" width="11.77734375" style="2839" customWidth="1"/>
    <col min="3596" max="3597" width="10.77734375" style="2839" customWidth="1"/>
    <col min="3598" max="3598" width="10" style="2839" customWidth="1"/>
    <col min="3599" max="3600" width="10.44140625" style="2839" bestFit="1" customWidth="1"/>
    <col min="3601" max="3601" width="10" style="2839" customWidth="1"/>
    <col min="3602" max="3602" width="10.109375" style="2839" customWidth="1"/>
    <col min="3603" max="3603" width="10" style="2839" customWidth="1"/>
    <col min="3604" max="3604" width="26.109375" style="2839" customWidth="1"/>
    <col min="3605" max="3840" width="8.88671875" style="2839"/>
    <col min="3841" max="3841" width="9.44140625" style="2839" customWidth="1"/>
    <col min="3842" max="3842" width="8.88671875" style="2839"/>
    <col min="3843" max="3845" width="12.88671875" style="2839" customWidth="1"/>
    <col min="3846" max="3846" width="47.44140625" style="2839" customWidth="1"/>
    <col min="3847" max="3847" width="13" style="2839" customWidth="1"/>
    <col min="3848" max="3849" width="8.88671875" style="2839"/>
    <col min="3850" max="3850" width="5.77734375" style="2839" customWidth="1"/>
    <col min="3851" max="3851" width="11.77734375" style="2839" customWidth="1"/>
    <col min="3852" max="3853" width="10.77734375" style="2839" customWidth="1"/>
    <col min="3854" max="3854" width="10" style="2839" customWidth="1"/>
    <col min="3855" max="3856" width="10.44140625" style="2839" bestFit="1" customWidth="1"/>
    <col min="3857" max="3857" width="10" style="2839" customWidth="1"/>
    <col min="3858" max="3858" width="10.109375" style="2839" customWidth="1"/>
    <col min="3859" max="3859" width="10" style="2839" customWidth="1"/>
    <col min="3860" max="3860" width="26.109375" style="2839" customWidth="1"/>
    <col min="3861" max="4096" width="8.88671875" style="2839"/>
    <col min="4097" max="4097" width="9.44140625" style="2839" customWidth="1"/>
    <col min="4098" max="4098" width="8.88671875" style="2839"/>
    <col min="4099" max="4101" width="12.88671875" style="2839" customWidth="1"/>
    <col min="4102" max="4102" width="47.44140625" style="2839" customWidth="1"/>
    <col min="4103" max="4103" width="13" style="2839" customWidth="1"/>
    <col min="4104" max="4105" width="8.88671875" style="2839"/>
    <col min="4106" max="4106" width="5.77734375" style="2839" customWidth="1"/>
    <col min="4107" max="4107" width="11.77734375" style="2839" customWidth="1"/>
    <col min="4108" max="4109" width="10.77734375" style="2839" customWidth="1"/>
    <col min="4110" max="4110" width="10" style="2839" customWidth="1"/>
    <col min="4111" max="4112" width="10.44140625" style="2839" bestFit="1" customWidth="1"/>
    <col min="4113" max="4113" width="10" style="2839" customWidth="1"/>
    <col min="4114" max="4114" width="10.109375" style="2839" customWidth="1"/>
    <col min="4115" max="4115" width="10" style="2839" customWidth="1"/>
    <col min="4116" max="4116" width="26.109375" style="2839" customWidth="1"/>
    <col min="4117" max="4352" width="8.88671875" style="2839"/>
    <col min="4353" max="4353" width="9.44140625" style="2839" customWidth="1"/>
    <col min="4354" max="4354" width="8.88671875" style="2839"/>
    <col min="4355" max="4357" width="12.88671875" style="2839" customWidth="1"/>
    <col min="4358" max="4358" width="47.44140625" style="2839" customWidth="1"/>
    <col min="4359" max="4359" width="13" style="2839" customWidth="1"/>
    <col min="4360" max="4361" width="8.88671875" style="2839"/>
    <col min="4362" max="4362" width="5.77734375" style="2839" customWidth="1"/>
    <col min="4363" max="4363" width="11.77734375" style="2839" customWidth="1"/>
    <col min="4364" max="4365" width="10.77734375" style="2839" customWidth="1"/>
    <col min="4366" max="4366" width="10" style="2839" customWidth="1"/>
    <col min="4367" max="4368" width="10.44140625" style="2839" bestFit="1" customWidth="1"/>
    <col min="4369" max="4369" width="10" style="2839" customWidth="1"/>
    <col min="4370" max="4370" width="10.109375" style="2839" customWidth="1"/>
    <col min="4371" max="4371" width="10" style="2839" customWidth="1"/>
    <col min="4372" max="4372" width="26.109375" style="2839" customWidth="1"/>
    <col min="4373" max="4608" width="8.88671875" style="2839"/>
    <col min="4609" max="4609" width="9.44140625" style="2839" customWidth="1"/>
    <col min="4610" max="4610" width="8.88671875" style="2839"/>
    <col min="4611" max="4613" width="12.88671875" style="2839" customWidth="1"/>
    <col min="4614" max="4614" width="47.44140625" style="2839" customWidth="1"/>
    <col min="4615" max="4615" width="13" style="2839" customWidth="1"/>
    <col min="4616" max="4617" width="8.88671875" style="2839"/>
    <col min="4618" max="4618" width="5.77734375" style="2839" customWidth="1"/>
    <col min="4619" max="4619" width="11.77734375" style="2839" customWidth="1"/>
    <col min="4620" max="4621" width="10.77734375" style="2839" customWidth="1"/>
    <col min="4622" max="4622" width="10" style="2839" customWidth="1"/>
    <col min="4623" max="4624" width="10.44140625" style="2839" bestFit="1" customWidth="1"/>
    <col min="4625" max="4625" width="10" style="2839" customWidth="1"/>
    <col min="4626" max="4626" width="10.109375" style="2839" customWidth="1"/>
    <col min="4627" max="4627" width="10" style="2839" customWidth="1"/>
    <col min="4628" max="4628" width="26.109375" style="2839" customWidth="1"/>
    <col min="4629" max="4864" width="8.88671875" style="2839"/>
    <col min="4865" max="4865" width="9.44140625" style="2839" customWidth="1"/>
    <col min="4866" max="4866" width="8.88671875" style="2839"/>
    <col min="4867" max="4869" width="12.88671875" style="2839" customWidth="1"/>
    <col min="4870" max="4870" width="47.44140625" style="2839" customWidth="1"/>
    <col min="4871" max="4871" width="13" style="2839" customWidth="1"/>
    <col min="4872" max="4873" width="8.88671875" style="2839"/>
    <col min="4874" max="4874" width="5.77734375" style="2839" customWidth="1"/>
    <col min="4875" max="4875" width="11.77734375" style="2839" customWidth="1"/>
    <col min="4876" max="4877" width="10.77734375" style="2839" customWidth="1"/>
    <col min="4878" max="4878" width="10" style="2839" customWidth="1"/>
    <col min="4879" max="4880" width="10.44140625" style="2839" bestFit="1" customWidth="1"/>
    <col min="4881" max="4881" width="10" style="2839" customWidth="1"/>
    <col min="4882" max="4882" width="10.109375" style="2839" customWidth="1"/>
    <col min="4883" max="4883" width="10" style="2839" customWidth="1"/>
    <col min="4884" max="4884" width="26.109375" style="2839" customWidth="1"/>
    <col min="4885" max="5120" width="8.88671875" style="2839"/>
    <col min="5121" max="5121" width="9.44140625" style="2839" customWidth="1"/>
    <col min="5122" max="5122" width="8.88671875" style="2839"/>
    <col min="5123" max="5125" width="12.88671875" style="2839" customWidth="1"/>
    <col min="5126" max="5126" width="47.44140625" style="2839" customWidth="1"/>
    <col min="5127" max="5127" width="13" style="2839" customWidth="1"/>
    <col min="5128" max="5129" width="8.88671875" style="2839"/>
    <col min="5130" max="5130" width="5.77734375" style="2839" customWidth="1"/>
    <col min="5131" max="5131" width="11.77734375" style="2839" customWidth="1"/>
    <col min="5132" max="5133" width="10.77734375" style="2839" customWidth="1"/>
    <col min="5134" max="5134" width="10" style="2839" customWidth="1"/>
    <col min="5135" max="5136" width="10.44140625" style="2839" bestFit="1" customWidth="1"/>
    <col min="5137" max="5137" width="10" style="2839" customWidth="1"/>
    <col min="5138" max="5138" width="10.109375" style="2839" customWidth="1"/>
    <col min="5139" max="5139" width="10" style="2839" customWidth="1"/>
    <col min="5140" max="5140" width="26.109375" style="2839" customWidth="1"/>
    <col min="5141" max="5376" width="8.88671875" style="2839"/>
    <col min="5377" max="5377" width="9.44140625" style="2839" customWidth="1"/>
    <col min="5378" max="5378" width="8.88671875" style="2839"/>
    <col min="5379" max="5381" width="12.88671875" style="2839" customWidth="1"/>
    <col min="5382" max="5382" width="47.44140625" style="2839" customWidth="1"/>
    <col min="5383" max="5383" width="13" style="2839" customWidth="1"/>
    <col min="5384" max="5385" width="8.88671875" style="2839"/>
    <col min="5386" max="5386" width="5.77734375" style="2839" customWidth="1"/>
    <col min="5387" max="5387" width="11.77734375" style="2839" customWidth="1"/>
    <col min="5388" max="5389" width="10.77734375" style="2839" customWidth="1"/>
    <col min="5390" max="5390" width="10" style="2839" customWidth="1"/>
    <col min="5391" max="5392" width="10.44140625" style="2839" bestFit="1" customWidth="1"/>
    <col min="5393" max="5393" width="10" style="2839" customWidth="1"/>
    <col min="5394" max="5394" width="10.109375" style="2839" customWidth="1"/>
    <col min="5395" max="5395" width="10" style="2839" customWidth="1"/>
    <col min="5396" max="5396" width="26.109375" style="2839" customWidth="1"/>
    <col min="5397" max="5632" width="8.88671875" style="2839"/>
    <col min="5633" max="5633" width="9.44140625" style="2839" customWidth="1"/>
    <col min="5634" max="5634" width="8.88671875" style="2839"/>
    <col min="5635" max="5637" width="12.88671875" style="2839" customWidth="1"/>
    <col min="5638" max="5638" width="47.44140625" style="2839" customWidth="1"/>
    <col min="5639" max="5639" width="13" style="2839" customWidth="1"/>
    <col min="5640" max="5641" width="8.88671875" style="2839"/>
    <col min="5642" max="5642" width="5.77734375" style="2839" customWidth="1"/>
    <col min="5643" max="5643" width="11.77734375" style="2839" customWidth="1"/>
    <col min="5644" max="5645" width="10.77734375" style="2839" customWidth="1"/>
    <col min="5646" max="5646" width="10" style="2839" customWidth="1"/>
    <col min="5647" max="5648" width="10.44140625" style="2839" bestFit="1" customWidth="1"/>
    <col min="5649" max="5649" width="10" style="2839" customWidth="1"/>
    <col min="5650" max="5650" width="10.109375" style="2839" customWidth="1"/>
    <col min="5651" max="5651" width="10" style="2839" customWidth="1"/>
    <col min="5652" max="5652" width="26.109375" style="2839" customWidth="1"/>
    <col min="5653" max="5888" width="8.88671875" style="2839"/>
    <col min="5889" max="5889" width="9.44140625" style="2839" customWidth="1"/>
    <col min="5890" max="5890" width="8.88671875" style="2839"/>
    <col min="5891" max="5893" width="12.88671875" style="2839" customWidth="1"/>
    <col min="5894" max="5894" width="47.44140625" style="2839" customWidth="1"/>
    <col min="5895" max="5895" width="13" style="2839" customWidth="1"/>
    <col min="5896" max="5897" width="8.88671875" style="2839"/>
    <col min="5898" max="5898" width="5.77734375" style="2839" customWidth="1"/>
    <col min="5899" max="5899" width="11.77734375" style="2839" customWidth="1"/>
    <col min="5900" max="5901" width="10.77734375" style="2839" customWidth="1"/>
    <col min="5902" max="5902" width="10" style="2839" customWidth="1"/>
    <col min="5903" max="5904" width="10.44140625" style="2839" bestFit="1" customWidth="1"/>
    <col min="5905" max="5905" width="10" style="2839" customWidth="1"/>
    <col min="5906" max="5906" width="10.109375" style="2839" customWidth="1"/>
    <col min="5907" max="5907" width="10" style="2839" customWidth="1"/>
    <col min="5908" max="5908" width="26.109375" style="2839" customWidth="1"/>
    <col min="5909" max="6144" width="8.88671875" style="2839"/>
    <col min="6145" max="6145" width="9.44140625" style="2839" customWidth="1"/>
    <col min="6146" max="6146" width="8.88671875" style="2839"/>
    <col min="6147" max="6149" width="12.88671875" style="2839" customWidth="1"/>
    <col min="6150" max="6150" width="47.44140625" style="2839" customWidth="1"/>
    <col min="6151" max="6151" width="13" style="2839" customWidth="1"/>
    <col min="6152" max="6153" width="8.88671875" style="2839"/>
    <col min="6154" max="6154" width="5.77734375" style="2839" customWidth="1"/>
    <col min="6155" max="6155" width="11.77734375" style="2839" customWidth="1"/>
    <col min="6156" max="6157" width="10.77734375" style="2839" customWidth="1"/>
    <col min="6158" max="6158" width="10" style="2839" customWidth="1"/>
    <col min="6159" max="6160" width="10.44140625" style="2839" bestFit="1" customWidth="1"/>
    <col min="6161" max="6161" width="10" style="2839" customWidth="1"/>
    <col min="6162" max="6162" width="10.109375" style="2839" customWidth="1"/>
    <col min="6163" max="6163" width="10" style="2839" customWidth="1"/>
    <col min="6164" max="6164" width="26.109375" style="2839" customWidth="1"/>
    <col min="6165" max="6400" width="8.88671875" style="2839"/>
    <col min="6401" max="6401" width="9.44140625" style="2839" customWidth="1"/>
    <col min="6402" max="6402" width="8.88671875" style="2839"/>
    <col min="6403" max="6405" width="12.88671875" style="2839" customWidth="1"/>
    <col min="6406" max="6406" width="47.44140625" style="2839" customWidth="1"/>
    <col min="6407" max="6407" width="13" style="2839" customWidth="1"/>
    <col min="6408" max="6409" width="8.88671875" style="2839"/>
    <col min="6410" max="6410" width="5.77734375" style="2839" customWidth="1"/>
    <col min="6411" max="6411" width="11.77734375" style="2839" customWidth="1"/>
    <col min="6412" max="6413" width="10.77734375" style="2839" customWidth="1"/>
    <col min="6414" max="6414" width="10" style="2839" customWidth="1"/>
    <col min="6415" max="6416" width="10.44140625" style="2839" bestFit="1" customWidth="1"/>
    <col min="6417" max="6417" width="10" style="2839" customWidth="1"/>
    <col min="6418" max="6418" width="10.109375" style="2839" customWidth="1"/>
    <col min="6419" max="6419" width="10" style="2839" customWidth="1"/>
    <col min="6420" max="6420" width="26.109375" style="2839" customWidth="1"/>
    <col min="6421" max="6656" width="8.88671875" style="2839"/>
    <col min="6657" max="6657" width="9.44140625" style="2839" customWidth="1"/>
    <col min="6658" max="6658" width="8.88671875" style="2839"/>
    <col min="6659" max="6661" width="12.88671875" style="2839" customWidth="1"/>
    <col min="6662" max="6662" width="47.44140625" style="2839" customWidth="1"/>
    <col min="6663" max="6663" width="13" style="2839" customWidth="1"/>
    <col min="6664" max="6665" width="8.88671875" style="2839"/>
    <col min="6666" max="6666" width="5.77734375" style="2839" customWidth="1"/>
    <col min="6667" max="6667" width="11.77734375" style="2839" customWidth="1"/>
    <col min="6668" max="6669" width="10.77734375" style="2839" customWidth="1"/>
    <col min="6670" max="6670" width="10" style="2839" customWidth="1"/>
    <col min="6671" max="6672" width="10.44140625" style="2839" bestFit="1" customWidth="1"/>
    <col min="6673" max="6673" width="10" style="2839" customWidth="1"/>
    <col min="6674" max="6674" width="10.109375" style="2839" customWidth="1"/>
    <col min="6675" max="6675" width="10" style="2839" customWidth="1"/>
    <col min="6676" max="6676" width="26.109375" style="2839" customWidth="1"/>
    <col min="6677" max="6912" width="8.88671875" style="2839"/>
    <col min="6913" max="6913" width="9.44140625" style="2839" customWidth="1"/>
    <col min="6914" max="6914" width="8.88671875" style="2839"/>
    <col min="6915" max="6917" width="12.88671875" style="2839" customWidth="1"/>
    <col min="6918" max="6918" width="47.44140625" style="2839" customWidth="1"/>
    <col min="6919" max="6919" width="13" style="2839" customWidth="1"/>
    <col min="6920" max="6921" width="8.88671875" style="2839"/>
    <col min="6922" max="6922" width="5.77734375" style="2839" customWidth="1"/>
    <col min="6923" max="6923" width="11.77734375" style="2839" customWidth="1"/>
    <col min="6924" max="6925" width="10.77734375" style="2839" customWidth="1"/>
    <col min="6926" max="6926" width="10" style="2839" customWidth="1"/>
    <col min="6927" max="6928" width="10.44140625" style="2839" bestFit="1" customWidth="1"/>
    <col min="6929" max="6929" width="10" style="2839" customWidth="1"/>
    <col min="6930" max="6930" width="10.109375" style="2839" customWidth="1"/>
    <col min="6931" max="6931" width="10" style="2839" customWidth="1"/>
    <col min="6932" max="6932" width="26.109375" style="2839" customWidth="1"/>
    <col min="6933" max="7168" width="8.88671875" style="2839"/>
    <col min="7169" max="7169" width="9.44140625" style="2839" customWidth="1"/>
    <col min="7170" max="7170" width="8.88671875" style="2839"/>
    <col min="7171" max="7173" width="12.88671875" style="2839" customWidth="1"/>
    <col min="7174" max="7174" width="47.44140625" style="2839" customWidth="1"/>
    <col min="7175" max="7175" width="13" style="2839" customWidth="1"/>
    <col min="7176" max="7177" width="8.88671875" style="2839"/>
    <col min="7178" max="7178" width="5.77734375" style="2839" customWidth="1"/>
    <col min="7179" max="7179" width="11.77734375" style="2839" customWidth="1"/>
    <col min="7180" max="7181" width="10.77734375" style="2839" customWidth="1"/>
    <col min="7182" max="7182" width="10" style="2839" customWidth="1"/>
    <col min="7183" max="7184" width="10.44140625" style="2839" bestFit="1" customWidth="1"/>
    <col min="7185" max="7185" width="10" style="2839" customWidth="1"/>
    <col min="7186" max="7186" width="10.109375" style="2839" customWidth="1"/>
    <col min="7187" max="7187" width="10" style="2839" customWidth="1"/>
    <col min="7188" max="7188" width="26.109375" style="2839" customWidth="1"/>
    <col min="7189" max="7424" width="8.88671875" style="2839"/>
    <col min="7425" max="7425" width="9.44140625" style="2839" customWidth="1"/>
    <col min="7426" max="7426" width="8.88671875" style="2839"/>
    <col min="7427" max="7429" width="12.88671875" style="2839" customWidth="1"/>
    <col min="7430" max="7430" width="47.44140625" style="2839" customWidth="1"/>
    <col min="7431" max="7431" width="13" style="2839" customWidth="1"/>
    <col min="7432" max="7433" width="8.88671875" style="2839"/>
    <col min="7434" max="7434" width="5.77734375" style="2839" customWidth="1"/>
    <col min="7435" max="7435" width="11.77734375" style="2839" customWidth="1"/>
    <col min="7436" max="7437" width="10.77734375" style="2839" customWidth="1"/>
    <col min="7438" max="7438" width="10" style="2839" customWidth="1"/>
    <col min="7439" max="7440" width="10.44140625" style="2839" bestFit="1" customWidth="1"/>
    <col min="7441" max="7441" width="10" style="2839" customWidth="1"/>
    <col min="7442" max="7442" width="10.109375" style="2839" customWidth="1"/>
    <col min="7443" max="7443" width="10" style="2839" customWidth="1"/>
    <col min="7444" max="7444" width="26.109375" style="2839" customWidth="1"/>
    <col min="7445" max="7680" width="8.88671875" style="2839"/>
    <col min="7681" max="7681" width="9.44140625" style="2839" customWidth="1"/>
    <col min="7682" max="7682" width="8.88671875" style="2839"/>
    <col min="7683" max="7685" width="12.88671875" style="2839" customWidth="1"/>
    <col min="7686" max="7686" width="47.44140625" style="2839" customWidth="1"/>
    <col min="7687" max="7687" width="13" style="2839" customWidth="1"/>
    <col min="7688" max="7689" width="8.88671875" style="2839"/>
    <col min="7690" max="7690" width="5.77734375" style="2839" customWidth="1"/>
    <col min="7691" max="7691" width="11.77734375" style="2839" customWidth="1"/>
    <col min="7692" max="7693" width="10.77734375" style="2839" customWidth="1"/>
    <col min="7694" max="7694" width="10" style="2839" customWidth="1"/>
    <col min="7695" max="7696" width="10.44140625" style="2839" bestFit="1" customWidth="1"/>
    <col min="7697" max="7697" width="10" style="2839" customWidth="1"/>
    <col min="7698" max="7698" width="10.109375" style="2839" customWidth="1"/>
    <col min="7699" max="7699" width="10" style="2839" customWidth="1"/>
    <col min="7700" max="7700" width="26.109375" style="2839" customWidth="1"/>
    <col min="7701" max="7936" width="8.88671875" style="2839"/>
    <col min="7937" max="7937" width="9.44140625" style="2839" customWidth="1"/>
    <col min="7938" max="7938" width="8.88671875" style="2839"/>
    <col min="7939" max="7941" width="12.88671875" style="2839" customWidth="1"/>
    <col min="7942" max="7942" width="47.44140625" style="2839" customWidth="1"/>
    <col min="7943" max="7943" width="13" style="2839" customWidth="1"/>
    <col min="7944" max="7945" width="8.88671875" style="2839"/>
    <col min="7946" max="7946" width="5.77734375" style="2839" customWidth="1"/>
    <col min="7947" max="7947" width="11.77734375" style="2839" customWidth="1"/>
    <col min="7948" max="7949" width="10.77734375" style="2839" customWidth="1"/>
    <col min="7950" max="7950" width="10" style="2839" customWidth="1"/>
    <col min="7951" max="7952" width="10.44140625" style="2839" bestFit="1" customWidth="1"/>
    <col min="7953" max="7953" width="10" style="2839" customWidth="1"/>
    <col min="7954" max="7954" width="10.109375" style="2839" customWidth="1"/>
    <col min="7955" max="7955" width="10" style="2839" customWidth="1"/>
    <col min="7956" max="7956" width="26.109375" style="2839" customWidth="1"/>
    <col min="7957" max="8192" width="8.88671875" style="2839"/>
    <col min="8193" max="8193" width="9.44140625" style="2839" customWidth="1"/>
    <col min="8194" max="8194" width="8.88671875" style="2839"/>
    <col min="8195" max="8197" width="12.88671875" style="2839" customWidth="1"/>
    <col min="8198" max="8198" width="47.44140625" style="2839" customWidth="1"/>
    <col min="8199" max="8199" width="13" style="2839" customWidth="1"/>
    <col min="8200" max="8201" width="8.88671875" style="2839"/>
    <col min="8202" max="8202" width="5.77734375" style="2839" customWidth="1"/>
    <col min="8203" max="8203" width="11.77734375" style="2839" customWidth="1"/>
    <col min="8204" max="8205" width="10.77734375" style="2839" customWidth="1"/>
    <col min="8206" max="8206" width="10" style="2839" customWidth="1"/>
    <col min="8207" max="8208" width="10.44140625" style="2839" bestFit="1" customWidth="1"/>
    <col min="8209" max="8209" width="10" style="2839" customWidth="1"/>
    <col min="8210" max="8210" width="10.109375" style="2839" customWidth="1"/>
    <col min="8211" max="8211" width="10" style="2839" customWidth="1"/>
    <col min="8212" max="8212" width="26.109375" style="2839" customWidth="1"/>
    <col min="8213" max="8448" width="8.88671875" style="2839"/>
    <col min="8449" max="8449" width="9.44140625" style="2839" customWidth="1"/>
    <col min="8450" max="8450" width="8.88671875" style="2839"/>
    <col min="8451" max="8453" width="12.88671875" style="2839" customWidth="1"/>
    <col min="8454" max="8454" width="47.44140625" style="2839" customWidth="1"/>
    <col min="8455" max="8455" width="13" style="2839" customWidth="1"/>
    <col min="8456" max="8457" width="8.88671875" style="2839"/>
    <col min="8458" max="8458" width="5.77734375" style="2839" customWidth="1"/>
    <col min="8459" max="8459" width="11.77734375" style="2839" customWidth="1"/>
    <col min="8460" max="8461" width="10.77734375" style="2839" customWidth="1"/>
    <col min="8462" max="8462" width="10" style="2839" customWidth="1"/>
    <col min="8463" max="8464" width="10.44140625" style="2839" bestFit="1" customWidth="1"/>
    <col min="8465" max="8465" width="10" style="2839" customWidth="1"/>
    <col min="8466" max="8466" width="10.109375" style="2839" customWidth="1"/>
    <col min="8467" max="8467" width="10" style="2839" customWidth="1"/>
    <col min="8468" max="8468" width="26.109375" style="2839" customWidth="1"/>
    <col min="8469" max="8704" width="8.88671875" style="2839"/>
    <col min="8705" max="8705" width="9.44140625" style="2839" customWidth="1"/>
    <col min="8706" max="8706" width="8.88671875" style="2839"/>
    <col min="8707" max="8709" width="12.88671875" style="2839" customWidth="1"/>
    <col min="8710" max="8710" width="47.44140625" style="2839" customWidth="1"/>
    <col min="8711" max="8711" width="13" style="2839" customWidth="1"/>
    <col min="8712" max="8713" width="8.88671875" style="2839"/>
    <col min="8714" max="8714" width="5.77734375" style="2839" customWidth="1"/>
    <col min="8715" max="8715" width="11.77734375" style="2839" customWidth="1"/>
    <col min="8716" max="8717" width="10.77734375" style="2839" customWidth="1"/>
    <col min="8718" max="8718" width="10" style="2839" customWidth="1"/>
    <col min="8719" max="8720" width="10.44140625" style="2839" bestFit="1" customWidth="1"/>
    <col min="8721" max="8721" width="10" style="2839" customWidth="1"/>
    <col min="8722" max="8722" width="10.109375" style="2839" customWidth="1"/>
    <col min="8723" max="8723" width="10" style="2839" customWidth="1"/>
    <col min="8724" max="8724" width="26.109375" style="2839" customWidth="1"/>
    <col min="8725" max="8960" width="8.88671875" style="2839"/>
    <col min="8961" max="8961" width="9.44140625" style="2839" customWidth="1"/>
    <col min="8962" max="8962" width="8.88671875" style="2839"/>
    <col min="8963" max="8965" width="12.88671875" style="2839" customWidth="1"/>
    <col min="8966" max="8966" width="47.44140625" style="2839" customWidth="1"/>
    <col min="8967" max="8967" width="13" style="2839" customWidth="1"/>
    <col min="8968" max="8969" width="8.88671875" style="2839"/>
    <col min="8970" max="8970" width="5.77734375" style="2839" customWidth="1"/>
    <col min="8971" max="8971" width="11.77734375" style="2839" customWidth="1"/>
    <col min="8972" max="8973" width="10.77734375" style="2839" customWidth="1"/>
    <col min="8974" max="8974" width="10" style="2839" customWidth="1"/>
    <col min="8975" max="8976" width="10.44140625" style="2839" bestFit="1" customWidth="1"/>
    <col min="8977" max="8977" width="10" style="2839" customWidth="1"/>
    <col min="8978" max="8978" width="10.109375" style="2839" customWidth="1"/>
    <col min="8979" max="8979" width="10" style="2839" customWidth="1"/>
    <col min="8980" max="8980" width="26.109375" style="2839" customWidth="1"/>
    <col min="8981" max="9216" width="8.88671875" style="2839"/>
    <col min="9217" max="9217" width="9.44140625" style="2839" customWidth="1"/>
    <col min="9218" max="9218" width="8.88671875" style="2839"/>
    <col min="9219" max="9221" width="12.88671875" style="2839" customWidth="1"/>
    <col min="9222" max="9222" width="47.44140625" style="2839" customWidth="1"/>
    <col min="9223" max="9223" width="13" style="2839" customWidth="1"/>
    <col min="9224" max="9225" width="8.88671875" style="2839"/>
    <col min="9226" max="9226" width="5.77734375" style="2839" customWidth="1"/>
    <col min="9227" max="9227" width="11.77734375" style="2839" customWidth="1"/>
    <col min="9228" max="9229" width="10.77734375" style="2839" customWidth="1"/>
    <col min="9230" max="9230" width="10" style="2839" customWidth="1"/>
    <col min="9231" max="9232" width="10.44140625" style="2839" bestFit="1" customWidth="1"/>
    <col min="9233" max="9233" width="10" style="2839" customWidth="1"/>
    <col min="9234" max="9234" width="10.109375" style="2839" customWidth="1"/>
    <col min="9235" max="9235" width="10" style="2839" customWidth="1"/>
    <col min="9236" max="9236" width="26.109375" style="2839" customWidth="1"/>
    <col min="9237" max="9472" width="8.88671875" style="2839"/>
    <col min="9473" max="9473" width="9.44140625" style="2839" customWidth="1"/>
    <col min="9474" max="9474" width="8.88671875" style="2839"/>
    <col min="9475" max="9477" width="12.88671875" style="2839" customWidth="1"/>
    <col min="9478" max="9478" width="47.44140625" style="2839" customWidth="1"/>
    <col min="9479" max="9479" width="13" style="2839" customWidth="1"/>
    <col min="9480" max="9481" width="8.88671875" style="2839"/>
    <col min="9482" max="9482" width="5.77734375" style="2839" customWidth="1"/>
    <col min="9483" max="9483" width="11.77734375" style="2839" customWidth="1"/>
    <col min="9484" max="9485" width="10.77734375" style="2839" customWidth="1"/>
    <col min="9486" max="9486" width="10" style="2839" customWidth="1"/>
    <col min="9487" max="9488" width="10.44140625" style="2839" bestFit="1" customWidth="1"/>
    <col min="9489" max="9489" width="10" style="2839" customWidth="1"/>
    <col min="9490" max="9490" width="10.109375" style="2839" customWidth="1"/>
    <col min="9491" max="9491" width="10" style="2839" customWidth="1"/>
    <col min="9492" max="9492" width="26.109375" style="2839" customWidth="1"/>
    <col min="9493" max="9728" width="8.88671875" style="2839"/>
    <col min="9729" max="9729" width="9.44140625" style="2839" customWidth="1"/>
    <col min="9730" max="9730" width="8.88671875" style="2839"/>
    <col min="9731" max="9733" width="12.88671875" style="2839" customWidth="1"/>
    <col min="9734" max="9734" width="47.44140625" style="2839" customWidth="1"/>
    <col min="9735" max="9735" width="13" style="2839" customWidth="1"/>
    <col min="9736" max="9737" width="8.88671875" style="2839"/>
    <col min="9738" max="9738" width="5.77734375" style="2839" customWidth="1"/>
    <col min="9739" max="9739" width="11.77734375" style="2839" customWidth="1"/>
    <col min="9740" max="9741" width="10.77734375" style="2839" customWidth="1"/>
    <col min="9742" max="9742" width="10" style="2839" customWidth="1"/>
    <col min="9743" max="9744" width="10.44140625" style="2839" bestFit="1" customWidth="1"/>
    <col min="9745" max="9745" width="10" style="2839" customWidth="1"/>
    <col min="9746" max="9746" width="10.109375" style="2839" customWidth="1"/>
    <col min="9747" max="9747" width="10" style="2839" customWidth="1"/>
    <col min="9748" max="9748" width="26.109375" style="2839" customWidth="1"/>
    <col min="9749" max="9984" width="8.88671875" style="2839"/>
    <col min="9985" max="9985" width="9.44140625" style="2839" customWidth="1"/>
    <col min="9986" max="9986" width="8.88671875" style="2839"/>
    <col min="9987" max="9989" width="12.88671875" style="2839" customWidth="1"/>
    <col min="9990" max="9990" width="47.44140625" style="2839" customWidth="1"/>
    <col min="9991" max="9991" width="13" style="2839" customWidth="1"/>
    <col min="9992" max="9993" width="8.88671875" style="2839"/>
    <col min="9994" max="9994" width="5.77734375" style="2839" customWidth="1"/>
    <col min="9995" max="9995" width="11.77734375" style="2839" customWidth="1"/>
    <col min="9996" max="9997" width="10.77734375" style="2839" customWidth="1"/>
    <col min="9998" max="9998" width="10" style="2839" customWidth="1"/>
    <col min="9999" max="10000" width="10.44140625" style="2839" bestFit="1" customWidth="1"/>
    <col min="10001" max="10001" width="10" style="2839" customWidth="1"/>
    <col min="10002" max="10002" width="10.109375" style="2839" customWidth="1"/>
    <col min="10003" max="10003" width="10" style="2839" customWidth="1"/>
    <col min="10004" max="10004" width="26.109375" style="2839" customWidth="1"/>
    <col min="10005" max="10240" width="8.88671875" style="2839"/>
    <col min="10241" max="10241" width="9.44140625" style="2839" customWidth="1"/>
    <col min="10242" max="10242" width="8.88671875" style="2839"/>
    <col min="10243" max="10245" width="12.88671875" style="2839" customWidth="1"/>
    <col min="10246" max="10246" width="47.44140625" style="2839" customWidth="1"/>
    <col min="10247" max="10247" width="13" style="2839" customWidth="1"/>
    <col min="10248" max="10249" width="8.88671875" style="2839"/>
    <col min="10250" max="10250" width="5.77734375" style="2839" customWidth="1"/>
    <col min="10251" max="10251" width="11.77734375" style="2839" customWidth="1"/>
    <col min="10252" max="10253" width="10.77734375" style="2839" customWidth="1"/>
    <col min="10254" max="10254" width="10" style="2839" customWidth="1"/>
    <col min="10255" max="10256" width="10.44140625" style="2839" bestFit="1" customWidth="1"/>
    <col min="10257" max="10257" width="10" style="2839" customWidth="1"/>
    <col min="10258" max="10258" width="10.109375" style="2839" customWidth="1"/>
    <col min="10259" max="10259" width="10" style="2839" customWidth="1"/>
    <col min="10260" max="10260" width="26.109375" style="2839" customWidth="1"/>
    <col min="10261" max="10496" width="8.88671875" style="2839"/>
    <col min="10497" max="10497" width="9.44140625" style="2839" customWidth="1"/>
    <col min="10498" max="10498" width="8.88671875" style="2839"/>
    <col min="10499" max="10501" width="12.88671875" style="2839" customWidth="1"/>
    <col min="10502" max="10502" width="47.44140625" style="2839" customWidth="1"/>
    <col min="10503" max="10503" width="13" style="2839" customWidth="1"/>
    <col min="10504" max="10505" width="8.88671875" style="2839"/>
    <col min="10506" max="10506" width="5.77734375" style="2839" customWidth="1"/>
    <col min="10507" max="10507" width="11.77734375" style="2839" customWidth="1"/>
    <col min="10508" max="10509" width="10.77734375" style="2839" customWidth="1"/>
    <col min="10510" max="10510" width="10" style="2839" customWidth="1"/>
    <col min="10511" max="10512" width="10.44140625" style="2839" bestFit="1" customWidth="1"/>
    <col min="10513" max="10513" width="10" style="2839" customWidth="1"/>
    <col min="10514" max="10514" width="10.109375" style="2839" customWidth="1"/>
    <col min="10515" max="10515" width="10" style="2839" customWidth="1"/>
    <col min="10516" max="10516" width="26.109375" style="2839" customWidth="1"/>
    <col min="10517" max="10752" width="8.88671875" style="2839"/>
    <col min="10753" max="10753" width="9.44140625" style="2839" customWidth="1"/>
    <col min="10754" max="10754" width="8.88671875" style="2839"/>
    <col min="10755" max="10757" width="12.88671875" style="2839" customWidth="1"/>
    <col min="10758" max="10758" width="47.44140625" style="2839" customWidth="1"/>
    <col min="10759" max="10759" width="13" style="2839" customWidth="1"/>
    <col min="10760" max="10761" width="8.88671875" style="2839"/>
    <col min="10762" max="10762" width="5.77734375" style="2839" customWidth="1"/>
    <col min="10763" max="10763" width="11.77734375" style="2839" customWidth="1"/>
    <col min="10764" max="10765" width="10.77734375" style="2839" customWidth="1"/>
    <col min="10766" max="10766" width="10" style="2839" customWidth="1"/>
    <col min="10767" max="10768" width="10.44140625" style="2839" bestFit="1" customWidth="1"/>
    <col min="10769" max="10769" width="10" style="2839" customWidth="1"/>
    <col min="10770" max="10770" width="10.109375" style="2839" customWidth="1"/>
    <col min="10771" max="10771" width="10" style="2839" customWidth="1"/>
    <col min="10772" max="10772" width="26.109375" style="2839" customWidth="1"/>
    <col min="10773" max="11008" width="8.88671875" style="2839"/>
    <col min="11009" max="11009" width="9.44140625" style="2839" customWidth="1"/>
    <col min="11010" max="11010" width="8.88671875" style="2839"/>
    <col min="11011" max="11013" width="12.88671875" style="2839" customWidth="1"/>
    <col min="11014" max="11014" width="47.44140625" style="2839" customWidth="1"/>
    <col min="11015" max="11015" width="13" style="2839" customWidth="1"/>
    <col min="11016" max="11017" width="8.88671875" style="2839"/>
    <col min="11018" max="11018" width="5.77734375" style="2839" customWidth="1"/>
    <col min="11019" max="11019" width="11.77734375" style="2839" customWidth="1"/>
    <col min="11020" max="11021" width="10.77734375" style="2839" customWidth="1"/>
    <col min="11022" max="11022" width="10" style="2839" customWidth="1"/>
    <col min="11023" max="11024" width="10.44140625" style="2839" bestFit="1" customWidth="1"/>
    <col min="11025" max="11025" width="10" style="2839" customWidth="1"/>
    <col min="11026" max="11026" width="10.109375" style="2839" customWidth="1"/>
    <col min="11027" max="11027" width="10" style="2839" customWidth="1"/>
    <col min="11028" max="11028" width="26.109375" style="2839" customWidth="1"/>
    <col min="11029" max="11264" width="8.88671875" style="2839"/>
    <col min="11265" max="11265" width="9.44140625" style="2839" customWidth="1"/>
    <col min="11266" max="11266" width="8.88671875" style="2839"/>
    <col min="11267" max="11269" width="12.88671875" style="2839" customWidth="1"/>
    <col min="11270" max="11270" width="47.44140625" style="2839" customWidth="1"/>
    <col min="11271" max="11271" width="13" style="2839" customWidth="1"/>
    <col min="11272" max="11273" width="8.88671875" style="2839"/>
    <col min="11274" max="11274" width="5.77734375" style="2839" customWidth="1"/>
    <col min="11275" max="11275" width="11.77734375" style="2839" customWidth="1"/>
    <col min="11276" max="11277" width="10.77734375" style="2839" customWidth="1"/>
    <col min="11278" max="11278" width="10" style="2839" customWidth="1"/>
    <col min="11279" max="11280" width="10.44140625" style="2839" bestFit="1" customWidth="1"/>
    <col min="11281" max="11281" width="10" style="2839" customWidth="1"/>
    <col min="11282" max="11282" width="10.109375" style="2839" customWidth="1"/>
    <col min="11283" max="11283" width="10" style="2839" customWidth="1"/>
    <col min="11284" max="11284" width="26.109375" style="2839" customWidth="1"/>
    <col min="11285" max="11520" width="8.88671875" style="2839"/>
    <col min="11521" max="11521" width="9.44140625" style="2839" customWidth="1"/>
    <col min="11522" max="11522" width="8.88671875" style="2839"/>
    <col min="11523" max="11525" width="12.88671875" style="2839" customWidth="1"/>
    <col min="11526" max="11526" width="47.44140625" style="2839" customWidth="1"/>
    <col min="11527" max="11527" width="13" style="2839" customWidth="1"/>
    <col min="11528" max="11529" width="8.88671875" style="2839"/>
    <col min="11530" max="11530" width="5.77734375" style="2839" customWidth="1"/>
    <col min="11531" max="11531" width="11.77734375" style="2839" customWidth="1"/>
    <col min="11532" max="11533" width="10.77734375" style="2839" customWidth="1"/>
    <col min="11534" max="11534" width="10" style="2839" customWidth="1"/>
    <col min="11535" max="11536" width="10.44140625" style="2839" bestFit="1" customWidth="1"/>
    <col min="11537" max="11537" width="10" style="2839" customWidth="1"/>
    <col min="11538" max="11538" width="10.109375" style="2839" customWidth="1"/>
    <col min="11539" max="11539" width="10" style="2839" customWidth="1"/>
    <col min="11540" max="11540" width="26.109375" style="2839" customWidth="1"/>
    <col min="11541" max="11776" width="8.88671875" style="2839"/>
    <col min="11777" max="11777" width="9.44140625" style="2839" customWidth="1"/>
    <col min="11778" max="11778" width="8.88671875" style="2839"/>
    <col min="11779" max="11781" width="12.88671875" style="2839" customWidth="1"/>
    <col min="11782" max="11782" width="47.44140625" style="2839" customWidth="1"/>
    <col min="11783" max="11783" width="13" style="2839" customWidth="1"/>
    <col min="11784" max="11785" width="8.88671875" style="2839"/>
    <col min="11786" max="11786" width="5.77734375" style="2839" customWidth="1"/>
    <col min="11787" max="11787" width="11.77734375" style="2839" customWidth="1"/>
    <col min="11788" max="11789" width="10.77734375" style="2839" customWidth="1"/>
    <col min="11790" max="11790" width="10" style="2839" customWidth="1"/>
    <col min="11791" max="11792" width="10.44140625" style="2839" bestFit="1" customWidth="1"/>
    <col min="11793" max="11793" width="10" style="2839" customWidth="1"/>
    <col min="11794" max="11794" width="10.109375" style="2839" customWidth="1"/>
    <col min="11795" max="11795" width="10" style="2839" customWidth="1"/>
    <col min="11796" max="11796" width="26.109375" style="2839" customWidth="1"/>
    <col min="11797" max="12032" width="8.88671875" style="2839"/>
    <col min="12033" max="12033" width="9.44140625" style="2839" customWidth="1"/>
    <col min="12034" max="12034" width="8.88671875" style="2839"/>
    <col min="12035" max="12037" width="12.88671875" style="2839" customWidth="1"/>
    <col min="12038" max="12038" width="47.44140625" style="2839" customWidth="1"/>
    <col min="12039" max="12039" width="13" style="2839" customWidth="1"/>
    <col min="12040" max="12041" width="8.88671875" style="2839"/>
    <col min="12042" max="12042" width="5.77734375" style="2839" customWidth="1"/>
    <col min="12043" max="12043" width="11.77734375" style="2839" customWidth="1"/>
    <col min="12044" max="12045" width="10.77734375" style="2839" customWidth="1"/>
    <col min="12046" max="12046" width="10" style="2839" customWidth="1"/>
    <col min="12047" max="12048" width="10.44140625" style="2839" bestFit="1" customWidth="1"/>
    <col min="12049" max="12049" width="10" style="2839" customWidth="1"/>
    <col min="12050" max="12050" width="10.109375" style="2839" customWidth="1"/>
    <col min="12051" max="12051" width="10" style="2839" customWidth="1"/>
    <col min="12052" max="12052" width="26.109375" style="2839" customWidth="1"/>
    <col min="12053" max="12288" width="8.88671875" style="2839"/>
    <col min="12289" max="12289" width="9.44140625" style="2839" customWidth="1"/>
    <col min="12290" max="12290" width="8.88671875" style="2839"/>
    <col min="12291" max="12293" width="12.88671875" style="2839" customWidth="1"/>
    <col min="12294" max="12294" width="47.44140625" style="2839" customWidth="1"/>
    <col min="12295" max="12295" width="13" style="2839" customWidth="1"/>
    <col min="12296" max="12297" width="8.88671875" style="2839"/>
    <col min="12298" max="12298" width="5.77734375" style="2839" customWidth="1"/>
    <col min="12299" max="12299" width="11.77734375" style="2839" customWidth="1"/>
    <col min="12300" max="12301" width="10.77734375" style="2839" customWidth="1"/>
    <col min="12302" max="12302" width="10" style="2839" customWidth="1"/>
    <col min="12303" max="12304" width="10.44140625" style="2839" bestFit="1" customWidth="1"/>
    <col min="12305" max="12305" width="10" style="2839" customWidth="1"/>
    <col min="12306" max="12306" width="10.109375" style="2839" customWidth="1"/>
    <col min="12307" max="12307" width="10" style="2839" customWidth="1"/>
    <col min="12308" max="12308" width="26.109375" style="2839" customWidth="1"/>
    <col min="12309" max="12544" width="8.88671875" style="2839"/>
    <col min="12545" max="12545" width="9.44140625" style="2839" customWidth="1"/>
    <col min="12546" max="12546" width="8.88671875" style="2839"/>
    <col min="12547" max="12549" width="12.88671875" style="2839" customWidth="1"/>
    <col min="12550" max="12550" width="47.44140625" style="2839" customWidth="1"/>
    <col min="12551" max="12551" width="13" style="2839" customWidth="1"/>
    <col min="12552" max="12553" width="8.88671875" style="2839"/>
    <col min="12554" max="12554" width="5.77734375" style="2839" customWidth="1"/>
    <col min="12555" max="12555" width="11.77734375" style="2839" customWidth="1"/>
    <col min="12556" max="12557" width="10.77734375" style="2839" customWidth="1"/>
    <col min="12558" max="12558" width="10" style="2839" customWidth="1"/>
    <col min="12559" max="12560" width="10.44140625" style="2839" bestFit="1" customWidth="1"/>
    <col min="12561" max="12561" width="10" style="2839" customWidth="1"/>
    <col min="12562" max="12562" width="10.109375" style="2839" customWidth="1"/>
    <col min="12563" max="12563" width="10" style="2839" customWidth="1"/>
    <col min="12564" max="12564" width="26.109375" style="2839" customWidth="1"/>
    <col min="12565" max="12800" width="8.88671875" style="2839"/>
    <col min="12801" max="12801" width="9.44140625" style="2839" customWidth="1"/>
    <col min="12802" max="12802" width="8.88671875" style="2839"/>
    <col min="12803" max="12805" width="12.88671875" style="2839" customWidth="1"/>
    <col min="12806" max="12806" width="47.44140625" style="2839" customWidth="1"/>
    <col min="12807" max="12807" width="13" style="2839" customWidth="1"/>
    <col min="12808" max="12809" width="8.88671875" style="2839"/>
    <col min="12810" max="12810" width="5.77734375" style="2839" customWidth="1"/>
    <col min="12811" max="12811" width="11.77734375" style="2839" customWidth="1"/>
    <col min="12812" max="12813" width="10.77734375" style="2839" customWidth="1"/>
    <col min="12814" max="12814" width="10" style="2839" customWidth="1"/>
    <col min="12815" max="12816" width="10.44140625" style="2839" bestFit="1" customWidth="1"/>
    <col min="12817" max="12817" width="10" style="2839" customWidth="1"/>
    <col min="12818" max="12818" width="10.109375" style="2839" customWidth="1"/>
    <col min="12819" max="12819" width="10" style="2839" customWidth="1"/>
    <col min="12820" max="12820" width="26.109375" style="2839" customWidth="1"/>
    <col min="12821" max="13056" width="8.88671875" style="2839"/>
    <col min="13057" max="13057" width="9.44140625" style="2839" customWidth="1"/>
    <col min="13058" max="13058" width="8.88671875" style="2839"/>
    <col min="13059" max="13061" width="12.88671875" style="2839" customWidth="1"/>
    <col min="13062" max="13062" width="47.44140625" style="2839" customWidth="1"/>
    <col min="13063" max="13063" width="13" style="2839" customWidth="1"/>
    <col min="13064" max="13065" width="8.88671875" style="2839"/>
    <col min="13066" max="13066" width="5.77734375" style="2839" customWidth="1"/>
    <col min="13067" max="13067" width="11.77734375" style="2839" customWidth="1"/>
    <col min="13068" max="13069" width="10.77734375" style="2839" customWidth="1"/>
    <col min="13070" max="13070" width="10" style="2839" customWidth="1"/>
    <col min="13071" max="13072" width="10.44140625" style="2839" bestFit="1" customWidth="1"/>
    <col min="13073" max="13073" width="10" style="2839" customWidth="1"/>
    <col min="13074" max="13074" width="10.109375" style="2839" customWidth="1"/>
    <col min="13075" max="13075" width="10" style="2839" customWidth="1"/>
    <col min="13076" max="13076" width="26.109375" style="2839" customWidth="1"/>
    <col min="13077" max="13312" width="8.88671875" style="2839"/>
    <col min="13313" max="13313" width="9.44140625" style="2839" customWidth="1"/>
    <col min="13314" max="13314" width="8.88671875" style="2839"/>
    <col min="13315" max="13317" width="12.88671875" style="2839" customWidth="1"/>
    <col min="13318" max="13318" width="47.44140625" style="2839" customWidth="1"/>
    <col min="13319" max="13319" width="13" style="2839" customWidth="1"/>
    <col min="13320" max="13321" width="8.88671875" style="2839"/>
    <col min="13322" max="13322" width="5.77734375" style="2839" customWidth="1"/>
    <col min="13323" max="13323" width="11.77734375" style="2839" customWidth="1"/>
    <col min="13324" max="13325" width="10.77734375" style="2839" customWidth="1"/>
    <col min="13326" max="13326" width="10" style="2839" customWidth="1"/>
    <col min="13327" max="13328" width="10.44140625" style="2839" bestFit="1" customWidth="1"/>
    <col min="13329" max="13329" width="10" style="2839" customWidth="1"/>
    <col min="13330" max="13330" width="10.109375" style="2839" customWidth="1"/>
    <col min="13331" max="13331" width="10" style="2839" customWidth="1"/>
    <col min="13332" max="13332" width="26.109375" style="2839" customWidth="1"/>
    <col min="13333" max="13568" width="8.88671875" style="2839"/>
    <col min="13569" max="13569" width="9.44140625" style="2839" customWidth="1"/>
    <col min="13570" max="13570" width="8.88671875" style="2839"/>
    <col min="13571" max="13573" width="12.88671875" style="2839" customWidth="1"/>
    <col min="13574" max="13574" width="47.44140625" style="2839" customWidth="1"/>
    <col min="13575" max="13575" width="13" style="2839" customWidth="1"/>
    <col min="13576" max="13577" width="8.88671875" style="2839"/>
    <col min="13578" max="13578" width="5.77734375" style="2839" customWidth="1"/>
    <col min="13579" max="13579" width="11.77734375" style="2839" customWidth="1"/>
    <col min="13580" max="13581" width="10.77734375" style="2839" customWidth="1"/>
    <col min="13582" max="13582" width="10" style="2839" customWidth="1"/>
    <col min="13583" max="13584" width="10.44140625" style="2839" bestFit="1" customWidth="1"/>
    <col min="13585" max="13585" width="10" style="2839" customWidth="1"/>
    <col min="13586" max="13586" width="10.109375" style="2839" customWidth="1"/>
    <col min="13587" max="13587" width="10" style="2839" customWidth="1"/>
    <col min="13588" max="13588" width="26.109375" style="2839" customWidth="1"/>
    <col min="13589" max="13824" width="8.88671875" style="2839"/>
    <col min="13825" max="13825" width="9.44140625" style="2839" customWidth="1"/>
    <col min="13826" max="13826" width="8.88671875" style="2839"/>
    <col min="13827" max="13829" width="12.88671875" style="2839" customWidth="1"/>
    <col min="13830" max="13830" width="47.44140625" style="2839" customWidth="1"/>
    <col min="13831" max="13831" width="13" style="2839" customWidth="1"/>
    <col min="13832" max="13833" width="8.88671875" style="2839"/>
    <col min="13834" max="13834" width="5.77734375" style="2839" customWidth="1"/>
    <col min="13835" max="13835" width="11.77734375" style="2839" customWidth="1"/>
    <col min="13836" max="13837" width="10.77734375" style="2839" customWidth="1"/>
    <col min="13838" max="13838" width="10" style="2839" customWidth="1"/>
    <col min="13839" max="13840" width="10.44140625" style="2839" bestFit="1" customWidth="1"/>
    <col min="13841" max="13841" width="10" style="2839" customWidth="1"/>
    <col min="13842" max="13842" width="10.109375" style="2839" customWidth="1"/>
    <col min="13843" max="13843" width="10" style="2839" customWidth="1"/>
    <col min="13844" max="13844" width="26.109375" style="2839" customWidth="1"/>
    <col min="13845" max="14080" width="8.88671875" style="2839"/>
    <col min="14081" max="14081" width="9.44140625" style="2839" customWidth="1"/>
    <col min="14082" max="14082" width="8.88671875" style="2839"/>
    <col min="14083" max="14085" width="12.88671875" style="2839" customWidth="1"/>
    <col min="14086" max="14086" width="47.44140625" style="2839" customWidth="1"/>
    <col min="14087" max="14087" width="13" style="2839" customWidth="1"/>
    <col min="14088" max="14089" width="8.88671875" style="2839"/>
    <col min="14090" max="14090" width="5.77734375" style="2839" customWidth="1"/>
    <col min="14091" max="14091" width="11.77734375" style="2839" customWidth="1"/>
    <col min="14092" max="14093" width="10.77734375" style="2839" customWidth="1"/>
    <col min="14094" max="14094" width="10" style="2839" customWidth="1"/>
    <col min="14095" max="14096" width="10.44140625" style="2839" bestFit="1" customWidth="1"/>
    <col min="14097" max="14097" width="10" style="2839" customWidth="1"/>
    <col min="14098" max="14098" width="10.109375" style="2839" customWidth="1"/>
    <col min="14099" max="14099" width="10" style="2839" customWidth="1"/>
    <col min="14100" max="14100" width="26.109375" style="2839" customWidth="1"/>
    <col min="14101" max="14336" width="8.88671875" style="2839"/>
    <col min="14337" max="14337" width="9.44140625" style="2839" customWidth="1"/>
    <col min="14338" max="14338" width="8.88671875" style="2839"/>
    <col min="14339" max="14341" width="12.88671875" style="2839" customWidth="1"/>
    <col min="14342" max="14342" width="47.44140625" style="2839" customWidth="1"/>
    <col min="14343" max="14343" width="13" style="2839" customWidth="1"/>
    <col min="14344" max="14345" width="8.88671875" style="2839"/>
    <col min="14346" max="14346" width="5.77734375" style="2839" customWidth="1"/>
    <col min="14347" max="14347" width="11.77734375" style="2839" customWidth="1"/>
    <col min="14348" max="14349" width="10.77734375" style="2839" customWidth="1"/>
    <col min="14350" max="14350" width="10" style="2839" customWidth="1"/>
    <col min="14351" max="14352" width="10.44140625" style="2839" bestFit="1" customWidth="1"/>
    <col min="14353" max="14353" width="10" style="2839" customWidth="1"/>
    <col min="14354" max="14354" width="10.109375" style="2839" customWidth="1"/>
    <col min="14355" max="14355" width="10" style="2839" customWidth="1"/>
    <col min="14356" max="14356" width="26.109375" style="2839" customWidth="1"/>
    <col min="14357" max="14592" width="8.88671875" style="2839"/>
    <col min="14593" max="14593" width="9.44140625" style="2839" customWidth="1"/>
    <col min="14594" max="14594" width="8.88671875" style="2839"/>
    <col min="14595" max="14597" width="12.88671875" style="2839" customWidth="1"/>
    <col min="14598" max="14598" width="47.44140625" style="2839" customWidth="1"/>
    <col min="14599" max="14599" width="13" style="2839" customWidth="1"/>
    <col min="14600" max="14601" width="8.88671875" style="2839"/>
    <col min="14602" max="14602" width="5.77734375" style="2839" customWidth="1"/>
    <col min="14603" max="14603" width="11.77734375" style="2839" customWidth="1"/>
    <col min="14604" max="14605" width="10.77734375" style="2839" customWidth="1"/>
    <col min="14606" max="14606" width="10" style="2839" customWidth="1"/>
    <col min="14607" max="14608" width="10.44140625" style="2839" bestFit="1" customWidth="1"/>
    <col min="14609" max="14609" width="10" style="2839" customWidth="1"/>
    <col min="14610" max="14610" width="10.109375" style="2839" customWidth="1"/>
    <col min="14611" max="14611" width="10" style="2839" customWidth="1"/>
    <col min="14612" max="14612" width="26.109375" style="2839" customWidth="1"/>
    <col min="14613" max="14848" width="8.88671875" style="2839"/>
    <col min="14849" max="14849" width="9.44140625" style="2839" customWidth="1"/>
    <col min="14850" max="14850" width="8.88671875" style="2839"/>
    <col min="14851" max="14853" width="12.88671875" style="2839" customWidth="1"/>
    <col min="14854" max="14854" width="47.44140625" style="2839" customWidth="1"/>
    <col min="14855" max="14855" width="13" style="2839" customWidth="1"/>
    <col min="14856" max="14857" width="8.88671875" style="2839"/>
    <col min="14858" max="14858" width="5.77734375" style="2839" customWidth="1"/>
    <col min="14859" max="14859" width="11.77734375" style="2839" customWidth="1"/>
    <col min="14860" max="14861" width="10.77734375" style="2839" customWidth="1"/>
    <col min="14862" max="14862" width="10" style="2839" customWidth="1"/>
    <col min="14863" max="14864" width="10.44140625" style="2839" bestFit="1" customWidth="1"/>
    <col min="14865" max="14865" width="10" style="2839" customWidth="1"/>
    <col min="14866" max="14866" width="10.109375" style="2839" customWidth="1"/>
    <col min="14867" max="14867" width="10" style="2839" customWidth="1"/>
    <col min="14868" max="14868" width="26.109375" style="2839" customWidth="1"/>
    <col min="14869" max="15104" width="8.88671875" style="2839"/>
    <col min="15105" max="15105" width="9.44140625" style="2839" customWidth="1"/>
    <col min="15106" max="15106" width="8.88671875" style="2839"/>
    <col min="15107" max="15109" width="12.88671875" style="2839" customWidth="1"/>
    <col min="15110" max="15110" width="47.44140625" style="2839" customWidth="1"/>
    <col min="15111" max="15111" width="13" style="2839" customWidth="1"/>
    <col min="15112" max="15113" width="8.88671875" style="2839"/>
    <col min="15114" max="15114" width="5.77734375" style="2839" customWidth="1"/>
    <col min="15115" max="15115" width="11.77734375" style="2839" customWidth="1"/>
    <col min="15116" max="15117" width="10.77734375" style="2839" customWidth="1"/>
    <col min="15118" max="15118" width="10" style="2839" customWidth="1"/>
    <col min="15119" max="15120" width="10.44140625" style="2839" bestFit="1" customWidth="1"/>
    <col min="15121" max="15121" width="10" style="2839" customWidth="1"/>
    <col min="15122" max="15122" width="10.109375" style="2839" customWidth="1"/>
    <col min="15123" max="15123" width="10" style="2839" customWidth="1"/>
    <col min="15124" max="15124" width="26.109375" style="2839" customWidth="1"/>
    <col min="15125" max="15360" width="8.88671875" style="2839"/>
    <col min="15361" max="15361" width="9.44140625" style="2839" customWidth="1"/>
    <col min="15362" max="15362" width="8.88671875" style="2839"/>
    <col min="15363" max="15365" width="12.88671875" style="2839" customWidth="1"/>
    <col min="15366" max="15366" width="47.44140625" style="2839" customWidth="1"/>
    <col min="15367" max="15367" width="13" style="2839" customWidth="1"/>
    <col min="15368" max="15369" width="8.88671875" style="2839"/>
    <col min="15370" max="15370" width="5.77734375" style="2839" customWidth="1"/>
    <col min="15371" max="15371" width="11.77734375" style="2839" customWidth="1"/>
    <col min="15372" max="15373" width="10.77734375" style="2839" customWidth="1"/>
    <col min="15374" max="15374" width="10" style="2839" customWidth="1"/>
    <col min="15375" max="15376" width="10.44140625" style="2839" bestFit="1" customWidth="1"/>
    <col min="15377" max="15377" width="10" style="2839" customWidth="1"/>
    <col min="15378" max="15378" width="10.109375" style="2839" customWidth="1"/>
    <col min="15379" max="15379" width="10" style="2839" customWidth="1"/>
    <col min="15380" max="15380" width="26.109375" style="2839" customWidth="1"/>
    <col min="15381" max="15616" width="8.88671875" style="2839"/>
    <col min="15617" max="15617" width="9.44140625" style="2839" customWidth="1"/>
    <col min="15618" max="15618" width="8.88671875" style="2839"/>
    <col min="15619" max="15621" width="12.88671875" style="2839" customWidth="1"/>
    <col min="15622" max="15622" width="47.44140625" style="2839" customWidth="1"/>
    <col min="15623" max="15623" width="13" style="2839" customWidth="1"/>
    <col min="15624" max="15625" width="8.88671875" style="2839"/>
    <col min="15626" max="15626" width="5.77734375" style="2839" customWidth="1"/>
    <col min="15627" max="15627" width="11.77734375" style="2839" customWidth="1"/>
    <col min="15628" max="15629" width="10.77734375" style="2839" customWidth="1"/>
    <col min="15630" max="15630" width="10" style="2839" customWidth="1"/>
    <col min="15631" max="15632" width="10.44140625" style="2839" bestFit="1" customWidth="1"/>
    <col min="15633" max="15633" width="10" style="2839" customWidth="1"/>
    <col min="15634" max="15634" width="10.109375" style="2839" customWidth="1"/>
    <col min="15635" max="15635" width="10" style="2839" customWidth="1"/>
    <col min="15636" max="15636" width="26.109375" style="2839" customWidth="1"/>
    <col min="15637" max="15872" width="8.88671875" style="2839"/>
    <col min="15873" max="15873" width="9.44140625" style="2839" customWidth="1"/>
    <col min="15874" max="15874" width="8.88671875" style="2839"/>
    <col min="15875" max="15877" width="12.88671875" style="2839" customWidth="1"/>
    <col min="15878" max="15878" width="47.44140625" style="2839" customWidth="1"/>
    <col min="15879" max="15879" width="13" style="2839" customWidth="1"/>
    <col min="15880" max="15881" width="8.88671875" style="2839"/>
    <col min="15882" max="15882" width="5.77734375" style="2839" customWidth="1"/>
    <col min="15883" max="15883" width="11.77734375" style="2839" customWidth="1"/>
    <col min="15884" max="15885" width="10.77734375" style="2839" customWidth="1"/>
    <col min="15886" max="15886" width="10" style="2839" customWidth="1"/>
    <col min="15887" max="15888" width="10.44140625" style="2839" bestFit="1" customWidth="1"/>
    <col min="15889" max="15889" width="10" style="2839" customWidth="1"/>
    <col min="15890" max="15890" width="10.109375" style="2839" customWidth="1"/>
    <col min="15891" max="15891" width="10" style="2839" customWidth="1"/>
    <col min="15892" max="15892" width="26.109375" style="2839" customWidth="1"/>
    <col min="15893" max="16128" width="8.88671875" style="2839"/>
    <col min="16129" max="16129" width="9.44140625" style="2839" customWidth="1"/>
    <col min="16130" max="16130" width="8.88671875" style="2839"/>
    <col min="16131" max="16133" width="12.88671875" style="2839" customWidth="1"/>
    <col min="16134" max="16134" width="47.44140625" style="2839" customWidth="1"/>
    <col min="16135" max="16135" width="13" style="2839" customWidth="1"/>
    <col min="16136" max="16137" width="8.88671875" style="2839"/>
    <col min="16138" max="16138" width="5.77734375" style="2839" customWidth="1"/>
    <col min="16139" max="16139" width="11.77734375" style="2839" customWidth="1"/>
    <col min="16140" max="16141" width="10.77734375" style="2839" customWidth="1"/>
    <col min="16142" max="16142" width="10" style="2839" customWidth="1"/>
    <col min="16143" max="16144" width="10.44140625" style="2839" bestFit="1" customWidth="1"/>
    <col min="16145" max="16145" width="10" style="2839" customWidth="1"/>
    <col min="16146" max="16146" width="10.109375" style="2839" customWidth="1"/>
    <col min="16147" max="16147" width="10" style="2839" customWidth="1"/>
    <col min="16148" max="16148" width="26.109375" style="2839" customWidth="1"/>
    <col min="16149" max="16384" width="8.88671875" style="2839"/>
  </cols>
  <sheetData>
    <row r="1" spans="1:22" ht="21" customHeight="1">
      <c r="A1" s="2828" t="s">
        <v>2432</v>
      </c>
      <c r="B1" s="2829"/>
      <c r="C1" s="2841"/>
      <c r="D1" s="2841"/>
      <c r="E1" s="2830"/>
      <c r="F1" s="2831"/>
      <c r="G1" s="2832"/>
      <c r="J1" s="2835" t="s">
        <v>2311</v>
      </c>
      <c r="K1" s="2836"/>
      <c r="L1" s="2836"/>
      <c r="M1" s="2836"/>
      <c r="N1" s="2836"/>
      <c r="O1" s="2836"/>
      <c r="P1" s="2836"/>
      <c r="Q1" s="2836"/>
      <c r="R1" s="2837"/>
      <c r="S1" s="2838"/>
      <c r="T1" s="2838"/>
      <c r="U1" s="2838"/>
    </row>
    <row r="2" spans="1:22" s="2850" customFormat="1" ht="13.2" customHeight="1">
      <c r="A2" s="1384" t="s">
        <v>2312</v>
      </c>
      <c r="B2" s="2840" t="e">
        <f>IF(D2="——",C40,C40+E2)</f>
        <v>#DIV/0!</v>
      </c>
      <c r="C2" s="2841" t="s">
        <v>2313</v>
      </c>
      <c r="D2" s="3440" t="s">
        <v>3356</v>
      </c>
      <c r="E2" s="3441"/>
      <c r="F2" s="2843"/>
      <c r="G2" s="2844"/>
      <c r="H2" s="2845"/>
      <c r="I2" s="2846"/>
      <c r="J2" s="3719" t="s">
        <v>2314</v>
      </c>
      <c r="K2" s="3720"/>
      <c r="L2" s="2847" t="s">
        <v>2315</v>
      </c>
      <c r="M2" s="2847" t="s">
        <v>2316</v>
      </c>
      <c r="N2" s="2847" t="s">
        <v>2317</v>
      </c>
      <c r="O2" s="2847" t="s">
        <v>2318</v>
      </c>
      <c r="P2" s="2847" t="s">
        <v>2319</v>
      </c>
      <c r="Q2" s="2848" t="s">
        <v>2320</v>
      </c>
      <c r="R2" s="2849" t="s">
        <v>2321</v>
      </c>
      <c r="S2" s="2838"/>
      <c r="T2" s="2838"/>
      <c r="U2" s="2838"/>
      <c r="V2" s="2846"/>
    </row>
    <row r="3" spans="1:22" s="2850" customFormat="1" ht="13.2" customHeight="1">
      <c r="A3" s="2851" t="s">
        <v>2322</v>
      </c>
      <c r="B3" s="2852" t="e">
        <f>ROUND(B2*10000/B4,0)</f>
        <v>#DIV/0!</v>
      </c>
      <c r="C3" s="2841" t="s">
        <v>2323</v>
      </c>
      <c r="D3" s="2841"/>
      <c r="E3" s="2842"/>
      <c r="F3" s="2843"/>
      <c r="G3" s="2844"/>
      <c r="H3" s="2845"/>
      <c r="I3" s="2846"/>
      <c r="J3" s="3721" t="s">
        <v>2324</v>
      </c>
      <c r="K3" s="3722"/>
      <c r="L3" s="2853"/>
      <c r="M3" s="2853"/>
      <c r="N3" s="2853"/>
      <c r="O3" s="2853"/>
      <c r="P3" s="2853"/>
      <c r="Q3" s="2854"/>
      <c r="R3" s="2855">
        <f>SUM(L3:Q3)</f>
        <v>0</v>
      </c>
      <c r="S3" s="2838"/>
      <c r="T3" s="2838"/>
      <c r="U3" s="2838"/>
      <c r="V3" s="2846"/>
    </row>
    <row r="4" spans="1:22" s="2850" customFormat="1" ht="13.2" customHeight="1">
      <c r="A4" s="2856" t="s">
        <v>2325</v>
      </c>
      <c r="B4" s="2857"/>
      <c r="C4" s="2841"/>
      <c r="D4" s="2841"/>
      <c r="E4" s="2842"/>
      <c r="F4" s="2843"/>
      <c r="G4" s="2844"/>
      <c r="H4" s="2845"/>
      <c r="I4" s="2846"/>
      <c r="J4" s="3721" t="s">
        <v>2326</v>
      </c>
      <c r="K4" s="3722"/>
      <c r="L4" s="2858"/>
      <c r="M4" s="2858"/>
      <c r="N4" s="2858"/>
      <c r="O4" s="2858"/>
      <c r="P4" s="2858"/>
      <c r="Q4" s="2859"/>
      <c r="R4" s="2860">
        <f>SUM(L4:Q4)</f>
        <v>0</v>
      </c>
      <c r="S4" s="2838"/>
      <c r="T4" s="2838"/>
      <c r="U4" s="2838"/>
      <c r="V4" s="2846"/>
    </row>
    <row r="5" spans="1:22" s="2850" customFormat="1" ht="13.2" customHeight="1" thickBot="1">
      <c r="A5" s="2861" t="s">
        <v>2327</v>
      </c>
      <c r="B5" s="2862"/>
      <c r="C5" s="2841"/>
      <c r="D5" s="2863"/>
      <c r="E5" s="2843"/>
      <c r="F5" s="2843"/>
      <c r="G5" s="2844"/>
      <c r="H5" s="2845"/>
      <c r="I5" s="2846"/>
      <c r="J5" s="2864" t="s">
        <v>2328</v>
      </c>
      <c r="K5" s="2865"/>
      <c r="L5" s="2865"/>
      <c r="M5" s="2866"/>
      <c r="N5" s="2866"/>
      <c r="O5" s="2866"/>
      <c r="P5" s="2866"/>
      <c r="Q5" s="2866"/>
      <c r="R5" s="2849">
        <f>SUM(R14,R19,R24,R25,R27,R28)</f>
        <v>0</v>
      </c>
      <c r="S5" s="2838"/>
      <c r="T5" s="2838" t="s">
        <v>2329</v>
      </c>
      <c r="U5" s="2838" t="e">
        <f>ROUND(R5*10000/365/R3,1)</f>
        <v>#DIV/0!</v>
      </c>
      <c r="V5" s="2846"/>
    </row>
    <row r="6" spans="1:22" s="2850" customFormat="1" ht="13.2" customHeight="1" thickBot="1">
      <c r="A6" s="3727" t="s">
        <v>2330</v>
      </c>
      <c r="B6" s="3728"/>
      <c r="C6" s="3729"/>
      <c r="D6" s="2867"/>
      <c r="E6" s="2868"/>
      <c r="F6" s="2869"/>
      <c r="G6" s="2870"/>
      <c r="H6" s="2845"/>
      <c r="I6" s="2846"/>
      <c r="J6" s="3713">
        <v>1</v>
      </c>
      <c r="K6" s="3714" t="s">
        <v>2331</v>
      </c>
      <c r="L6" s="2871" t="s">
        <v>2332</v>
      </c>
      <c r="M6" s="2872" t="s">
        <v>2333</v>
      </c>
      <c r="N6" s="2872" t="s">
        <v>2334</v>
      </c>
      <c r="O6" s="2872" t="s">
        <v>2335</v>
      </c>
      <c r="P6" s="2872" t="s">
        <v>2336</v>
      </c>
      <c r="Q6" s="2872" t="s">
        <v>2337</v>
      </c>
      <c r="R6" s="2855" t="s">
        <v>2338</v>
      </c>
      <c r="S6" s="2838"/>
      <c r="T6" s="2838" t="s">
        <v>2339</v>
      </c>
      <c r="U6" s="2838"/>
      <c r="V6" s="2846"/>
    </row>
    <row r="7" spans="1:22" s="2850" customFormat="1" ht="13.2" customHeight="1">
      <c r="A7" s="2873" t="s">
        <v>2340</v>
      </c>
      <c r="B7" s="2874"/>
      <c r="C7" s="2875"/>
      <c r="D7" s="2876">
        <f>SUM(D9,D10,D11,D17,0)</f>
        <v>0</v>
      </c>
      <c r="E7" s="2877" t="e">
        <f>E9+E10+E11+E17</f>
        <v>#DIV/0!</v>
      </c>
      <c r="F7" s="2878"/>
      <c r="G7" s="2879"/>
      <c r="H7" s="2845"/>
      <c r="I7" s="2846"/>
      <c r="J7" s="3713"/>
      <c r="K7" s="3715"/>
      <c r="L7" s="2880" t="s">
        <v>2341</v>
      </c>
      <c r="M7" s="2881"/>
      <c r="N7" s="2857"/>
      <c r="O7" s="2882"/>
      <c r="P7" s="2882"/>
      <c r="Q7" s="2883">
        <v>365</v>
      </c>
      <c r="R7" s="2884">
        <f>ROUND(M7*N7*O7*P7*Q7/10000,0)</f>
        <v>0</v>
      </c>
      <c r="S7" s="2838"/>
      <c r="T7" s="2838" t="s">
        <v>2342</v>
      </c>
      <c r="U7" s="2838"/>
      <c r="V7" s="2846"/>
    </row>
    <row r="8" spans="1:22" s="2850" customFormat="1" ht="13.2" customHeight="1">
      <c r="A8" s="2885" t="s">
        <v>2343</v>
      </c>
      <c r="B8" s="3730" t="s">
        <v>2344</v>
      </c>
      <c r="C8" s="3731"/>
      <c r="D8" s="2886" t="s">
        <v>2345</v>
      </c>
      <c r="E8" s="2887" t="s">
        <v>2346</v>
      </c>
      <c r="F8" s="2888" t="s">
        <v>2347</v>
      </c>
      <c r="G8" s="2889"/>
      <c r="H8" s="2845"/>
      <c r="I8" s="2846"/>
      <c r="J8" s="3713"/>
      <c r="K8" s="3715"/>
      <c r="L8" s="2880" t="s">
        <v>2348</v>
      </c>
      <c r="M8" s="2881"/>
      <c r="N8" s="2857"/>
      <c r="O8" s="2882"/>
      <c r="P8" s="2882"/>
      <c r="Q8" s="2883">
        <v>365</v>
      </c>
      <c r="R8" s="2884">
        <f t="shared" ref="R8:R13" si="0">ROUND(M8*N8*O8*P8*Q8/10000,0)</f>
        <v>0</v>
      </c>
      <c r="S8" s="2838"/>
      <c r="T8" s="2838" t="s">
        <v>2349</v>
      </c>
      <c r="U8" s="2838"/>
      <c r="V8" s="2846"/>
    </row>
    <row r="9" spans="1:22" s="2850" customFormat="1" ht="13.2" customHeight="1">
      <c r="A9" s="2885">
        <v>1</v>
      </c>
      <c r="B9" s="3730" t="s">
        <v>2350</v>
      </c>
      <c r="C9" s="3731"/>
      <c r="D9" s="2886">
        <f>ROUND(D6*E9,0)</f>
        <v>0</v>
      </c>
      <c r="E9" s="2890"/>
      <c r="F9" s="2891" t="s">
        <v>2351</v>
      </c>
      <c r="G9" s="2870"/>
      <c r="H9" s="2845"/>
      <c r="I9" s="2846"/>
      <c r="J9" s="3713"/>
      <c r="K9" s="3715"/>
      <c r="L9" s="2880" t="s">
        <v>2352</v>
      </c>
      <c r="M9" s="2881"/>
      <c r="N9" s="2857"/>
      <c r="O9" s="2882"/>
      <c r="P9" s="2882"/>
      <c r="Q9" s="2883">
        <v>365</v>
      </c>
      <c r="R9" s="2884">
        <f t="shared" si="0"/>
        <v>0</v>
      </c>
      <c r="S9" s="2838"/>
      <c r="T9" s="2838"/>
      <c r="U9" s="2838"/>
      <c r="V9" s="2846"/>
    </row>
    <row r="10" spans="1:22" s="2850" customFormat="1" ht="13.2" customHeight="1">
      <c r="A10" s="2885">
        <v>2</v>
      </c>
      <c r="B10" s="3730" t="s">
        <v>2353</v>
      </c>
      <c r="C10" s="3731"/>
      <c r="D10" s="2886">
        <f>ROUND(D6*E10,0)</f>
        <v>0</v>
      </c>
      <c r="E10" s="2890"/>
      <c r="F10" s="2891" t="s">
        <v>2354</v>
      </c>
      <c r="G10" s="2870"/>
      <c r="H10" s="2845"/>
      <c r="I10" s="2846"/>
      <c r="J10" s="3713"/>
      <c r="K10" s="3715"/>
      <c r="L10" s="2880" t="s">
        <v>2355</v>
      </c>
      <c r="M10" s="2881"/>
      <c r="N10" s="2857"/>
      <c r="O10" s="2882"/>
      <c r="P10" s="2882"/>
      <c r="Q10" s="2883">
        <v>365</v>
      </c>
      <c r="R10" s="2884">
        <f t="shared" si="0"/>
        <v>0</v>
      </c>
      <c r="S10" s="2838"/>
      <c r="T10" s="2838"/>
      <c r="U10" s="2838"/>
      <c r="V10" s="2846"/>
    </row>
    <row r="11" spans="1:22" s="2850" customFormat="1" ht="13.2" customHeight="1">
      <c r="A11" s="2885">
        <v>3</v>
      </c>
      <c r="B11" s="3730" t="s">
        <v>2356</v>
      </c>
      <c r="C11" s="3731"/>
      <c r="D11" s="2886">
        <f>D12+D14+D15+D16</f>
        <v>0</v>
      </c>
      <c r="E11" s="2892" t="e">
        <f>D11/D6</f>
        <v>#DIV/0!</v>
      </c>
      <c r="F11" s="2888"/>
      <c r="G11" s="2889"/>
      <c r="H11" s="2845"/>
      <c r="I11" s="2846"/>
      <c r="J11" s="3713"/>
      <c r="K11" s="3715"/>
      <c r="L11" s="2880" t="s">
        <v>2357</v>
      </c>
      <c r="M11" s="2881"/>
      <c r="N11" s="2857"/>
      <c r="O11" s="2882"/>
      <c r="P11" s="2882"/>
      <c r="Q11" s="2883">
        <v>365</v>
      </c>
      <c r="R11" s="2884">
        <f t="shared" si="0"/>
        <v>0</v>
      </c>
      <c r="S11" s="2838"/>
      <c r="T11" s="2838"/>
      <c r="U11" s="2838"/>
      <c r="V11" s="2846"/>
    </row>
    <row r="12" spans="1:22" s="2850" customFormat="1" ht="13.2" customHeight="1">
      <c r="A12" s="2893" t="s">
        <v>2358</v>
      </c>
      <c r="B12" s="3723" t="s">
        <v>2359</v>
      </c>
      <c r="C12" s="3724"/>
      <c r="D12" s="2894">
        <f>ROUND(D13*1.2%*(1-30%),0)</f>
        <v>0</v>
      </c>
      <c r="E12" s="2895">
        <v>1.2E-2</v>
      </c>
      <c r="F12" s="2888" t="s">
        <v>2360</v>
      </c>
      <c r="G12" s="2889"/>
      <c r="H12" s="2845"/>
      <c r="I12" s="2846"/>
      <c r="J12" s="3713"/>
      <c r="K12" s="3715"/>
      <c r="L12" s="2880" t="s">
        <v>2361</v>
      </c>
      <c r="M12" s="2881"/>
      <c r="N12" s="2857"/>
      <c r="O12" s="2882"/>
      <c r="P12" s="2882"/>
      <c r="Q12" s="2883">
        <v>365</v>
      </c>
      <c r="R12" s="2884">
        <f t="shared" si="0"/>
        <v>0</v>
      </c>
      <c r="S12" s="2838"/>
      <c r="T12" s="2838"/>
      <c r="U12" s="2838"/>
      <c r="V12" s="2846"/>
    </row>
    <row r="13" spans="1:22" s="2850" customFormat="1" ht="13.2" customHeight="1">
      <c r="A13" s="2893"/>
      <c r="B13" s="2896"/>
      <c r="C13" s="2897" t="s">
        <v>2362</v>
      </c>
      <c r="D13" s="2898"/>
      <c r="E13" s="2899"/>
      <c r="F13" s="2888"/>
      <c r="G13" s="2889"/>
      <c r="H13" s="2845"/>
      <c r="I13" s="2846"/>
      <c r="J13" s="3713"/>
      <c r="K13" s="3715"/>
      <c r="L13" s="2880" t="s">
        <v>2363</v>
      </c>
      <c r="M13" s="2881"/>
      <c r="N13" s="2857"/>
      <c r="O13" s="2882"/>
      <c r="P13" s="2882"/>
      <c r="Q13" s="2883">
        <v>365</v>
      </c>
      <c r="R13" s="2884">
        <f t="shared" si="0"/>
        <v>0</v>
      </c>
      <c r="S13" s="2838"/>
      <c r="T13" s="2838"/>
      <c r="U13" s="2838"/>
      <c r="V13" s="2846"/>
    </row>
    <row r="14" spans="1:22" s="2850" customFormat="1" ht="13.2" customHeight="1">
      <c r="A14" s="2893" t="s">
        <v>2364</v>
      </c>
      <c r="B14" s="3723" t="s">
        <v>2365</v>
      </c>
      <c r="C14" s="3724"/>
      <c r="D14" s="2894">
        <f>ROUND(E14*B5/10000,0)</f>
        <v>0</v>
      </c>
      <c r="E14" s="2883"/>
      <c r="F14" s="2888" t="s">
        <v>2366</v>
      </c>
      <c r="G14" s="2889"/>
      <c r="H14" s="2845"/>
      <c r="I14" s="2846"/>
      <c r="J14" s="3713"/>
      <c r="K14" s="3716"/>
      <c r="L14" s="2900" t="s">
        <v>2367</v>
      </c>
      <c r="M14" s="2901">
        <f>SUM(M7:M13)</f>
        <v>0</v>
      </c>
      <c r="N14" s="2901" t="e">
        <f>ROUND((N7*M7+N8*M8+N9*M9+N10*M10+N11*M11+N12*M12+N13*M13)/M14,0)</f>
        <v>#DIV/0!</v>
      </c>
      <c r="O14" s="2902"/>
      <c r="P14" s="2902"/>
      <c r="Q14" s="2903"/>
      <c r="R14" s="2849">
        <f>SUM(R7:R13)</f>
        <v>0</v>
      </c>
      <c r="S14" s="2838"/>
      <c r="T14" s="2838"/>
      <c r="U14" s="2838"/>
      <c r="V14" s="2846"/>
    </row>
    <row r="15" spans="1:22" s="2850" customFormat="1" ht="13.2" customHeight="1">
      <c r="A15" s="2893" t="s">
        <v>2368</v>
      </c>
      <c r="B15" s="3723" t="s">
        <v>2369</v>
      </c>
      <c r="C15" s="3724"/>
      <c r="D15" s="2894">
        <f>ROUND(D6*E15,0)</f>
        <v>0</v>
      </c>
      <c r="E15" s="2895">
        <v>5.5E-2</v>
      </c>
      <c r="F15" s="2888" t="s">
        <v>2370</v>
      </c>
      <c r="G15" s="2870"/>
      <c r="H15" s="2845"/>
      <c r="I15" s="2846"/>
      <c r="J15" s="3713">
        <v>2</v>
      </c>
      <c r="K15" s="3714" t="s">
        <v>2371</v>
      </c>
      <c r="L15" s="2880" t="s">
        <v>2372</v>
      </c>
      <c r="M15" s="2881" t="s">
        <v>2373</v>
      </c>
      <c r="N15" s="2881" t="s">
        <v>2374</v>
      </c>
      <c r="O15" s="2882" t="s">
        <v>2375</v>
      </c>
      <c r="P15" s="2882" t="s">
        <v>2337</v>
      </c>
      <c r="Q15" s="2857" t="s">
        <v>2376</v>
      </c>
      <c r="R15" s="2904" t="s">
        <v>2338</v>
      </c>
      <c r="S15" s="2838"/>
      <c r="T15" s="2838"/>
      <c r="U15" s="2838"/>
      <c r="V15" s="2846"/>
    </row>
    <row r="16" spans="1:22" s="2850" customFormat="1" ht="13.2" customHeight="1">
      <c r="A16" s="2893" t="s">
        <v>2377</v>
      </c>
      <c r="B16" s="3723" t="s">
        <v>2378</v>
      </c>
      <c r="C16" s="3724"/>
      <c r="D16" s="2905">
        <f>D6*E16</f>
        <v>0</v>
      </c>
      <c r="E16" s="2906"/>
      <c r="F16" s="2891" t="s">
        <v>2379</v>
      </c>
      <c r="G16" s="2870"/>
      <c r="H16" s="2845"/>
      <c r="I16" s="2846"/>
      <c r="J16" s="3713"/>
      <c r="K16" s="3715"/>
      <c r="L16" s="2880" t="s">
        <v>2380</v>
      </c>
      <c r="M16" s="2881"/>
      <c r="N16" s="2881"/>
      <c r="O16" s="2882"/>
      <c r="P16" s="2883">
        <v>365</v>
      </c>
      <c r="Q16" s="2857"/>
      <c r="R16" s="2904">
        <f>ROUND(M16*N16*O16*P16/10000,0)</f>
        <v>0</v>
      </c>
      <c r="S16" s="2838"/>
      <c r="T16" s="2838"/>
      <c r="U16" s="2838"/>
      <c r="V16" s="2846"/>
    </row>
    <row r="17" spans="1:22" s="2850" customFormat="1" ht="13.2" customHeight="1" thickBot="1">
      <c r="A17" s="2907">
        <v>4</v>
      </c>
      <c r="B17" s="3725" t="s">
        <v>2381</v>
      </c>
      <c r="C17" s="3726"/>
      <c r="D17" s="2908">
        <f>ROUND(D6*E17,0)</f>
        <v>0</v>
      </c>
      <c r="E17" s="2909"/>
      <c r="F17" s="2910" t="s">
        <v>2382</v>
      </c>
      <c r="G17" s="2870"/>
      <c r="H17" s="2845"/>
      <c r="I17" s="2846"/>
      <c r="J17" s="3713"/>
      <c r="K17" s="3715"/>
      <c r="L17" s="2880" t="s">
        <v>2383</v>
      </c>
      <c r="M17" s="2881"/>
      <c r="N17" s="2881"/>
      <c r="O17" s="2882"/>
      <c r="P17" s="2883">
        <v>365</v>
      </c>
      <c r="Q17" s="2857"/>
      <c r="R17" s="2904">
        <f>ROUND(M17*N17*O17*P17/10000,0)</f>
        <v>0</v>
      </c>
      <c r="S17" s="2838"/>
      <c r="T17" s="2838"/>
      <c r="U17" s="2838"/>
      <c r="V17" s="2846"/>
    </row>
    <row r="18" spans="1:22" s="2850" customFormat="1" ht="13.2" customHeight="1" thickBot="1">
      <c r="A18" s="2873" t="s">
        <v>2384</v>
      </c>
      <c r="B18" s="2874"/>
      <c r="C18" s="2874"/>
      <c r="D18" s="2911">
        <f>ROUND(D6*E18,0)</f>
        <v>0</v>
      </c>
      <c r="E18" s="2912"/>
      <c r="F18" s="2913" t="s">
        <v>2385</v>
      </c>
      <c r="G18" s="2870"/>
      <c r="H18" s="2845"/>
      <c r="I18" s="2846"/>
      <c r="J18" s="3713"/>
      <c r="K18" s="3715"/>
      <c r="L18" s="2880" t="s">
        <v>2386</v>
      </c>
      <c r="M18" s="2881"/>
      <c r="N18" s="2881"/>
      <c r="O18" s="2882"/>
      <c r="P18" s="2883">
        <v>365</v>
      </c>
      <c r="Q18" s="2857"/>
      <c r="R18" s="2904">
        <f>ROUND(M18*N18*O18*P18/10000,0)</f>
        <v>0</v>
      </c>
      <c r="S18" s="2838"/>
      <c r="T18" s="2838"/>
      <c r="U18" s="2838"/>
      <c r="V18" s="2846"/>
    </row>
    <row r="19" spans="1:22" s="2850" customFormat="1" ht="13.2" customHeight="1" thickBot="1">
      <c r="A19" s="2914" t="s">
        <v>2387</v>
      </c>
      <c r="B19" s="2868"/>
      <c r="C19" s="2868"/>
      <c r="D19" s="2868"/>
      <c r="E19" s="2868"/>
      <c r="F19" s="2869"/>
      <c r="G19" s="2889"/>
      <c r="H19" s="2845"/>
      <c r="I19" s="2846"/>
      <c r="J19" s="3713"/>
      <c r="K19" s="3716"/>
      <c r="L19" s="2900" t="s">
        <v>2367</v>
      </c>
      <c r="M19" s="2901"/>
      <c r="N19" s="2901">
        <f>SUM(N16:N18)</f>
        <v>0</v>
      </c>
      <c r="O19" s="2902"/>
      <c r="P19" s="2915" t="s">
        <v>2431</v>
      </c>
      <c r="Q19" s="2882">
        <v>0</v>
      </c>
      <c r="R19" s="2916">
        <f>ROUND(IF(P19="按比例",R14*Q19,SUM(R16:R18)),0)</f>
        <v>0</v>
      </c>
      <c r="S19" s="2838"/>
      <c r="T19" s="2838"/>
      <c r="U19" s="2838"/>
      <c r="V19" s="2846"/>
    </row>
    <row r="20" spans="1:22" s="2850" customFormat="1" ht="13.2" customHeight="1">
      <c r="A20" s="2873"/>
      <c r="B20" s="2874"/>
      <c r="C20" s="2874"/>
      <c r="D20" s="2874"/>
      <c r="E20" s="2874"/>
      <c r="F20" s="2917"/>
      <c r="G20" s="2889"/>
      <c r="H20" s="2845"/>
      <c r="I20" s="2846"/>
      <c r="J20" s="3713">
        <v>3</v>
      </c>
      <c r="K20" s="3714" t="s">
        <v>2388</v>
      </c>
      <c r="L20" s="2880" t="s">
        <v>2389</v>
      </c>
      <c r="M20" s="2881" t="s">
        <v>2390</v>
      </c>
      <c r="N20" s="2918" t="s">
        <v>2391</v>
      </c>
      <c r="O20" s="2882" t="s">
        <v>2392</v>
      </c>
      <c r="P20" s="2883" t="s">
        <v>2393</v>
      </c>
      <c r="Q20" s="2857" t="s">
        <v>2394</v>
      </c>
      <c r="R20" s="2904" t="s">
        <v>2395</v>
      </c>
      <c r="S20" s="2919"/>
      <c r="T20" s="2919"/>
      <c r="U20" s="2919"/>
      <c r="V20" s="2846"/>
    </row>
    <row r="21" spans="1:22" s="2850" customFormat="1" ht="13.2" customHeight="1">
      <c r="A21" s="2873"/>
      <c r="B21" s="2874"/>
      <c r="C21" s="2920" t="s">
        <v>2396</v>
      </c>
      <c r="D21" s="2921" t="s">
        <v>2397</v>
      </c>
      <c r="E21" s="2922" t="s">
        <v>2398</v>
      </c>
      <c r="F21" s="2917"/>
      <c r="G21" s="2889"/>
      <c r="H21" s="2845"/>
      <c r="I21" s="2846"/>
      <c r="J21" s="3713"/>
      <c r="K21" s="3715"/>
      <c r="L21" s="2880" t="s">
        <v>2399</v>
      </c>
      <c r="M21" s="2881"/>
      <c r="N21" s="2881"/>
      <c r="O21" s="2882"/>
      <c r="P21" s="2883">
        <v>365</v>
      </c>
      <c r="Q21" s="2857"/>
      <c r="R21" s="2923">
        <f>ROUND(M21*N21*O21*P21/10000,0)</f>
        <v>0</v>
      </c>
      <c r="S21" s="2919"/>
      <c r="T21" s="2919"/>
      <c r="U21" s="2919"/>
      <c r="V21" s="2846"/>
    </row>
    <row r="22" spans="1:22" s="2850" customFormat="1" ht="13.2" customHeight="1">
      <c r="A22" s="2873"/>
      <c r="B22" s="2874"/>
      <c r="C22" s="2924" t="s">
        <v>2400</v>
      </c>
      <c r="D22" s="2925" t="s">
        <v>2401</v>
      </c>
      <c r="E22" s="2926" t="s">
        <v>2402</v>
      </c>
      <c r="F22" s="2917"/>
      <c r="G22" s="2927"/>
      <c r="H22" s="2845"/>
      <c r="I22" s="2846"/>
      <c r="J22" s="3713"/>
      <c r="K22" s="3715"/>
      <c r="L22" s="2880" t="s">
        <v>2403</v>
      </c>
      <c r="M22" s="2881"/>
      <c r="N22" s="2881"/>
      <c r="O22" s="2882"/>
      <c r="P22" s="2883">
        <v>365</v>
      </c>
      <c r="Q22" s="2857"/>
      <c r="R22" s="2923">
        <f>ROUND(M22*N22*O22*P22/10000,0)</f>
        <v>0</v>
      </c>
      <c r="S22" s="2919"/>
      <c r="T22" s="2919"/>
      <c r="U22" s="2919"/>
      <c r="V22" s="2846"/>
    </row>
    <row r="23" spans="1:22" s="2850" customFormat="1" ht="13.2" customHeight="1">
      <c r="A23" s="2928">
        <v>1</v>
      </c>
      <c r="B23" s="2929" t="s">
        <v>2404</v>
      </c>
      <c r="C23" s="2930">
        <f>D6</f>
        <v>0</v>
      </c>
      <c r="D23" s="2931">
        <f>C23*(1+D24)</f>
        <v>0</v>
      </c>
      <c r="E23" s="2932">
        <f>D23*(1+E24)</f>
        <v>0</v>
      </c>
      <c r="F23" s="2933"/>
      <c r="G23" s="2934"/>
      <c r="H23" s="2845"/>
      <c r="I23" s="2846"/>
      <c r="J23" s="3713"/>
      <c r="K23" s="3715"/>
      <c r="L23" s="2880" t="s">
        <v>2405</v>
      </c>
      <c r="M23" s="2881"/>
      <c r="N23" s="2881"/>
      <c r="O23" s="2882"/>
      <c r="P23" s="2883">
        <v>365</v>
      </c>
      <c r="Q23" s="2857"/>
      <c r="R23" s="2923">
        <f>ROUND(M23*N23*O23*P23/10000,0)</f>
        <v>0</v>
      </c>
      <c r="S23" s="2838"/>
      <c r="T23" s="2838"/>
      <c r="U23" s="2838"/>
      <c r="V23" s="2846"/>
    </row>
    <row r="24" spans="1:22" s="2850" customFormat="1" ht="13.2" customHeight="1">
      <c r="A24" s="2935"/>
      <c r="B24" s="2936" t="s">
        <v>2406</v>
      </c>
      <c r="C24" s="2937"/>
      <c r="D24" s="2938"/>
      <c r="E24" s="2939"/>
      <c r="F24" s="2940"/>
      <c r="G24" s="2934"/>
      <c r="H24" s="2845"/>
      <c r="I24" s="2846"/>
      <c r="J24" s="3713"/>
      <c r="K24" s="3716"/>
      <c r="L24" s="2900" t="s">
        <v>2367</v>
      </c>
      <c r="M24" s="2901">
        <f>SUM(M21:M23)</f>
        <v>0</v>
      </c>
      <c r="N24" s="2901"/>
      <c r="O24" s="2902"/>
      <c r="P24" s="2915" t="s">
        <v>2431</v>
      </c>
      <c r="Q24" s="2882">
        <v>0</v>
      </c>
      <c r="R24" s="2916">
        <f>ROUND(IF(P24="按比例",R14*Q24,SUM(R21:R23)),0)</f>
        <v>0</v>
      </c>
      <c r="S24" s="2838"/>
      <c r="T24" s="2838"/>
      <c r="U24" s="2838"/>
      <c r="V24" s="2846"/>
    </row>
    <row r="25" spans="1:22" s="2947" customFormat="1" ht="13.2" customHeight="1">
      <c r="A25" s="2935"/>
      <c r="B25" s="2936"/>
      <c r="C25" s="2937"/>
      <c r="D25" s="2938"/>
      <c r="E25" s="2939"/>
      <c r="F25" s="2940"/>
      <c r="G25" s="2927"/>
      <c r="H25" s="2845"/>
      <c r="I25" s="2846"/>
      <c r="J25" s="2941">
        <v>4</v>
      </c>
      <c r="K25" s="2942" t="s">
        <v>2407</v>
      </c>
      <c r="L25" s="2943"/>
      <c r="M25" s="2943"/>
      <c r="N25" s="2943"/>
      <c r="O25" s="2943"/>
      <c r="P25" s="2944"/>
      <c r="Q25" s="2945">
        <v>0</v>
      </c>
      <c r="R25" s="2916">
        <f>ROUND(R14*Q25,0)</f>
        <v>0</v>
      </c>
      <c r="S25" s="2838"/>
      <c r="T25" s="2838"/>
      <c r="U25" s="2838"/>
      <c r="V25" s="2946"/>
    </row>
    <row r="26" spans="1:22" s="2947" customFormat="1" ht="13.2" customHeight="1">
      <c r="A26" s="2928">
        <v>2</v>
      </c>
      <c r="B26" s="2929" t="s">
        <v>2408</v>
      </c>
      <c r="C26" s="2930">
        <f>D7</f>
        <v>0</v>
      </c>
      <c r="D26" s="2931">
        <f>D23*D27</f>
        <v>0</v>
      </c>
      <c r="E26" s="2932">
        <f>E23*E27</f>
        <v>0</v>
      </c>
      <c r="F26" s="2933"/>
      <c r="G26" s="2934"/>
      <c r="H26" s="2845"/>
      <c r="I26" s="2846"/>
      <c r="J26" s="3717">
        <v>5</v>
      </c>
      <c r="K26" s="2948" t="s">
        <v>2409</v>
      </c>
      <c r="L26" s="2949"/>
      <c r="M26" s="2950"/>
      <c r="N26" s="2951" t="s">
        <v>2410</v>
      </c>
      <c r="O26" s="2951" t="s">
        <v>2411</v>
      </c>
      <c r="P26" s="2952" t="s">
        <v>2412</v>
      </c>
      <c r="Q26" s="2952" t="s">
        <v>2413</v>
      </c>
      <c r="R26" s="2855" t="s">
        <v>2338</v>
      </c>
      <c r="S26" s="2953"/>
      <c r="T26" s="2953"/>
      <c r="U26" s="2953"/>
      <c r="V26" s="2946"/>
    </row>
    <row r="27" spans="1:22" s="2850" customFormat="1" ht="13.2" customHeight="1">
      <c r="A27" s="2935"/>
      <c r="B27" s="2936" t="s">
        <v>2414</v>
      </c>
      <c r="C27" s="2954" t="e">
        <f>E7</f>
        <v>#DIV/0!</v>
      </c>
      <c r="D27" s="2938"/>
      <c r="E27" s="2939"/>
      <c r="F27" s="2940"/>
      <c r="G27" s="2934"/>
      <c r="H27" s="2955"/>
      <c r="I27" s="2946"/>
      <c r="J27" s="3718"/>
      <c r="K27" s="2956"/>
      <c r="L27" s="2957"/>
      <c r="M27" s="2958"/>
      <c r="N27" s="2959"/>
      <c r="O27" s="2959"/>
      <c r="P27" s="2959"/>
      <c r="Q27" s="2960"/>
      <c r="R27" s="2916">
        <f>ROUND(O27*N27*P27*(1-Q27)/10000,0)</f>
        <v>0</v>
      </c>
      <c r="S27" s="2838"/>
      <c r="T27" s="2838"/>
      <c r="U27" s="2838"/>
      <c r="V27" s="2846"/>
    </row>
    <row r="28" spans="1:22" s="2947" customFormat="1" ht="13.2" customHeight="1" thickBot="1">
      <c r="A28" s="2935"/>
      <c r="B28" s="2936"/>
      <c r="C28" s="2954"/>
      <c r="D28" s="2938"/>
      <c r="E28" s="2939" t="s">
        <v>2415</v>
      </c>
      <c r="F28" s="2940"/>
      <c r="G28" s="2927"/>
      <c r="H28" s="2955"/>
      <c r="I28" s="2946"/>
      <c r="J28" s="2961">
        <v>6</v>
      </c>
      <c r="K28" s="2962" t="s">
        <v>2416</v>
      </c>
      <c r="L28" s="2963" t="s">
        <v>2417</v>
      </c>
      <c r="M28" s="2964"/>
      <c r="N28" s="2963" t="s">
        <v>2418</v>
      </c>
      <c r="O28" s="2965"/>
      <c r="P28" s="2963" t="s">
        <v>2419</v>
      </c>
      <c r="Q28" s="2966">
        <v>1.4999999999999999E-2</v>
      </c>
      <c r="R28" s="2967"/>
      <c r="S28" s="2919"/>
      <c r="T28" s="2919"/>
      <c r="U28" s="2919"/>
      <c r="V28" s="2946"/>
    </row>
    <row r="29" spans="1:22" s="2947" customFormat="1" ht="13.2" customHeight="1">
      <c r="A29" s="2928">
        <v>3</v>
      </c>
      <c r="B29" s="2929" t="s">
        <v>2420</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2" customHeight="1" thickBot="1">
      <c r="A30" s="2935"/>
      <c r="B30" s="2936" t="s">
        <v>2414</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2" customHeight="1">
      <c r="A31" s="2935"/>
      <c r="B31" s="2936"/>
      <c r="C31" s="2969"/>
      <c r="D31" s="2968"/>
      <c r="E31" s="2899"/>
      <c r="F31" s="2940"/>
      <c r="G31" s="2927"/>
      <c r="H31" s="2955"/>
      <c r="I31" s="2946"/>
      <c r="J31" s="2835" t="s">
        <v>2421</v>
      </c>
      <c r="K31" s="2836"/>
      <c r="L31" s="2836"/>
      <c r="M31" s="2836"/>
      <c r="N31" s="2836"/>
      <c r="O31" s="2836"/>
      <c r="P31" s="2836"/>
      <c r="Q31" s="2836"/>
      <c r="R31" s="2837"/>
      <c r="S31" s="2919"/>
      <c r="T31" s="2838"/>
      <c r="U31" s="2838"/>
      <c r="V31" s="2946"/>
    </row>
    <row r="32" spans="1:22" s="2947" customFormat="1" ht="13.2" customHeight="1">
      <c r="A32" s="2928">
        <v>4</v>
      </c>
      <c r="B32" s="2929" t="s">
        <v>2422</v>
      </c>
      <c r="C32" s="2930">
        <f>C23-C26-C29</f>
        <v>0</v>
      </c>
      <c r="D32" s="2931">
        <f>D23-D26-D29</f>
        <v>0</v>
      </c>
      <c r="E32" s="2932">
        <f>E23-E26-E29</f>
        <v>0</v>
      </c>
      <c r="F32" s="2933"/>
      <c r="G32" s="2927"/>
      <c r="H32" s="2845"/>
      <c r="I32" s="2846"/>
      <c r="J32" s="3719" t="s">
        <v>2314</v>
      </c>
      <c r="K32" s="3720"/>
      <c r="L32" s="2847" t="s">
        <v>2315</v>
      </c>
      <c r="M32" s="2847" t="s">
        <v>2316</v>
      </c>
      <c r="N32" s="2847" t="s">
        <v>2317</v>
      </c>
      <c r="O32" s="2847" t="s">
        <v>2318</v>
      </c>
      <c r="P32" s="2847" t="s">
        <v>2319</v>
      </c>
      <c r="Q32" s="2848" t="s">
        <v>2320</v>
      </c>
      <c r="R32" s="2970" t="s">
        <v>2321</v>
      </c>
      <c r="S32" s="2919"/>
      <c r="T32" s="2838"/>
      <c r="U32" s="2838"/>
      <c r="V32" s="2946"/>
    </row>
    <row r="33" spans="1:23" s="2850" customFormat="1" ht="13.2" customHeight="1">
      <c r="A33" s="2928"/>
      <c r="B33" s="2929"/>
      <c r="C33" s="2930"/>
      <c r="D33" s="2971"/>
      <c r="E33" s="2972"/>
      <c r="F33" s="2933"/>
      <c r="G33" s="2927"/>
      <c r="H33" s="2955"/>
      <c r="I33" s="2946"/>
      <c r="J33" s="3721" t="s">
        <v>2324</v>
      </c>
      <c r="K33" s="3722"/>
      <c r="L33" s="2853"/>
      <c r="M33" s="2853"/>
      <c r="N33" s="2853"/>
      <c r="O33" s="2853"/>
      <c r="P33" s="2853"/>
      <c r="Q33" s="2854"/>
      <c r="R33" s="2973">
        <f>SUM(L33:Q33)</f>
        <v>0</v>
      </c>
      <c r="S33" s="2919"/>
      <c r="T33" s="2838"/>
      <c r="U33" s="2838"/>
      <c r="V33" s="2846"/>
    </row>
    <row r="34" spans="1:23" s="2850" customFormat="1" ht="13.2" customHeight="1">
      <c r="A34" s="2928">
        <v>5</v>
      </c>
      <c r="B34" s="2929" t="s">
        <v>2423</v>
      </c>
      <c r="C34" s="2974"/>
      <c r="D34" s="2975"/>
      <c r="E34" s="2976"/>
      <c r="F34" s="2933"/>
      <c r="G34" s="2927"/>
      <c r="H34" s="2955"/>
      <c r="I34" s="2946"/>
      <c r="J34" s="3721" t="s">
        <v>2326</v>
      </c>
      <c r="K34" s="3722"/>
      <c r="L34" s="2858"/>
      <c r="M34" s="2858"/>
      <c r="N34" s="2858"/>
      <c r="O34" s="2858"/>
      <c r="P34" s="2858"/>
      <c r="Q34" s="2859"/>
      <c r="R34" s="2977">
        <f>SUM(L34:Q34)</f>
        <v>0</v>
      </c>
      <c r="S34" s="2919"/>
      <c r="T34" s="2838"/>
      <c r="U34" s="2838" t="e">
        <f>ROUND(R35*10000/365/R33,1)</f>
        <v>#DIV/0!</v>
      </c>
      <c r="V34" s="2846"/>
    </row>
    <row r="35" spans="1:23" s="2850" customFormat="1" ht="13.2" customHeight="1">
      <c r="A35" s="2928">
        <v>6</v>
      </c>
      <c r="B35" s="2929" t="s">
        <v>2424</v>
      </c>
      <c r="C35" s="2978"/>
      <c r="D35" s="2979"/>
      <c r="E35" s="2980"/>
      <c r="F35" s="2933"/>
      <c r="G35" s="2981"/>
      <c r="H35" s="2845"/>
      <c r="I35" s="2946"/>
      <c r="J35" s="2864" t="s">
        <v>2328</v>
      </c>
      <c r="K35" s="2865"/>
      <c r="L35" s="2865"/>
      <c r="M35" s="2866"/>
      <c r="N35" s="2866"/>
      <c r="O35" s="2866"/>
      <c r="P35" s="2866"/>
      <c r="Q35" s="2866"/>
      <c r="R35" s="2982">
        <f>R40+R41+R43</f>
        <v>0</v>
      </c>
      <c r="S35" s="2919"/>
      <c r="T35" s="2838" t="s">
        <v>2329</v>
      </c>
      <c r="U35" s="2838"/>
      <c r="V35" s="2846"/>
    </row>
    <row r="36" spans="1:23" s="2850" customFormat="1" ht="13.2" customHeight="1" thickBot="1">
      <c r="A36" s="2928">
        <v>7</v>
      </c>
      <c r="B36" s="2983" t="s">
        <v>2425</v>
      </c>
      <c r="C36" s="2984"/>
      <c r="D36" s="2985"/>
      <c r="E36" s="2986"/>
      <c r="F36" s="2987">
        <f>C36+D36+E36</f>
        <v>0</v>
      </c>
      <c r="G36" s="2927"/>
      <c r="H36" s="2845"/>
      <c r="I36" s="2846"/>
      <c r="J36" s="3713">
        <v>1</v>
      </c>
      <c r="K36" s="3714" t="s">
        <v>2426</v>
      </c>
      <c r="L36" s="2871"/>
      <c r="M36" s="2872"/>
      <c r="N36" s="2872"/>
      <c r="O36" s="2872"/>
      <c r="P36" s="2872"/>
      <c r="Q36" s="2872"/>
      <c r="R36" s="2855" t="s">
        <v>2338</v>
      </c>
      <c r="S36" s="2919"/>
      <c r="T36" s="2838" t="s">
        <v>2339</v>
      </c>
      <c r="U36" s="2838"/>
      <c r="V36" s="2846"/>
    </row>
    <row r="37" spans="1:23" s="2850" customFormat="1" ht="13.2" customHeight="1">
      <c r="A37" s="2928"/>
      <c r="B37" s="2929"/>
      <c r="C37" s="2929"/>
      <c r="D37" s="2929"/>
      <c r="E37" s="2929"/>
      <c r="F37" s="2933"/>
      <c r="G37" s="2927"/>
      <c r="H37" s="2845"/>
      <c r="I37" s="2846"/>
      <c r="J37" s="3713"/>
      <c r="K37" s="3715"/>
      <c r="L37" s="2880"/>
      <c r="M37" s="2881"/>
      <c r="N37" s="2857"/>
      <c r="O37" s="2882"/>
      <c r="P37" s="2882"/>
      <c r="Q37" s="2883"/>
      <c r="R37" s="2884"/>
      <c r="S37" s="2919"/>
      <c r="T37" s="2838" t="s">
        <v>2342</v>
      </c>
      <c r="U37" s="2838"/>
      <c r="V37" s="2846"/>
    </row>
    <row r="38" spans="1:23" s="2850" customFormat="1" ht="13.2" customHeight="1">
      <c r="A38" s="2928">
        <v>8</v>
      </c>
      <c r="B38" s="2929"/>
      <c r="C38" s="2886" t="e">
        <f>ROUND(C32*(1-((1+C35)/(1+C34))^C36)/(C34-C35),0)</f>
        <v>#DIV/0!</v>
      </c>
      <c r="D38" s="2886">
        <f>IF(D23=0,0,ROUND(D32*(1-((1+D35)/(1+D34))^D36)/(D34-D35),0))</f>
        <v>0</v>
      </c>
      <c r="E38" s="2886">
        <f>IF(E23=0,0,ROUND(E32*(1-((1+E35)/(1+E34))^E36)/(E34-E35),0))</f>
        <v>0</v>
      </c>
      <c r="F38" s="2933"/>
      <c r="G38" s="2927"/>
      <c r="H38" s="2845"/>
      <c r="I38" s="2846"/>
      <c r="J38" s="3713"/>
      <c r="K38" s="3715"/>
      <c r="L38" s="2880"/>
      <c r="M38" s="2881"/>
      <c r="N38" s="2857"/>
      <c r="O38" s="2882"/>
      <c r="P38" s="2882"/>
      <c r="Q38" s="2883"/>
      <c r="R38" s="2884"/>
      <c r="S38" s="2919"/>
      <c r="T38" s="2838" t="s">
        <v>2349</v>
      </c>
      <c r="U38" s="2838"/>
      <c r="V38" s="2846"/>
    </row>
    <row r="39" spans="1:23" s="2850" customFormat="1" ht="13.2" customHeight="1">
      <c r="A39" s="2928">
        <v>9</v>
      </c>
      <c r="B39" s="2929" t="s">
        <v>2427</v>
      </c>
      <c r="C39" s="2894" t="e">
        <f>C38</f>
        <v>#DIV/0!</v>
      </c>
      <c r="D39" s="2929">
        <f>D38/(1+D34)^C36</f>
        <v>0</v>
      </c>
      <c r="E39" s="2929">
        <f>E38/(1+E34)^(C36+D36)</f>
        <v>0</v>
      </c>
      <c r="F39" s="2933"/>
      <c r="G39" s="2988"/>
      <c r="H39" s="2845"/>
      <c r="I39" s="2846"/>
      <c r="J39" s="3713"/>
      <c r="K39" s="3715"/>
      <c r="L39" s="2880"/>
      <c r="M39" s="2881"/>
      <c r="N39" s="2857"/>
      <c r="O39" s="2882"/>
      <c r="P39" s="2882"/>
      <c r="Q39" s="2883"/>
      <c r="R39" s="2884"/>
      <c r="S39" s="2919"/>
      <c r="T39" s="2838"/>
      <c r="U39" s="2838"/>
      <c r="V39" s="2846"/>
    </row>
    <row r="40" spans="1:23" s="2850" customFormat="1" ht="13.2" customHeight="1">
      <c r="A40" s="2989">
        <v>10</v>
      </c>
      <c r="B40" s="2929" t="s">
        <v>2428</v>
      </c>
      <c r="C40" s="2990" t="e">
        <f>C39+D39+E39</f>
        <v>#DIV/0!</v>
      </c>
      <c r="D40" s="2991"/>
      <c r="E40" s="2991"/>
      <c r="F40" s="2992"/>
      <c r="G40" s="2927"/>
      <c r="H40" s="2845"/>
      <c r="I40" s="2846"/>
      <c r="J40" s="3713"/>
      <c r="K40" s="3716"/>
      <c r="L40" s="2900" t="s">
        <v>2367</v>
      </c>
      <c r="M40" s="2901"/>
      <c r="N40" s="2901"/>
      <c r="O40" s="2902"/>
      <c r="P40" s="2902"/>
      <c r="Q40" s="2903"/>
      <c r="R40" s="2849">
        <f>SUM(R37:R39)</f>
        <v>0</v>
      </c>
      <c r="S40" s="2919"/>
      <c r="T40" s="2838"/>
      <c r="U40" s="2838"/>
      <c r="V40" s="2846"/>
    </row>
    <row r="41" spans="1:23" s="2850" customFormat="1" ht="13.2" customHeight="1" thickBot="1">
      <c r="A41" s="2993">
        <v>11</v>
      </c>
      <c r="B41" s="2994" t="s">
        <v>2429</v>
      </c>
      <c r="C41" s="2994" t="e">
        <f>ROUND(C40*10000/B4,0)</f>
        <v>#DIV/0!</v>
      </c>
      <c r="D41" s="2995"/>
      <c r="E41" s="2995"/>
      <c r="F41" s="2996"/>
      <c r="G41" s="2997"/>
      <c r="H41" s="2845"/>
      <c r="I41" s="2846"/>
      <c r="J41" s="2941">
        <v>2</v>
      </c>
      <c r="K41" s="2942" t="s">
        <v>2407</v>
      </c>
      <c r="L41" s="2943"/>
      <c r="M41" s="2943"/>
      <c r="N41" s="2943"/>
      <c r="O41" s="2943"/>
      <c r="P41" s="2944"/>
      <c r="Q41" s="2945"/>
      <c r="R41" s="2916">
        <f>ROUND(R40*Q41,0)</f>
        <v>0</v>
      </c>
      <c r="S41" s="2919"/>
      <c r="T41" s="2838"/>
      <c r="U41" s="2953"/>
      <c r="V41" s="2846"/>
    </row>
    <row r="42" spans="1:23" s="2850" customFormat="1" ht="13.2" customHeight="1">
      <c r="G42" s="2997"/>
      <c r="H42" s="2845"/>
      <c r="I42" s="2846"/>
      <c r="J42" s="3717">
        <v>3</v>
      </c>
      <c r="K42" s="2948" t="s">
        <v>2409</v>
      </c>
      <c r="L42" s="2949"/>
      <c r="M42" s="2950"/>
      <c r="N42" s="2951" t="s">
        <v>2410</v>
      </c>
      <c r="O42" s="2951" t="s">
        <v>2411</v>
      </c>
      <c r="P42" s="2952" t="s">
        <v>2412</v>
      </c>
      <c r="Q42" s="2952" t="s">
        <v>2413</v>
      </c>
      <c r="R42" s="2855" t="s">
        <v>2338</v>
      </c>
      <c r="S42" s="2953"/>
      <c r="T42" s="2953"/>
      <c r="U42" s="2838"/>
      <c r="V42" s="2846"/>
    </row>
    <row r="43" spans="1:23" ht="13.2" customHeight="1">
      <c r="A43" s="2850"/>
      <c r="B43" s="2850"/>
      <c r="C43" s="2850"/>
      <c r="D43" s="2850"/>
      <c r="E43" s="2850"/>
      <c r="F43" s="2850"/>
      <c r="I43" s="2833"/>
      <c r="J43" s="3718"/>
      <c r="K43" s="2956"/>
      <c r="L43" s="2957"/>
      <c r="M43" s="2958"/>
      <c r="N43" s="2881"/>
      <c r="O43" s="2881"/>
      <c r="P43" s="2881"/>
      <c r="Q43" s="2945"/>
      <c r="R43" s="2916">
        <f>ROUND(O43*N43*P43*(1-Q43)/10000,0)</f>
        <v>0</v>
      </c>
      <c r="S43" s="2919"/>
      <c r="T43" s="2838"/>
      <c r="V43" s="2999"/>
      <c r="W43" s="3000"/>
    </row>
    <row r="44" spans="1:23" ht="13.2" customHeight="1" thickBot="1">
      <c r="J44" s="2961">
        <v>6</v>
      </c>
      <c r="K44" s="2962" t="s">
        <v>2416</v>
      </c>
      <c r="L44" s="3001" t="s">
        <v>2417</v>
      </c>
      <c r="M44" s="2964"/>
      <c r="N44" s="3001" t="s">
        <v>2418</v>
      </c>
      <c r="O44" s="2964"/>
      <c r="P44" s="3001" t="s">
        <v>2419</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6" customWidth="1"/>
    <col min="2" max="2" width="12" style="1476" customWidth="1"/>
    <col min="3" max="3" width="9" style="1476"/>
    <col min="4" max="4" width="14.109375" style="1476" customWidth="1"/>
    <col min="5" max="5" width="9" style="1476"/>
    <col min="6" max="6" width="12.88671875" style="1476" customWidth="1"/>
    <col min="7" max="16384" width="9" style="1476"/>
  </cols>
  <sheetData>
    <row r="1" spans="1:22" ht="21.6">
      <c r="A1" s="1866" t="s">
        <v>1658</v>
      </c>
      <c r="B1" s="1867"/>
      <c r="C1" s="1867"/>
      <c r="D1" s="1867"/>
      <c r="E1" s="1868"/>
      <c r="F1" s="2704"/>
      <c r="G1" s="1488"/>
      <c r="H1" s="1488"/>
      <c r="I1" s="1488"/>
      <c r="J1" s="1488"/>
      <c r="K1" s="1488"/>
      <c r="L1" s="1488"/>
      <c r="M1" s="1488"/>
      <c r="N1" s="1488"/>
      <c r="O1" s="1488"/>
      <c r="P1" s="1488"/>
      <c r="Q1" s="1488"/>
      <c r="R1" s="1488"/>
      <c r="S1" s="1488"/>
    </row>
    <row r="2" spans="1:22" ht="15.6">
      <c r="A2" s="1869" t="s">
        <v>1462</v>
      </c>
      <c r="B2" s="1870">
        <f ca="1">SUMIF(B6:B13,"&lt;&gt;#ref!",B6:B13)</f>
        <v>2667.7177999999999</v>
      </c>
      <c r="C2" s="1871" t="s">
        <v>1651</v>
      </c>
      <c r="D2" s="1872" t="s">
        <v>1652</v>
      </c>
      <c r="E2" s="2604">
        <f>SUM(E6:E13)</f>
        <v>375.87</v>
      </c>
      <c r="F2" s="2704"/>
      <c r="G2" s="1488"/>
      <c r="H2" s="1488"/>
      <c r="I2" s="1488"/>
      <c r="J2" s="1488"/>
      <c r="K2" s="1488"/>
      <c r="L2" s="1488"/>
      <c r="M2" s="1488"/>
      <c r="N2" s="1488"/>
      <c r="O2" s="1488"/>
      <c r="P2" s="1488"/>
      <c r="Q2" s="1488"/>
      <c r="R2" s="1488"/>
      <c r="S2" s="1488"/>
    </row>
    <row r="3" spans="1:22" ht="15.6">
      <c r="A3" s="1869" t="s">
        <v>686</v>
      </c>
      <c r="B3" s="2598">
        <f ca="1">ROUND(B2*10000/E2,0)</f>
        <v>70974</v>
      </c>
      <c r="C3" s="1871" t="s">
        <v>1659</v>
      </c>
      <c r="D3" s="2706"/>
      <c r="E3" s="2708"/>
      <c r="F3" s="2704"/>
      <c r="G3" s="1488"/>
      <c r="H3" s="1488"/>
      <c r="I3" s="1488"/>
      <c r="J3" s="1488"/>
      <c r="K3" s="1488"/>
      <c r="L3" s="1488"/>
      <c r="M3" s="1488"/>
      <c r="N3" s="1488"/>
      <c r="O3" s="1488"/>
      <c r="P3" s="1488"/>
      <c r="Q3" s="1488"/>
      <c r="R3" s="1488"/>
      <c r="S3" s="1488"/>
    </row>
    <row r="4" spans="1:22" ht="15.6">
      <c r="A4" s="2709"/>
      <c r="B4" s="2706"/>
      <c r="C4" s="2706"/>
      <c r="D4" s="2706"/>
      <c r="E4" s="2708"/>
      <c r="F4" s="2704"/>
      <c r="G4" s="1488"/>
      <c r="H4" s="1488"/>
      <c r="I4" s="1488"/>
      <c r="J4" s="1488"/>
      <c r="K4" s="1488"/>
      <c r="L4" s="1488"/>
      <c r="M4" s="1488"/>
      <c r="N4" s="1488"/>
      <c r="O4" s="1488"/>
      <c r="P4" s="1488"/>
      <c r="Q4" s="1488"/>
      <c r="R4" s="1488"/>
      <c r="S4" s="1488"/>
    </row>
    <row r="5" spans="1:22" ht="14.4">
      <c r="A5" s="2600" t="s">
        <v>1653</v>
      </c>
      <c r="B5" s="3732" t="s">
        <v>1654</v>
      </c>
      <c r="C5" s="3733"/>
      <c r="D5" s="2705"/>
      <c r="E5" s="1873" t="s">
        <v>1655</v>
      </c>
      <c r="F5" s="1874" t="s">
        <v>1656</v>
      </c>
      <c r="G5" s="1488"/>
      <c r="H5" s="1488"/>
      <c r="I5" s="1488"/>
      <c r="J5" s="1488"/>
      <c r="K5" s="1488"/>
      <c r="L5" s="1488"/>
      <c r="M5" s="1488"/>
      <c r="N5" s="1488"/>
      <c r="O5" s="1488"/>
      <c r="P5" s="1488"/>
      <c r="Q5" s="1488"/>
      <c r="R5" s="1488"/>
      <c r="S5" s="1488"/>
    </row>
    <row r="6" spans="1:22" ht="14.4">
      <c r="A6" s="2601" t="str">
        <f>'数据-取费表'!AN6</f>
        <v>收益法 (元)</v>
      </c>
      <c r="B6" s="2599">
        <f ca="1">IF(F6="是",'数据-取费表'!AO6,0)</f>
        <v>2667.7177999999999</v>
      </c>
      <c r="C6" s="1871" t="s">
        <v>1651</v>
      </c>
      <c r="D6" s="2706"/>
      <c r="E6" s="2603">
        <f>IF(OR(A6=0,F6="否"),0,'数据-取费表'!K6+'数据-取费表'!S6)</f>
        <v>375.87</v>
      </c>
      <c r="F6" s="1875" t="s">
        <v>1657</v>
      </c>
      <c r="G6" s="1488"/>
      <c r="H6" s="1488"/>
      <c r="I6" s="1488"/>
      <c r="J6" s="1488"/>
      <c r="K6" s="1488"/>
      <c r="L6" s="1488"/>
      <c r="M6" s="1488"/>
      <c r="N6" s="1488"/>
      <c r="O6" s="1488"/>
      <c r="P6" s="1488"/>
      <c r="Q6" s="1488"/>
      <c r="R6" s="1488"/>
      <c r="S6" s="1488"/>
    </row>
    <row r="7" spans="1:22" ht="14.4">
      <c r="A7" s="2601">
        <f>'数据-取费表'!AN7</f>
        <v>0</v>
      </c>
      <c r="B7" s="2599" t="e">
        <f ca="1">IF(F7="是",'数据-取费表'!AO7,0)</f>
        <v>#REF!</v>
      </c>
      <c r="C7" s="1871" t="s">
        <v>1651</v>
      </c>
      <c r="D7" s="2706"/>
      <c r="E7" s="2603">
        <f>IF(OR(A7=0,F7="否"),0,'数据-取费表'!K7+'数据-取费表'!S7)</f>
        <v>0</v>
      </c>
      <c r="F7" s="1875" t="s">
        <v>1657</v>
      </c>
      <c r="G7" s="1488"/>
      <c r="H7" s="1488"/>
      <c r="I7" s="1488"/>
      <c r="J7" s="1488"/>
      <c r="K7" s="1488"/>
      <c r="L7" s="1488"/>
      <c r="M7" s="1488"/>
      <c r="N7" s="1488"/>
      <c r="O7" s="1488"/>
      <c r="P7" s="1488"/>
      <c r="Q7" s="1488"/>
      <c r="R7" s="1488"/>
      <c r="S7" s="1488"/>
    </row>
    <row r="8" spans="1:22" ht="14.4">
      <c r="A8" s="2601">
        <f>'数据-取费表'!AN8</f>
        <v>0</v>
      </c>
      <c r="B8" s="2599" t="e">
        <f ca="1">IF(F8="是",'数据-取费表'!AO8,0)</f>
        <v>#REF!</v>
      </c>
      <c r="C8" s="1871" t="s">
        <v>1651</v>
      </c>
      <c r="D8" s="2706"/>
      <c r="E8" s="2603">
        <f>IF(OR(A8=0,F8="否"),0,'数据-取费表'!K8+'数据-取费表'!S8)</f>
        <v>0</v>
      </c>
      <c r="F8" s="1875" t="s">
        <v>1657</v>
      </c>
      <c r="G8" s="1488"/>
      <c r="H8" s="1488"/>
      <c r="I8" s="1488"/>
      <c r="J8" s="1488"/>
      <c r="K8" s="1488"/>
      <c r="L8" s="1488"/>
      <c r="M8" s="1488"/>
      <c r="N8" s="1488"/>
      <c r="O8" s="1488"/>
      <c r="P8" s="1488"/>
      <c r="Q8" s="1488"/>
      <c r="R8" s="1488"/>
      <c r="S8" s="1488"/>
    </row>
    <row r="9" spans="1:22" ht="14.4">
      <c r="A9" s="2601">
        <f>'数据-取费表'!AN9</f>
        <v>0</v>
      </c>
      <c r="B9" s="2599" t="e">
        <f ca="1">IF(F9="是",'数据-取费表'!AO9,0)</f>
        <v>#REF!</v>
      </c>
      <c r="C9" s="1871" t="s">
        <v>1651</v>
      </c>
      <c r="D9" s="2706"/>
      <c r="E9" s="2603">
        <f>IF(OR(A9=0,F9="否"),0,'数据-取费表'!K9+'数据-取费表'!S9)</f>
        <v>0</v>
      </c>
      <c r="F9" s="1875" t="s">
        <v>1657</v>
      </c>
      <c r="G9" s="1488"/>
      <c r="H9" s="1488"/>
      <c r="I9" s="1488"/>
      <c r="J9" s="1488"/>
      <c r="K9" s="1488"/>
      <c r="L9" s="1488"/>
      <c r="M9" s="1488"/>
      <c r="N9" s="1488"/>
      <c r="O9" s="1488"/>
      <c r="P9" s="1488"/>
      <c r="Q9" s="1488"/>
      <c r="R9" s="1488"/>
      <c r="S9" s="1488"/>
    </row>
    <row r="10" spans="1:22" ht="14.4">
      <c r="A10" s="2601">
        <f>'数据-取费表'!AN10</f>
        <v>0</v>
      </c>
      <c r="B10" s="2599" t="e">
        <f ca="1">IF(F10="是",'数据-取费表'!AO10,0)</f>
        <v>#REF!</v>
      </c>
      <c r="C10" s="1871" t="s">
        <v>1651</v>
      </c>
      <c r="D10" s="2706"/>
      <c r="E10" s="2603">
        <f>IF(OR(A10=0,F10="否"),0,'数据-取费表'!K10+'数据-取费表'!S10)</f>
        <v>0</v>
      </c>
      <c r="F10" s="1875" t="s">
        <v>1657</v>
      </c>
      <c r="G10" s="1488"/>
      <c r="H10" s="1488"/>
      <c r="I10" s="1488"/>
      <c r="J10" s="1488"/>
      <c r="K10" s="1488"/>
      <c r="L10" s="1488"/>
      <c r="M10" s="1488"/>
      <c r="N10" s="1488"/>
      <c r="O10" s="1488"/>
      <c r="P10" s="1488"/>
      <c r="Q10" s="1488"/>
      <c r="R10" s="1488"/>
      <c r="S10" s="1488"/>
    </row>
    <row r="11" spans="1:22" ht="14.4">
      <c r="A11" s="2601">
        <f>'数据-取费表'!AN11</f>
        <v>0</v>
      </c>
      <c r="B11" s="2599" t="e">
        <f ca="1">IF(F11="是",'数据-取费表'!AO11,0)</f>
        <v>#REF!</v>
      </c>
      <c r="C11" s="1871" t="s">
        <v>1651</v>
      </c>
      <c r="D11" s="2706"/>
      <c r="E11" s="2603">
        <f>IF(OR(A11=0,F11="否"),0,'数据-取费表'!K11+'数据-取费表'!S11)</f>
        <v>0</v>
      </c>
      <c r="F11" s="1875" t="s">
        <v>1657</v>
      </c>
      <c r="G11" s="1488"/>
      <c r="H11" s="1488"/>
      <c r="I11" s="1488"/>
      <c r="J11" s="1488"/>
      <c r="K11" s="1488"/>
      <c r="L11" s="1488"/>
      <c r="M11" s="1488"/>
      <c r="N11" s="1488"/>
      <c r="O11" s="1488"/>
      <c r="P11" s="1488"/>
      <c r="Q11" s="1488"/>
      <c r="R11" s="1488"/>
      <c r="S11" s="1488"/>
    </row>
    <row r="12" spans="1:22" ht="14.4">
      <c r="A12" s="2601">
        <f>'数据-取费表'!AN12</f>
        <v>0</v>
      </c>
      <c r="B12" s="2599" t="e">
        <f ca="1">IF(F12="是",'数据-取费表'!AO12,0)</f>
        <v>#REF!</v>
      </c>
      <c r="C12" s="1871" t="s">
        <v>1651</v>
      </c>
      <c r="D12" s="2706"/>
      <c r="E12" s="2603">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2">
        <f>'数据-取费表'!AN13</f>
        <v>0</v>
      </c>
      <c r="B13" s="2599" t="e">
        <f ca="1">IF(F13="是",'数据-取费表'!AO13,0)</f>
        <v>#REF!</v>
      </c>
      <c r="C13" s="1876" t="s">
        <v>1651</v>
      </c>
      <c r="D13" s="2707"/>
      <c r="E13" s="2603">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6" customWidth="1"/>
    <col min="2" max="16384" width="9" style="1476"/>
  </cols>
  <sheetData>
    <row r="1" spans="1:1" ht="22.8">
      <c r="A1" s="1475" t="s">
        <v>898</v>
      </c>
    </row>
    <row r="2" spans="1:1">
      <c r="A2" s="1477"/>
    </row>
    <row r="3" spans="1:1" ht="17.399999999999999">
      <c r="A3" s="1478" t="str">
        <f>项目基本情况!B5&amp;"："</f>
        <v>：</v>
      </c>
    </row>
    <row r="4" spans="1:1" ht="17.399999999999999">
      <c r="A4" s="1479" t="str">
        <f>"受贵公司委托，我公司对"&amp;项目基本情况!S1&amp;"进行了预评估。"</f>
        <v>受贵公司委托，我公司对北京市房地产市场价值进行了预评估。</v>
      </c>
    </row>
    <row r="5" spans="1:1" ht="17.399999999999999">
      <c r="A5" s="1480" t="s">
        <v>899</v>
      </c>
    </row>
    <row r="6" spans="1:1" ht="17.399999999999999">
      <c r="A6" s="1481" t="s">
        <v>900</v>
      </c>
    </row>
    <row r="7" spans="1:1" ht="52.2">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估价对象为北京市房地产，为所有。根据《国有土地使用证》[]，估价对象（分摊）出让国有建设用地使用权面积为0平方米，建筑面积为375.87平方米。</v>
      </c>
    </row>
    <row r="8" spans="1:1" ht="54.6">
      <c r="A8" s="1482" t="s">
        <v>901</v>
      </c>
    </row>
    <row r="9" spans="1:1" ht="17.399999999999999">
      <c r="A9" s="1481" t="s">
        <v>902</v>
      </c>
    </row>
    <row r="10" spans="1:1" ht="52.2">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估价对象为北京市房地产,属开发建设的，该项目尚在开发建设中。根据《国有土地使用证》[]，估价对象（分摊）出让国有建设用地使用权面积为0平方米，规划建筑面积为375.87平方米。</v>
      </c>
    </row>
    <row r="11" spans="1:1" ht="72">
      <c r="A11" s="1482" t="s">
        <v>903</v>
      </c>
    </row>
    <row r="12" spans="1:1" ht="17.399999999999999">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7.399999999999999">
      <c r="A14" s="1484" t="s">
        <v>905</v>
      </c>
    </row>
    <row r="15" spans="1:1" ht="17.399999999999999">
      <c r="A15" s="1485" t="str">
        <f>TEXT(项目基本情况!D3,"yyyy年m月d日;;")&amp;IF(项目基本情况!D3=项目基本情况!B3,"（评估专业人员实地查勘之日）","")</f>
        <v>2024年11月26日</v>
      </c>
    </row>
    <row r="16" spans="1:1" ht="17.399999999999999">
      <c r="A16" s="1484" t="s">
        <v>906</v>
      </c>
    </row>
    <row r="17" spans="1:1" ht="69.599999999999994">
      <c r="A17" s="1479" t="s">
        <v>907</v>
      </c>
    </row>
    <row r="18" spans="1:1" ht="69.59999999999999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26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479" t="str">
        <f>IF(项目基本情况!B9="房地产市场价值","——",IF(项目基本情况!E8="房地产抵押价值",定义!C54,IF(项目基本情况!E8="已注销",定义!C55,定义!C56)))</f>
        <v>——</v>
      </c>
    </row>
    <row r="21" spans="1:1" ht="17.399999999999999">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479" t="str">
        <f>IF(项目基本情况!B9="房地产市场价值","——",IF(项目基本情况!E9="——","",定义!C57))</f>
        <v>——</v>
      </c>
    </row>
    <row r="23" spans="1:1" ht="17.399999999999999">
      <c r="A23" s="1484" t="s">
        <v>896</v>
      </c>
    </row>
    <row r="24" spans="1:1" ht="17.399999999999999">
      <c r="A24" s="1486" t="str">
        <f>"本次评估采用的主估价方法为"&amp;结果表!K4&amp;"和"&amp;结果表!L4&amp;"。"</f>
        <v>本次评估采用的主估价方法为比较法和成本法。</v>
      </c>
    </row>
    <row r="25" spans="1:1" ht="17.399999999999999">
      <c r="A25" s="1486"/>
    </row>
    <row r="26" spans="1:1" ht="17.399999999999999">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C48" sqref="C48"/>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69" t="s">
        <v>3392</v>
      </c>
      <c r="C1" s="1858" t="s">
        <v>1563</v>
      </c>
      <c r="D1" s="198"/>
      <c r="E1" s="198"/>
      <c r="F1" s="198"/>
      <c r="G1" s="1126">
        <f>MATCH(B1,'数据-取费表'!A6:A16,0)+5</f>
        <v>6</v>
      </c>
      <c r="H1" s="1061" t="str">
        <f>IF(ISERROR(FIND("住宅",B1)),"非住宅","住宅")</f>
        <v>住宅</v>
      </c>
    </row>
    <row r="2" spans="1:8" s="200" customFormat="1" ht="18" customHeight="1">
      <c r="A2" s="201" t="s">
        <v>1462</v>
      </c>
      <c r="B2" s="3421">
        <f ca="1">ROUND(IF(D2="——",C52/10000,C52/10000-E2),4)</f>
        <v>2481.2460000000001</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66013</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8340953.7300000004</v>
      </c>
      <c r="D5" s="211" t="s">
        <v>1469</v>
      </c>
      <c r="E5" s="212" t="s">
        <v>1470</v>
      </c>
      <c r="F5" s="212" t="s">
        <v>1471</v>
      </c>
      <c r="G5" s="213"/>
    </row>
    <row r="6" spans="1:8" s="214" customFormat="1" ht="13.5" customHeight="1">
      <c r="A6" s="778" t="s">
        <v>1472</v>
      </c>
      <c r="B6" s="215" t="s">
        <v>1473</v>
      </c>
      <c r="C6" s="216">
        <f>基准地价修正!C33*基准地价修正!D33</f>
        <v>8035724.7300000004</v>
      </c>
      <c r="D6" s="217"/>
      <c r="E6" s="218"/>
      <c r="F6" s="218"/>
      <c r="G6" s="219"/>
    </row>
    <row r="7" spans="1:8" s="214" customFormat="1" ht="13.5" customHeight="1">
      <c r="A7" s="778" t="s">
        <v>1474</v>
      </c>
      <c r="B7" s="215" t="s">
        <v>1475</v>
      </c>
      <c r="C7" s="220">
        <f>ROUND(C6*F7,0)</f>
        <v>245090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60139</v>
      </c>
      <c r="D8" s="222"/>
      <c r="E8" s="220"/>
      <c r="F8" s="221"/>
      <c r="G8" s="1855" t="s">
        <v>3554</v>
      </c>
    </row>
    <row r="9" spans="1:8" s="214" customFormat="1" ht="13.5" customHeight="1">
      <c r="A9" s="779" t="s">
        <v>355</v>
      </c>
      <c r="B9" s="224" t="s">
        <v>1478</v>
      </c>
      <c r="C9" s="225">
        <f ca="1">ROUND(D9*E9,0)</f>
        <v>60139</v>
      </c>
      <c r="D9" s="845">
        <f ca="1">IF(B1="",'数据-汇总表'!E5,IF(INDIRECT("'数据-取费表'!c"&amp;$G$1)="住宅",INDIRECT("'数据-取费表'!k"&amp;$G$1),0))</f>
        <v>375.87</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375.87</v>
      </c>
      <c r="E19" s="211">
        <f>'数据-取费表'!B31</f>
        <v>200</v>
      </c>
      <c r="F19" s="231"/>
      <c r="G19" s="1855" t="s">
        <v>3555</v>
      </c>
    </row>
    <row r="20" spans="1:7" s="214" customFormat="1" ht="13.5" customHeight="1">
      <c r="A20" s="255" t="s">
        <v>1574</v>
      </c>
      <c r="B20" s="210" t="s">
        <v>1575</v>
      </c>
      <c r="C20" s="232">
        <f ca="1">ROUND((C5+C19)*F20,0)</f>
        <v>250229</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823096</v>
      </c>
      <c r="D22" s="235">
        <f ca="1">C26</f>
        <v>1.4E-3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811210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11886</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6.4">
      <c r="A27" s="255" t="s">
        <v>1512</v>
      </c>
      <c r="B27" s="244" t="s">
        <v>1513</v>
      </c>
      <c r="C27" s="245">
        <f ca="1">C28</f>
        <v>2147796</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ROUND((C5+C19+C20)*F27,0)</f>
        <v>2147796</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12736368</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9321576</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7517400</v>
      </c>
      <c r="D34" s="217"/>
      <c r="E34" s="220"/>
      <c r="F34" s="257"/>
      <c r="G34" s="219"/>
    </row>
    <row r="35" spans="1:7" ht="13.5" customHeight="1">
      <c r="A35" s="780" t="s">
        <v>351</v>
      </c>
      <c r="B35" s="215" t="s">
        <v>1527</v>
      </c>
      <c r="C35" s="220">
        <f ca="1">ROUND(C34*F35,0)</f>
        <v>751740</v>
      </c>
      <c r="D35" s="220"/>
      <c r="E35" s="220"/>
      <c r="F35" s="259">
        <f>'数据-取费表'!B33</f>
        <v>0.1</v>
      </c>
      <c r="G35" s="219" t="s">
        <v>1528</v>
      </c>
    </row>
    <row r="36" spans="1:7" ht="24">
      <c r="A36" s="780" t="s">
        <v>352</v>
      </c>
      <c r="B36" s="215" t="s">
        <v>1529</v>
      </c>
      <c r="C36" s="220">
        <f ca="1">ROUND(IF(B1="",SUM('数据-取费表'!AP6:AP13)*F36,IF(INDIRECT("'数据-取费表'!c"&amp;$G$1)="住宅",INDIRECT("'数据-取费表'!k"&amp;$G$1)*INDIRECT("'数据-取费表'!l"&amp;$G$1)*F36,0)),0)</f>
        <v>751740</v>
      </c>
      <c r="D36" s="220"/>
      <c r="E36" s="220"/>
      <c r="F36" s="259">
        <f>'数据-取费表'!B34</f>
        <v>0.1</v>
      </c>
      <c r="G36" s="260" t="s">
        <v>1530</v>
      </c>
    </row>
    <row r="37" spans="1:7" s="258" customFormat="1" ht="13.5" customHeight="1">
      <c r="A37" s="780" t="s">
        <v>353</v>
      </c>
      <c r="B37" s="215" t="s">
        <v>1531</v>
      </c>
      <c r="C37" s="249">
        <f ca="1">ROUND(E37*D37,0)</f>
        <v>75174</v>
      </c>
      <c r="D37" s="217">
        <f ca="1">D19</f>
        <v>375.87</v>
      </c>
      <c r="E37" s="249">
        <f>'数据-取费表'!B35</f>
        <v>200</v>
      </c>
      <c r="F37" s="259"/>
      <c r="G37" s="261"/>
    </row>
    <row r="38" spans="1:7" ht="13.5" customHeight="1">
      <c r="A38" s="780" t="s">
        <v>354</v>
      </c>
      <c r="B38" s="215" t="s">
        <v>1533</v>
      </c>
      <c r="C38" s="220">
        <f ca="1">ROUND(C34*F38,0)</f>
        <v>225522</v>
      </c>
      <c r="D38" s="220"/>
      <c r="E38" s="220"/>
      <c r="F38" s="259">
        <f>'数据-取费表'!B36</f>
        <v>0.03</v>
      </c>
      <c r="G38" s="219" t="s">
        <v>1528</v>
      </c>
    </row>
    <row r="39" spans="1:7" s="214" customFormat="1" ht="13.5" customHeight="1">
      <c r="A39" s="255" t="s">
        <v>1534</v>
      </c>
      <c r="B39" s="210" t="s">
        <v>1535</v>
      </c>
      <c r="C39" s="232">
        <f ca="1">ROUND(C33*F20,0)</f>
        <v>279647</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456058</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442775</v>
      </c>
      <c r="D42" s="238"/>
      <c r="E42" s="238"/>
      <c r="F42" s="239"/>
      <c r="G42" s="3658" t="s">
        <v>1591</v>
      </c>
    </row>
    <row r="43" spans="1:7" ht="13.5" customHeight="1">
      <c r="A43" s="780" t="s">
        <v>347</v>
      </c>
      <c r="B43" s="215" t="s">
        <v>1545</v>
      </c>
      <c r="C43" s="238">
        <f ca="1">ROUND(IF('数据-取费表'!B22&lt;=1,C39*F22*'数据-取费表'!B20/2,C39*(POWER((1+F22),'数据-取费表'!B20/2)-1)),0)</f>
        <v>13283</v>
      </c>
      <c r="D43" s="238"/>
      <c r="E43" s="238"/>
      <c r="F43" s="239"/>
      <c r="G43" s="3659"/>
    </row>
    <row r="44" spans="1:7" ht="13.5" customHeight="1">
      <c r="A44" s="780" t="s">
        <v>348</v>
      </c>
      <c r="B44" s="215" t="s">
        <v>1546</v>
      </c>
      <c r="C44" s="238">
        <f ca="1">ROUND(IF('数据-取费表'!B22&lt;=1,C40*F22*'数据-取费表'!B20/2,C40*(POWER((1+F22),'数据-取费表'!B20/2)-1)),4)</f>
        <v>1.4E-3</v>
      </c>
      <c r="D44" s="238"/>
      <c r="E44" s="238"/>
      <c r="F44" s="239"/>
      <c r="G44" s="3660"/>
    </row>
    <row r="45" spans="1:7" s="214" customFormat="1" ht="13.5" customHeight="1">
      <c r="A45" s="255" t="s">
        <v>1547</v>
      </c>
      <c r="B45" s="244" t="s">
        <v>1513</v>
      </c>
      <c r="C45" s="245">
        <f ca="1">C46</f>
        <v>2400306</v>
      </c>
      <c r="D45" s="235">
        <f ca="1">C47</f>
        <v>7.4999999999999997E-3</v>
      </c>
      <c r="E45" s="236" t="s">
        <v>1539</v>
      </c>
      <c r="F45" s="246">
        <f ca="1">F27</f>
        <v>0.25</v>
      </c>
      <c r="G45" s="247" t="s">
        <v>1548</v>
      </c>
    </row>
    <row r="46" spans="1:7" s="214" customFormat="1" ht="13.5" customHeight="1">
      <c r="A46" s="780" t="s">
        <v>346</v>
      </c>
      <c r="B46" s="248" t="s">
        <v>1549</v>
      </c>
      <c r="C46" s="249">
        <f ca="1">ROUND((C33+C39)*F27,0)</f>
        <v>2400306</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13722832</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12076092</v>
      </c>
      <c r="D51" s="232"/>
      <c r="E51" s="232"/>
      <c r="F51" s="264"/>
      <c r="G51" s="234" t="s">
        <v>1560</v>
      </c>
    </row>
    <row r="52" spans="1:7" s="208" customFormat="1" ht="16.8" thickBot="1">
      <c r="A52" s="265" t="s">
        <v>1561</v>
      </c>
      <c r="B52" s="266"/>
      <c r="C52" s="267">
        <f ca="1">C31+C51</f>
        <v>24812460</v>
      </c>
      <c r="D52" s="266"/>
      <c r="E52" s="266"/>
      <c r="F52" s="266"/>
      <c r="G52" s="268"/>
    </row>
    <row r="55" spans="1:7" ht="15">
      <c r="B55" s="270" t="s">
        <v>1562</v>
      </c>
      <c r="C55" s="271"/>
    </row>
    <row r="56" spans="1:7">
      <c r="B56" s="273" t="s">
        <v>802</v>
      </c>
      <c r="C56" s="275">
        <f ca="1">1-C57</f>
        <v>0.51300000000000001</v>
      </c>
    </row>
    <row r="57" spans="1:7">
      <c r="B57" s="273" t="s">
        <v>803</v>
      </c>
      <c r="C57" s="274">
        <f ca="1">ROUND(C51/C52,3)</f>
        <v>0.48699999999999999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5"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877" t="s">
        <v>1766</v>
      </c>
      <c r="C1" s="1237" t="s">
        <v>1662</v>
      </c>
      <c r="D1" s="1224"/>
      <c r="E1" s="3423"/>
      <c r="F1" s="1878"/>
      <c r="G1" s="1234" t="s">
        <v>1767</v>
      </c>
      <c r="H1" s="1233"/>
      <c r="I1" s="1233"/>
      <c r="J1" s="1233"/>
      <c r="K1" s="1235"/>
      <c r="L1" s="1236"/>
      <c r="M1" s="1237"/>
      <c r="N1" s="1237"/>
      <c r="O1" s="1237"/>
      <c r="P1" s="1948"/>
      <c r="Q1" s="1949"/>
      <c r="R1" s="1949"/>
      <c r="S1" s="1949"/>
      <c r="T1" s="1949"/>
      <c r="U1" s="1949"/>
      <c r="V1" s="1949"/>
      <c r="W1" s="1949"/>
      <c r="X1" s="1949"/>
      <c r="Y1" s="1949"/>
      <c r="Z1" s="1949"/>
      <c r="AA1" s="1949"/>
      <c r="AB1" s="1949"/>
      <c r="AC1" s="1950"/>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1951"/>
      <c r="Q2" s="912"/>
      <c r="R2" s="912"/>
      <c r="S2" s="912"/>
      <c r="T2" s="912"/>
      <c r="U2" s="912"/>
      <c r="V2" s="912"/>
      <c r="W2" s="912"/>
      <c r="X2" s="912"/>
      <c r="Y2" s="912"/>
      <c r="Z2" s="912"/>
      <c r="AA2" s="912"/>
      <c r="AB2" s="912"/>
      <c r="AC2" s="1952"/>
    </row>
    <row r="3" spans="1:29" s="352" customFormat="1" ht="28.5" customHeight="1" thickBot="1">
      <c r="A3" s="203" t="s">
        <v>1464</v>
      </c>
      <c r="B3" s="558">
        <f>IF(C2="——",C49,ROUND(B2*10000/D3,0))</f>
        <v>0</v>
      </c>
      <c r="C3" s="354" t="s">
        <v>1768</v>
      </c>
      <c r="D3" s="353">
        <f>IF(D1="",'数据-汇总表'!E3,SUMIF('数据-汇总表'!$C19:$C33,D1,'数据-汇总表'!$E19:$E33))</f>
        <v>375.87</v>
      </c>
      <c r="E3" s="1953"/>
      <c r="F3" s="909"/>
      <c r="G3" s="908"/>
      <c r="H3" s="908"/>
      <c r="I3" s="908"/>
      <c r="J3" s="908"/>
      <c r="K3" s="910"/>
      <c r="L3" s="2731"/>
      <c r="M3" s="2732"/>
      <c r="N3" s="2732"/>
      <c r="O3" s="2732"/>
      <c r="P3" s="1951"/>
      <c r="Q3" s="912"/>
      <c r="R3" s="912"/>
      <c r="S3" s="912"/>
      <c r="T3" s="912"/>
      <c r="U3" s="912"/>
      <c r="V3" s="912"/>
      <c r="W3" s="912"/>
      <c r="X3" s="912"/>
      <c r="Y3" s="912"/>
      <c r="Z3" s="912"/>
      <c r="AA3" s="912"/>
      <c r="AB3" s="912"/>
      <c r="AC3" s="1953"/>
    </row>
    <row r="4" spans="1:29" ht="14.4">
      <c r="A4" s="355" t="s">
        <v>1769</v>
      </c>
      <c r="B4" s="356"/>
      <c r="C4" s="3689" t="s">
        <v>1770</v>
      </c>
      <c r="D4" s="3690"/>
      <c r="E4" s="3691" t="s">
        <v>1771</v>
      </c>
      <c r="F4" s="3692"/>
      <c r="G4" s="3689" t="s">
        <v>1772</v>
      </c>
      <c r="H4" s="3690"/>
      <c r="I4" s="3689" t="s">
        <v>1773</v>
      </c>
      <c r="J4" s="3690"/>
      <c r="K4" s="559" t="s">
        <v>1774</v>
      </c>
      <c r="L4" s="2712"/>
      <c r="M4" s="2713"/>
      <c r="N4" s="2713"/>
      <c r="O4" s="2713"/>
      <c r="P4" s="3693" t="s">
        <v>1775</v>
      </c>
      <c r="Q4" s="3694"/>
      <c r="R4" s="3679" t="s">
        <v>1771</v>
      </c>
      <c r="S4" s="3680"/>
      <c r="T4" s="3679" t="s">
        <v>1772</v>
      </c>
      <c r="U4" s="3680"/>
      <c r="V4" s="3685" t="s">
        <v>1773</v>
      </c>
      <c r="W4" s="3685"/>
      <c r="X4" s="1354"/>
      <c r="Y4" s="3679" t="s">
        <v>1775</v>
      </c>
      <c r="Z4" s="3680"/>
      <c r="AA4" s="3686" t="s">
        <v>1771</v>
      </c>
      <c r="AB4" s="3685" t="s">
        <v>1772</v>
      </c>
      <c r="AC4" s="3686" t="s">
        <v>1773</v>
      </c>
    </row>
    <row r="5" spans="1:29">
      <c r="A5" s="358"/>
      <c r="B5" s="359"/>
      <c r="C5" s="3707" t="s">
        <v>1673</v>
      </c>
      <c r="D5" s="3700"/>
      <c r="E5" s="3734" t="s">
        <v>1674</v>
      </c>
      <c r="F5" s="3702"/>
      <c r="G5" s="3707" t="s">
        <v>1675</v>
      </c>
      <c r="H5" s="3700"/>
      <c r="I5" s="3707" t="s">
        <v>1676</v>
      </c>
      <c r="J5" s="3700"/>
      <c r="K5" s="559"/>
      <c r="L5" s="2712"/>
      <c r="M5" s="2713"/>
      <c r="N5" s="2713"/>
      <c r="O5" s="2713"/>
      <c r="P5" s="3695"/>
      <c r="Q5" s="3696"/>
      <c r="R5" s="3681"/>
      <c r="S5" s="3682"/>
      <c r="T5" s="3681"/>
      <c r="U5" s="3682"/>
      <c r="V5" s="3685"/>
      <c r="W5" s="3685"/>
      <c r="X5" s="1354"/>
      <c r="Y5" s="3681"/>
      <c r="Z5" s="3682"/>
      <c r="AA5" s="3687"/>
      <c r="AB5" s="3685"/>
      <c r="AC5" s="3687"/>
    </row>
    <row r="6" spans="1:29" ht="15" thickBot="1">
      <c r="A6" s="360"/>
      <c r="B6" s="361"/>
      <c r="C6" s="3703" t="s">
        <v>1677</v>
      </c>
      <c r="D6" s="3704"/>
      <c r="E6" s="3705" t="s">
        <v>1677</v>
      </c>
      <c r="F6" s="3706"/>
      <c r="G6" s="3703" t="s">
        <v>1677</v>
      </c>
      <c r="H6" s="3704"/>
      <c r="I6" s="3703" t="s">
        <v>1677</v>
      </c>
      <c r="J6" s="3704"/>
      <c r="K6" s="559" t="s">
        <v>1678</v>
      </c>
      <c r="L6" s="2712"/>
      <c r="M6" s="2713"/>
      <c r="N6" s="2713"/>
      <c r="O6" s="2713"/>
      <c r="P6" s="3697"/>
      <c r="Q6" s="3698"/>
      <c r="R6" s="3681"/>
      <c r="S6" s="3682"/>
      <c r="T6" s="3683"/>
      <c r="U6" s="3684"/>
      <c r="V6" s="3685"/>
      <c r="W6" s="3685"/>
      <c r="X6" s="1354"/>
      <c r="Y6" s="3683"/>
      <c r="Z6" s="3684"/>
      <c r="AA6" s="3688"/>
      <c r="AB6" s="3685"/>
      <c r="AC6" s="3688"/>
    </row>
    <row r="7" spans="1:29" s="108" customFormat="1" ht="15" thickBot="1">
      <c r="A7" s="362" t="s">
        <v>1679</v>
      </c>
      <c r="B7" s="363"/>
      <c r="C7" s="364">
        <f>'数据-取费表'!B2</f>
        <v>45622</v>
      </c>
      <c r="D7" s="365">
        <v>100</v>
      </c>
      <c r="E7" s="366"/>
      <c r="F7" s="367">
        <f>SUMIF(58:58,YEAR(E7)&amp;"-"&amp;MONTH(E7),59:59)</f>
        <v>0</v>
      </c>
      <c r="G7" s="366"/>
      <c r="H7" s="365">
        <f>SUMIF(58:58,YEAR(G7)&amp;"-"&amp;MONTH(G7),59:59)</f>
        <v>0</v>
      </c>
      <c r="I7" s="366"/>
      <c r="J7" s="365">
        <f>SUMIF(58:58,YEAR(I7)&amp;"-"&amp;MONTH(I7),59:59)</f>
        <v>0</v>
      </c>
      <c r="K7" s="560"/>
      <c r="L7" s="2714"/>
      <c r="M7" s="2715"/>
      <c r="N7" s="2715"/>
      <c r="O7" s="2715"/>
      <c r="P7" s="3675" t="s">
        <v>1680</v>
      </c>
      <c r="Q7" s="3676"/>
      <c r="R7" s="701" t="s">
        <v>14</v>
      </c>
      <c r="S7" s="702">
        <f t="shared" ref="S7:S15" si="0">F7</f>
        <v>0</v>
      </c>
      <c r="T7" s="701" t="s">
        <v>14</v>
      </c>
      <c r="U7" s="702">
        <f t="shared" ref="U7:U15" si="1">H7</f>
        <v>0</v>
      </c>
      <c r="V7" s="701" t="s">
        <v>14</v>
      </c>
      <c r="W7" s="702">
        <f t="shared" ref="W7:W15" si="2">J7</f>
        <v>0</v>
      </c>
      <c r="X7" s="703"/>
      <c r="Y7" s="3675" t="s">
        <v>1680</v>
      </c>
      <c r="Z7" s="3677"/>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4"/>
      <c r="M8" s="2715"/>
      <c r="N8" s="2715"/>
      <c r="O8" s="2715"/>
      <c r="P8" s="3675" t="s">
        <v>1683</v>
      </c>
      <c r="Q8" s="3677"/>
      <c r="R8" s="701" t="s">
        <v>14</v>
      </c>
      <c r="S8" s="702">
        <f t="shared" si="0"/>
        <v>100</v>
      </c>
      <c r="T8" s="701" t="s">
        <v>14</v>
      </c>
      <c r="U8" s="702">
        <f t="shared" si="1"/>
        <v>100</v>
      </c>
      <c r="V8" s="701" t="s">
        <v>14</v>
      </c>
      <c r="W8" s="702">
        <f t="shared" si="2"/>
        <v>100</v>
      </c>
      <c r="X8" s="703"/>
      <c r="Y8" s="3675" t="s">
        <v>1683</v>
      </c>
      <c r="Z8" s="3677"/>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4"/>
      <c r="M9" s="2715"/>
      <c r="N9" s="2715"/>
      <c r="O9" s="2715"/>
      <c r="P9" s="3678" t="s">
        <v>1686</v>
      </c>
      <c r="Q9" s="1342"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8"/>
      <c r="Q10" s="1342"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8"/>
      <c r="M11" s="2713"/>
      <c r="N11" s="2713"/>
      <c r="O11" s="2713"/>
      <c r="P11" s="3678"/>
      <c r="Q11" s="1342" t="str">
        <f t="shared" si="6"/>
        <v>容积率</v>
      </c>
      <c r="R11" s="701" t="s">
        <v>14</v>
      </c>
      <c r="S11" s="702" t="e">
        <f t="shared" si="0"/>
        <v>#N/A</v>
      </c>
      <c r="T11" s="701" t="s">
        <v>14</v>
      </c>
      <c r="U11" s="702" t="e">
        <f t="shared" si="1"/>
        <v>#N/A</v>
      </c>
      <c r="V11" s="701" t="s">
        <v>14</v>
      </c>
      <c r="W11" s="702" t="e">
        <f t="shared" si="2"/>
        <v>#N/A</v>
      </c>
      <c r="X11" s="703"/>
      <c r="Y11" s="3565"/>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8"/>
      <c r="Q12" s="1342">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8"/>
      <c r="Q13" s="1342">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6"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8"/>
      <c r="Q14" s="1342">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704">
        <f t="shared" si="5"/>
        <v>1</v>
      </c>
    </row>
    <row r="15" spans="1:29" ht="69">
      <c r="A15" s="391" t="s">
        <v>1690</v>
      </c>
      <c r="B15" s="61" t="s">
        <v>1777</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66" t="s">
        <v>1691</v>
      </c>
      <c r="Q15" s="1351" t="str">
        <f t="shared" si="6"/>
        <v>商业繁华度</v>
      </c>
      <c r="R15" s="705" t="s">
        <v>14</v>
      </c>
      <c r="S15" s="706">
        <f t="shared" si="0"/>
        <v>100</v>
      </c>
      <c r="T15" s="705" t="s">
        <v>14</v>
      </c>
      <c r="U15" s="706">
        <f t="shared" si="1"/>
        <v>100</v>
      </c>
      <c r="V15" s="705" t="s">
        <v>14</v>
      </c>
      <c r="W15" s="706">
        <f t="shared" si="2"/>
        <v>100</v>
      </c>
      <c r="X15" s="1354"/>
      <c r="Y15" s="3668"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9"/>
      <c r="M16" s="2713"/>
      <c r="N16" s="2713"/>
      <c r="O16" s="2713"/>
      <c r="P16" s="3667"/>
      <c r="Q16" s="1351"/>
      <c r="R16" s="705"/>
      <c r="S16" s="706"/>
      <c r="T16" s="705"/>
      <c r="U16" s="706"/>
      <c r="V16" s="705"/>
      <c r="W16" s="706"/>
      <c r="X16" s="1354"/>
      <c r="Y16" s="3669"/>
      <c r="Z16" s="1355"/>
      <c r="AA16" s="1352">
        <v>1</v>
      </c>
      <c r="AB16" s="1352">
        <v>1</v>
      </c>
      <c r="AC16" s="1352">
        <v>1</v>
      </c>
    </row>
    <row r="17" spans="1:29" ht="165.6">
      <c r="A17" s="379"/>
      <c r="B17" s="402" t="s">
        <v>1259</v>
      </c>
      <c r="C17" s="1899" t="str">
        <f>估价对象房地状况!C6</f>
        <v>估价对象周边有24路、117路、123路、132路、135路、413路、515路等多条公交线路，地铁2号线及13号线换乘站（东直门站），东直门长途汽车站等，综合评价交通便捷度较好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67"/>
      <c r="Q17" s="1351" t="str">
        <f>B17</f>
        <v>交通便捷度</v>
      </c>
      <c r="R17" s="705" t="s">
        <v>14</v>
      </c>
      <c r="S17" s="706">
        <f>F17</f>
        <v>100</v>
      </c>
      <c r="T17" s="705" t="s">
        <v>14</v>
      </c>
      <c r="U17" s="706">
        <f>H17</f>
        <v>100</v>
      </c>
      <c r="V17" s="705" t="s">
        <v>14</v>
      </c>
      <c r="W17" s="706">
        <f>J17</f>
        <v>100</v>
      </c>
      <c r="X17" s="1354"/>
      <c r="Y17" s="366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2719"/>
      <c r="M18" s="2713"/>
      <c r="N18" s="2713"/>
      <c r="O18" s="2713"/>
      <c r="P18" s="3667"/>
      <c r="Q18" s="1351"/>
      <c r="R18" s="705"/>
      <c r="S18" s="706"/>
      <c r="T18" s="705"/>
      <c r="U18" s="706"/>
      <c r="V18" s="705"/>
      <c r="W18" s="706"/>
      <c r="X18" s="1354"/>
      <c r="Y18" s="3669"/>
      <c r="Z18" s="1355"/>
      <c r="AA18" s="1352">
        <v>1</v>
      </c>
      <c r="AB18" s="1352">
        <v>1</v>
      </c>
      <c r="AC18" s="1352">
        <v>1</v>
      </c>
    </row>
    <row r="19" spans="1:29" ht="41.4">
      <c r="A19" s="379"/>
      <c r="B19" s="402" t="s">
        <v>1778</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67"/>
      <c r="Q19" s="1351" t="str">
        <f>B19</f>
        <v>公共配套设施</v>
      </c>
      <c r="R19" s="705" t="s">
        <v>14</v>
      </c>
      <c r="S19" s="706">
        <f>F19</f>
        <v>100</v>
      </c>
      <c r="T19" s="705" t="s">
        <v>14</v>
      </c>
      <c r="U19" s="706">
        <f>H19</f>
        <v>100</v>
      </c>
      <c r="V19" s="705" t="s">
        <v>14</v>
      </c>
      <c r="W19" s="706">
        <f>J19</f>
        <v>100</v>
      </c>
      <c r="X19" s="1354"/>
      <c r="Y19" s="366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2719"/>
      <c r="M20" s="2713"/>
      <c r="N20" s="2713"/>
      <c r="O20" s="2713"/>
      <c r="P20" s="3667"/>
      <c r="Q20" s="1351"/>
      <c r="R20" s="705"/>
      <c r="S20" s="706"/>
      <c r="T20" s="705"/>
      <c r="U20" s="706"/>
      <c r="V20" s="705"/>
      <c r="W20" s="706"/>
      <c r="X20" s="1354"/>
      <c r="Y20" s="3669"/>
      <c r="Z20" s="1355"/>
      <c r="AA20" s="1352">
        <v>1</v>
      </c>
      <c r="AB20" s="1352">
        <v>1</v>
      </c>
      <c r="AC20" s="1352">
        <v>1</v>
      </c>
    </row>
    <row r="21" spans="1:29" ht="15">
      <c r="A21" s="379"/>
      <c r="B21" s="1131" t="s">
        <v>1779</v>
      </c>
      <c r="C21" s="1899"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67"/>
      <c r="Q21" s="1351" t="str">
        <f>B21</f>
        <v>基础设施水平</v>
      </c>
      <c r="R21" s="705" t="s">
        <v>14</v>
      </c>
      <c r="S21" s="706">
        <f>F21</f>
        <v>100</v>
      </c>
      <c r="T21" s="705" t="s">
        <v>14</v>
      </c>
      <c r="U21" s="706">
        <f>H21</f>
        <v>100</v>
      </c>
      <c r="V21" s="705" t="s">
        <v>14</v>
      </c>
      <c r="W21" s="706">
        <f>J21</f>
        <v>100</v>
      </c>
      <c r="X21" s="1354"/>
      <c r="Y21" s="366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2719"/>
      <c r="M22" s="2713"/>
      <c r="N22" s="2713"/>
      <c r="O22" s="2713"/>
      <c r="P22" s="3667"/>
      <c r="Q22" s="1351"/>
      <c r="R22" s="705"/>
      <c r="S22" s="706"/>
      <c r="T22" s="705"/>
      <c r="U22" s="706"/>
      <c r="V22" s="705"/>
      <c r="W22" s="706"/>
      <c r="X22" s="1354"/>
      <c r="Y22" s="3669"/>
      <c r="Z22" s="1355"/>
      <c r="AA22" s="1352">
        <v>1</v>
      </c>
      <c r="AB22" s="1352">
        <v>1</v>
      </c>
      <c r="AC22" s="1352">
        <v>1</v>
      </c>
    </row>
    <row r="23" spans="1:29" ht="96.6">
      <c r="A23" s="379"/>
      <c r="B23" s="402" t="s">
        <v>1261</v>
      </c>
      <c r="C23" s="1954" t="str">
        <f>估价对象房地状况!C9</f>
        <v>区域自然环境：亮马河、东城区亮马河公园；人文环境：工人体育场、东直门外清真寺；综合评价环境状况较好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67"/>
      <c r="Q23" s="1351" t="str">
        <f>B23</f>
        <v>自然及人文环境</v>
      </c>
      <c r="R23" s="705" t="s">
        <v>14</v>
      </c>
      <c r="S23" s="706">
        <f>F23</f>
        <v>100</v>
      </c>
      <c r="T23" s="705" t="s">
        <v>14</v>
      </c>
      <c r="U23" s="706">
        <f>H23</f>
        <v>100</v>
      </c>
      <c r="V23" s="705" t="s">
        <v>14</v>
      </c>
      <c r="W23" s="706">
        <f>J23</f>
        <v>100</v>
      </c>
      <c r="X23" s="1354"/>
      <c r="Y23" s="3669"/>
      <c r="Z23" s="1355" t="str">
        <f>Q23</f>
        <v>自然及人文环境</v>
      </c>
      <c r="AA23" s="1352">
        <f t="shared" si="3"/>
        <v>1</v>
      </c>
      <c r="AB23" s="1352">
        <f t="shared" si="4"/>
        <v>1</v>
      </c>
      <c r="AC23" s="1352">
        <f t="shared" si="5"/>
        <v>1</v>
      </c>
    </row>
    <row r="24" spans="1:29" ht="15">
      <c r="A24" s="379"/>
      <c r="B24" s="407"/>
      <c r="C24" s="398"/>
      <c r="D24" s="399"/>
      <c r="E24" s="1897"/>
      <c r="F24" s="400"/>
      <c r="G24" s="1896"/>
      <c r="H24" s="399"/>
      <c r="I24" s="1897"/>
      <c r="J24" s="399"/>
      <c r="K24" s="564"/>
      <c r="L24" s="2719"/>
      <c r="M24" s="2713"/>
      <c r="N24" s="2713"/>
      <c r="O24" s="2713"/>
      <c r="P24" s="3667"/>
      <c r="Q24" s="1351"/>
      <c r="R24" s="705"/>
      <c r="S24" s="706"/>
      <c r="T24" s="705"/>
      <c r="U24" s="706"/>
      <c r="V24" s="705"/>
      <c r="W24" s="706"/>
      <c r="X24" s="1354"/>
      <c r="Y24" s="3669"/>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667"/>
      <c r="Q25" s="1351" t="str">
        <f t="shared" ref="Q25:Q46" si="11">B25</f>
        <v>临街状况</v>
      </c>
      <c r="R25" s="705" t="s">
        <v>14</v>
      </c>
      <c r="S25" s="706">
        <f>F25</f>
        <v>100</v>
      </c>
      <c r="T25" s="705" t="s">
        <v>14</v>
      </c>
      <c r="U25" s="706">
        <f>H25</f>
        <v>100</v>
      </c>
      <c r="V25" s="705" t="s">
        <v>14</v>
      </c>
      <c r="W25" s="706">
        <f>J25</f>
        <v>100</v>
      </c>
      <c r="X25" s="1354"/>
      <c r="Y25" s="3669"/>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667"/>
      <c r="Q26" s="1351" t="str">
        <f t="shared" si="11"/>
        <v>平面位置/可视性</v>
      </c>
      <c r="R26" s="705" t="s">
        <v>14</v>
      </c>
      <c r="S26" s="706">
        <f>F26</f>
        <v>100</v>
      </c>
      <c r="T26" s="705" t="s">
        <v>14</v>
      </c>
      <c r="U26" s="706">
        <f>H26</f>
        <v>100</v>
      </c>
      <c r="V26" s="705" t="s">
        <v>14</v>
      </c>
      <c r="W26" s="706">
        <f>J26</f>
        <v>100</v>
      </c>
      <c r="X26" s="1354"/>
      <c r="Y26" s="3669"/>
      <c r="Z26" s="1355" t="str">
        <f>Q26</f>
        <v>平面位置/可视性</v>
      </c>
      <c r="AA26" s="1352">
        <f t="shared" si="3"/>
        <v>1</v>
      </c>
      <c r="AB26" s="1352">
        <f t="shared" si="4"/>
        <v>1</v>
      </c>
      <c r="AC26" s="1352">
        <f t="shared" si="5"/>
        <v>1</v>
      </c>
    </row>
    <row r="27" spans="1:29" s="108" customFormat="1" ht="15">
      <c r="A27" s="382"/>
      <c r="B27" s="402" t="s">
        <v>1782</v>
      </c>
      <c r="C27" s="1955"/>
      <c r="D27" s="413">
        <v>100</v>
      </c>
      <c r="E27" s="1955"/>
      <c r="F27" s="415">
        <f>SUMIF(90:90,E27,91:91)-SUMIF(90:90,C27,91:91)+100</f>
        <v>100</v>
      </c>
      <c r="G27" s="1955"/>
      <c r="H27" s="413">
        <f>SUMIF(90:90,G27,91:91)-SUMIF(90:90,C27,91:91)+100</f>
        <v>100</v>
      </c>
      <c r="I27" s="1955"/>
      <c r="J27" s="413">
        <f>SUMIF(90:90,I27,91:91)-SUMIF(90:90,C27,91:91)+100</f>
        <v>100</v>
      </c>
      <c r="K27" s="561"/>
      <c r="L27" s="2714"/>
      <c r="M27" s="2715"/>
      <c r="N27" s="2715"/>
      <c r="O27" s="2715"/>
      <c r="P27" s="3667"/>
      <c r="Q27" s="1342" t="str">
        <f t="shared" si="11"/>
        <v>人流量</v>
      </c>
      <c r="R27" s="701" t="s">
        <v>14</v>
      </c>
      <c r="S27" s="702">
        <f>F27</f>
        <v>100</v>
      </c>
      <c r="T27" s="701" t="s">
        <v>14</v>
      </c>
      <c r="U27" s="702">
        <f>H27</f>
        <v>100</v>
      </c>
      <c r="V27" s="701" t="s">
        <v>14</v>
      </c>
      <c r="W27" s="702">
        <f>J27</f>
        <v>100</v>
      </c>
      <c r="X27" s="703"/>
      <c r="Y27" s="3669"/>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9"/>
      <c r="M28" s="2713"/>
      <c r="N28" s="2713"/>
      <c r="O28" s="2713"/>
      <c r="P28" s="3667"/>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669"/>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67"/>
      <c r="Q29" s="1351">
        <f t="shared" si="11"/>
        <v>111</v>
      </c>
      <c r="R29" s="705" t="s">
        <v>14</v>
      </c>
      <c r="S29" s="706">
        <f t="shared" si="12"/>
        <v>100</v>
      </c>
      <c r="T29" s="705" t="s">
        <v>14</v>
      </c>
      <c r="U29" s="706">
        <f t="shared" si="13"/>
        <v>100</v>
      </c>
      <c r="V29" s="705" t="s">
        <v>14</v>
      </c>
      <c r="W29" s="706">
        <f t="shared" si="14"/>
        <v>100</v>
      </c>
      <c r="X29" s="1354"/>
      <c r="Y29" s="3669"/>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67"/>
      <c r="Q30" s="1351">
        <f t="shared" si="11"/>
        <v>111</v>
      </c>
      <c r="R30" s="705" t="s">
        <v>14</v>
      </c>
      <c r="S30" s="706">
        <f t="shared" si="12"/>
        <v>100</v>
      </c>
      <c r="T30" s="705" t="s">
        <v>14</v>
      </c>
      <c r="U30" s="706">
        <f t="shared" si="13"/>
        <v>100</v>
      </c>
      <c r="V30" s="705" t="s">
        <v>14</v>
      </c>
      <c r="W30" s="706">
        <f t="shared" si="14"/>
        <v>100</v>
      </c>
      <c r="X30" s="1354"/>
      <c r="Y30" s="3669"/>
      <c r="Z30" s="1355">
        <f t="shared" si="15"/>
        <v>111</v>
      </c>
      <c r="AA30" s="1352">
        <f t="shared" si="3"/>
        <v>1</v>
      </c>
      <c r="AB30" s="1352">
        <f t="shared" si="4"/>
        <v>1</v>
      </c>
      <c r="AC30" s="1352">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67"/>
      <c r="Q31" s="1351">
        <f t="shared" si="11"/>
        <v>111</v>
      </c>
      <c r="R31" s="705" t="s">
        <v>14</v>
      </c>
      <c r="S31" s="706">
        <f t="shared" si="12"/>
        <v>100</v>
      </c>
      <c r="T31" s="705" t="s">
        <v>14</v>
      </c>
      <c r="U31" s="706">
        <f t="shared" si="13"/>
        <v>100</v>
      </c>
      <c r="V31" s="705" t="s">
        <v>14</v>
      </c>
      <c r="W31" s="706">
        <f t="shared" si="14"/>
        <v>100</v>
      </c>
      <c r="X31" s="1354"/>
      <c r="Y31" s="3669"/>
      <c r="Z31" s="1355">
        <f t="shared" si="15"/>
        <v>111</v>
      </c>
      <c r="AA31" s="1352">
        <f t="shared" si="3"/>
        <v>1</v>
      </c>
      <c r="AB31" s="1352">
        <f t="shared" si="4"/>
        <v>1</v>
      </c>
      <c r="AC31" s="1352">
        <f t="shared" si="5"/>
        <v>1</v>
      </c>
    </row>
    <row r="32" spans="1:29" ht="15">
      <c r="A32" s="391" t="s">
        <v>1694</v>
      </c>
      <c r="B32" s="63" t="s">
        <v>1784</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19"/>
      <c r="M32" s="2713"/>
      <c r="N32" s="2713"/>
      <c r="O32" s="2713"/>
      <c r="P32" s="3670" t="s">
        <v>1696</v>
      </c>
      <c r="Q32" s="1351" t="str">
        <f t="shared" si="11"/>
        <v>商业类型</v>
      </c>
      <c r="R32" s="705" t="s">
        <v>14</v>
      </c>
      <c r="S32" s="706">
        <f t="shared" si="12"/>
        <v>100</v>
      </c>
      <c r="T32" s="705" t="s">
        <v>14</v>
      </c>
      <c r="U32" s="706">
        <f t="shared" si="13"/>
        <v>100</v>
      </c>
      <c r="V32" s="705" t="s">
        <v>14</v>
      </c>
      <c r="W32" s="706">
        <f t="shared" si="14"/>
        <v>100</v>
      </c>
      <c r="X32" s="1354"/>
      <c r="Y32" s="3673"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8"/>
      <c r="M33" s="2720"/>
      <c r="N33" s="2720"/>
      <c r="O33" s="2720"/>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2" t="e">
        <f t="shared" si="3"/>
        <v>#N/A</v>
      </c>
      <c r="AB33" s="1352" t="e">
        <f t="shared" si="4"/>
        <v>#N/A</v>
      </c>
      <c r="AC33" s="1352" t="e">
        <f t="shared" si="5"/>
        <v>#N/A</v>
      </c>
    </row>
    <row r="34" spans="1:29" ht="15">
      <c r="A34" s="423"/>
      <c r="B34" s="375" t="s">
        <v>1698</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19"/>
      <c r="M34" s="2713"/>
      <c r="N34" s="2713"/>
      <c r="O34" s="2713"/>
      <c r="P34" s="3671"/>
      <c r="Q34" s="1351" t="str">
        <f t="shared" si="11"/>
        <v>建筑结构</v>
      </c>
      <c r="R34" s="705" t="s">
        <v>14</v>
      </c>
      <c r="S34" s="706">
        <f t="shared" si="12"/>
        <v>100</v>
      </c>
      <c r="T34" s="705" t="s">
        <v>14</v>
      </c>
      <c r="U34" s="706">
        <f t="shared" si="13"/>
        <v>100</v>
      </c>
      <c r="V34" s="705" t="s">
        <v>14</v>
      </c>
      <c r="W34" s="706">
        <f t="shared" si="14"/>
        <v>100</v>
      </c>
      <c r="X34" s="1354"/>
      <c r="Y34" s="3673"/>
      <c r="Z34" s="1355" t="str">
        <f t="shared" si="15"/>
        <v>建筑结构</v>
      </c>
      <c r="AA34" s="1352">
        <f t="shared" si="3"/>
        <v>1</v>
      </c>
      <c r="AB34" s="1352">
        <f t="shared" si="4"/>
        <v>1</v>
      </c>
      <c r="AC34" s="1352">
        <f t="shared" si="5"/>
        <v>1</v>
      </c>
    </row>
    <row r="35" spans="1:29" ht="15">
      <c r="A35" s="423"/>
      <c r="B35" s="375" t="s">
        <v>1785</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19"/>
      <c r="M35" s="2713"/>
      <c r="N35" s="2713"/>
      <c r="O35" s="2713"/>
      <c r="P35" s="3671"/>
      <c r="Q35" s="1351" t="str">
        <f t="shared" si="11"/>
        <v>公共部分装修</v>
      </c>
      <c r="R35" s="705" t="s">
        <v>14</v>
      </c>
      <c r="S35" s="706">
        <f t="shared" si="12"/>
        <v>100</v>
      </c>
      <c r="T35" s="705" t="s">
        <v>14</v>
      </c>
      <c r="U35" s="706">
        <f t="shared" si="13"/>
        <v>100</v>
      </c>
      <c r="V35" s="705" t="s">
        <v>14</v>
      </c>
      <c r="W35" s="706">
        <f t="shared" si="14"/>
        <v>100</v>
      </c>
      <c r="X35" s="1354"/>
      <c r="Y35" s="3673"/>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9"/>
      <c r="M36" s="2713"/>
      <c r="N36" s="2713"/>
      <c r="O36" s="2713"/>
      <c r="P36" s="3671"/>
      <c r="Q36" s="1351" t="str">
        <f t="shared" si="11"/>
        <v>成新度</v>
      </c>
      <c r="R36" s="705" t="s">
        <v>14</v>
      </c>
      <c r="S36" s="706" t="e">
        <f t="shared" si="12"/>
        <v>#N/A</v>
      </c>
      <c r="T36" s="705" t="s">
        <v>14</v>
      </c>
      <c r="U36" s="706" t="e">
        <f t="shared" si="13"/>
        <v>#N/A</v>
      </c>
      <c r="V36" s="705" t="s">
        <v>14</v>
      </c>
      <c r="W36" s="706" t="e">
        <f t="shared" si="14"/>
        <v>#N/A</v>
      </c>
      <c r="X36" s="1354"/>
      <c r="Y36" s="3673"/>
      <c r="Z36" s="1355" t="str">
        <f t="shared" si="15"/>
        <v>成新度</v>
      </c>
      <c r="AA36" s="1352" t="e">
        <f t="shared" si="3"/>
        <v>#N/A</v>
      </c>
      <c r="AB36" s="1352" t="e">
        <f t="shared" si="4"/>
        <v>#N/A</v>
      </c>
      <c r="AC36" s="1352" t="e">
        <f t="shared" si="5"/>
        <v>#N/A</v>
      </c>
    </row>
    <row r="37" spans="1:29" s="108" customFormat="1" ht="15">
      <c r="A37" s="424"/>
      <c r="B37" s="375" t="s">
        <v>1787</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4"/>
      <c r="M37" s="2715"/>
      <c r="N37" s="2715"/>
      <c r="O37" s="2715"/>
      <c r="P37" s="3671"/>
      <c r="Q37" s="1342"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19"/>
      <c r="M38" s="2713"/>
      <c r="N38" s="2713"/>
      <c r="O38" s="2713"/>
      <c r="P38" s="3671" t="s">
        <v>1696</v>
      </c>
      <c r="Q38" s="1351" t="str">
        <f t="shared" si="11"/>
        <v>业态</v>
      </c>
      <c r="R38" s="705" t="s">
        <v>14</v>
      </c>
      <c r="S38" s="706">
        <f t="shared" si="12"/>
        <v>100</v>
      </c>
      <c r="T38" s="705" t="s">
        <v>14</v>
      </c>
      <c r="U38" s="706">
        <f t="shared" si="13"/>
        <v>100</v>
      </c>
      <c r="V38" s="705" t="s">
        <v>14</v>
      </c>
      <c r="W38" s="706">
        <f t="shared" si="14"/>
        <v>100</v>
      </c>
      <c r="X38" s="1354"/>
      <c r="Y38" s="3673" t="s">
        <v>1696</v>
      </c>
      <c r="Z38" s="1355" t="str">
        <f t="shared" si="15"/>
        <v>业态</v>
      </c>
      <c r="AA38" s="1352">
        <f t="shared" si="3"/>
        <v>1</v>
      </c>
      <c r="AB38" s="1352">
        <f t="shared" si="4"/>
        <v>1</v>
      </c>
      <c r="AC38" s="1352">
        <f t="shared" si="5"/>
        <v>1</v>
      </c>
    </row>
    <row r="39" spans="1:29" ht="15">
      <c r="A39" s="423"/>
      <c r="B39" s="375" t="s">
        <v>1789</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19"/>
      <c r="M39" s="2713"/>
      <c r="N39" s="2713"/>
      <c r="O39" s="2713"/>
      <c r="P39" s="3671"/>
      <c r="Q39" s="1351" t="str">
        <f t="shared" si="11"/>
        <v>层高</v>
      </c>
      <c r="R39" s="705" t="s">
        <v>14</v>
      </c>
      <c r="S39" s="706">
        <f t="shared" si="12"/>
        <v>100</v>
      </c>
      <c r="T39" s="705" t="s">
        <v>14</v>
      </c>
      <c r="U39" s="706">
        <f t="shared" si="13"/>
        <v>100</v>
      </c>
      <c r="V39" s="705" t="s">
        <v>14</v>
      </c>
      <c r="W39" s="706">
        <f t="shared" si="14"/>
        <v>100</v>
      </c>
      <c r="X39" s="1354"/>
      <c r="Y39" s="3673"/>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71"/>
      <c r="Q40" s="1351" t="str">
        <f t="shared" si="11"/>
        <v>单套建筑面积</v>
      </c>
      <c r="R40" s="705" t="s">
        <v>14</v>
      </c>
      <c r="S40" s="706">
        <f t="shared" si="12"/>
        <v>100</v>
      </c>
      <c r="T40" s="705" t="s">
        <v>14</v>
      </c>
      <c r="U40" s="706">
        <f t="shared" si="13"/>
        <v>100</v>
      </c>
      <c r="V40" s="705" t="s">
        <v>14</v>
      </c>
      <c r="W40" s="706">
        <f t="shared" si="14"/>
        <v>100</v>
      </c>
      <c r="X40" s="1354"/>
      <c r="Y40" s="3673"/>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2">
        <f t="shared" si="3"/>
        <v>1</v>
      </c>
      <c r="AB41" s="1352">
        <f t="shared" si="4"/>
        <v>1</v>
      </c>
      <c r="AC41" s="1352">
        <f t="shared" si="5"/>
        <v>1</v>
      </c>
    </row>
    <row r="42" spans="1:29" ht="15">
      <c r="A42" s="423"/>
      <c r="B42" s="375" t="s">
        <v>1792</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19"/>
      <c r="M42" s="2713"/>
      <c r="N42" s="2713"/>
      <c r="O42" s="2713"/>
      <c r="P42" s="3671"/>
      <c r="Q42" s="1351" t="str">
        <f t="shared" si="11"/>
        <v>内部装修</v>
      </c>
      <c r="R42" s="705" t="s">
        <v>14</v>
      </c>
      <c r="S42" s="706">
        <f t="shared" si="12"/>
        <v>100</v>
      </c>
      <c r="T42" s="705" t="s">
        <v>14</v>
      </c>
      <c r="U42" s="706">
        <f t="shared" si="13"/>
        <v>100</v>
      </c>
      <c r="V42" s="705" t="s">
        <v>14</v>
      </c>
      <c r="W42" s="706">
        <f t="shared" si="14"/>
        <v>100</v>
      </c>
      <c r="X42" s="1354"/>
      <c r="Y42" s="3673"/>
      <c r="Z42" s="1355" t="str">
        <f t="shared" si="15"/>
        <v>内部装修</v>
      </c>
      <c r="AA42" s="1352">
        <f t="shared" si="3"/>
        <v>1</v>
      </c>
      <c r="AB42" s="1352">
        <f t="shared" si="4"/>
        <v>1</v>
      </c>
      <c r="AC42" s="1352">
        <f t="shared" si="5"/>
        <v>1</v>
      </c>
    </row>
    <row r="43" spans="1:29" ht="28.8">
      <c r="A43" s="423"/>
      <c r="B43" s="375" t="s">
        <v>1707</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19"/>
      <c r="M43" s="2713"/>
      <c r="N43" s="2713"/>
      <c r="O43" s="2713"/>
      <c r="P43" s="3671"/>
      <c r="Q43" s="1351" t="str">
        <f t="shared" si="11"/>
        <v>内部装修维护情况</v>
      </c>
      <c r="R43" s="705" t="s">
        <v>14</v>
      </c>
      <c r="S43" s="706">
        <f t="shared" si="12"/>
        <v>100</v>
      </c>
      <c r="T43" s="705" t="s">
        <v>14</v>
      </c>
      <c r="U43" s="706">
        <f t="shared" si="13"/>
        <v>100</v>
      </c>
      <c r="V43" s="705" t="s">
        <v>14</v>
      </c>
      <c r="W43" s="706">
        <f t="shared" si="14"/>
        <v>100</v>
      </c>
      <c r="X43" s="1354"/>
      <c r="Y43" s="3673"/>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71"/>
      <c r="Q44" s="1342">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71"/>
      <c r="Q45" s="1351">
        <f t="shared" si="11"/>
        <v>111</v>
      </c>
      <c r="R45" s="705" t="s">
        <v>14</v>
      </c>
      <c r="S45" s="706">
        <f t="shared" si="12"/>
        <v>100</v>
      </c>
      <c r="T45" s="705" t="s">
        <v>14</v>
      </c>
      <c r="U45" s="706">
        <f t="shared" si="13"/>
        <v>100</v>
      </c>
      <c r="V45" s="705" t="s">
        <v>14</v>
      </c>
      <c r="W45" s="706">
        <f t="shared" si="14"/>
        <v>100</v>
      </c>
      <c r="X45" s="1354"/>
      <c r="Y45" s="3673"/>
      <c r="Z45" s="1355">
        <f t="shared" si="15"/>
        <v>111</v>
      </c>
      <c r="AA45" s="1352">
        <f t="shared" si="3"/>
        <v>1</v>
      </c>
      <c r="AB45" s="1352">
        <f t="shared" si="4"/>
        <v>1</v>
      </c>
      <c r="AC45" s="1352">
        <f t="shared" si="5"/>
        <v>1</v>
      </c>
    </row>
    <row r="46" spans="1:29" ht="15.6"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72"/>
      <c r="Q46" s="1351">
        <f t="shared" si="11"/>
        <v>111</v>
      </c>
      <c r="R46" s="705" t="s">
        <v>14</v>
      </c>
      <c r="S46" s="706">
        <f t="shared" si="12"/>
        <v>100</v>
      </c>
      <c r="T46" s="705" t="s">
        <v>14</v>
      </c>
      <c r="U46" s="706">
        <f t="shared" si="13"/>
        <v>100</v>
      </c>
      <c r="V46" s="705" t="s">
        <v>14</v>
      </c>
      <c r="W46" s="706">
        <f t="shared" si="14"/>
        <v>100</v>
      </c>
      <c r="X46" s="1354"/>
      <c r="Y46" s="3674"/>
      <c r="Z46" s="1355">
        <f t="shared" si="15"/>
        <v>111</v>
      </c>
      <c r="AA46" s="1352">
        <f t="shared" si="3"/>
        <v>1</v>
      </c>
      <c r="AB46" s="1352">
        <f t="shared" si="4"/>
        <v>1</v>
      </c>
      <c r="AC46" s="1352">
        <f t="shared" si="5"/>
        <v>1</v>
      </c>
    </row>
    <row r="47" spans="1:29" ht="14.4">
      <c r="A47" s="430" t="s">
        <v>1708</v>
      </c>
      <c r="B47" s="431"/>
      <c r="C47" s="1154" t="s">
        <v>0</v>
      </c>
      <c r="D47" s="1155"/>
      <c r="E47" s="1156"/>
      <c r="F47" s="1157"/>
      <c r="G47" s="1158"/>
      <c r="H47" s="1159"/>
      <c r="I47" s="1156"/>
      <c r="J47" s="1159"/>
      <c r="K47" s="714"/>
      <c r="L47" s="2721"/>
      <c r="M47" s="2722"/>
      <c r="N47" s="2713"/>
      <c r="O47" s="2722"/>
      <c r="P47" s="3661" t="str">
        <f>A47</f>
        <v>成交单价（元/平方米）</v>
      </c>
      <c r="Q47" s="3661"/>
      <c r="R47" s="3685">
        <f>E47</f>
        <v>0</v>
      </c>
      <c r="S47" s="3685"/>
      <c r="T47" s="3685">
        <f>G47</f>
        <v>0</v>
      </c>
      <c r="U47" s="3685"/>
      <c r="V47" s="3685">
        <f>I47</f>
        <v>0</v>
      </c>
      <c r="W47" s="3685"/>
      <c r="X47" s="690"/>
      <c r="Y47" s="712"/>
      <c r="Z47" s="690"/>
      <c r="AA47" s="690"/>
      <c r="AB47" s="690"/>
      <c r="AC47" s="690"/>
    </row>
    <row r="48" spans="1:29" ht="15" thickBot="1">
      <c r="A48" s="437" t="s">
        <v>1793</v>
      </c>
      <c r="B48" s="438"/>
      <c r="C48" s="1160" t="e">
        <f>R49</f>
        <v>#DIV/0!</v>
      </c>
      <c r="D48" s="2316" t="s">
        <v>2136</v>
      </c>
      <c r="E48" s="1161" t="e">
        <f>R48</f>
        <v>#DIV/0!</v>
      </c>
      <c r="F48" s="2317"/>
      <c r="G48" s="1160" t="e">
        <f>T48</f>
        <v>#DIV/0!</v>
      </c>
      <c r="H48" s="2317"/>
      <c r="I48" s="1161" t="e">
        <f>V48</f>
        <v>#DIV/0!</v>
      </c>
      <c r="J48" s="2317"/>
      <c r="K48" s="2319">
        <f>F48+H48+J48</f>
        <v>0</v>
      </c>
      <c r="L48" s="2721"/>
      <c r="M48" s="2722"/>
      <c r="N48" s="2713"/>
      <c r="O48" s="2722"/>
      <c r="P48" s="3661" t="str">
        <f>A48</f>
        <v>比较价值（元/平方米）</v>
      </c>
      <c r="Q48" s="3661"/>
      <c r="R48" s="3662" t="e">
        <f>IF(F1="售价",ROUND(PRODUCT(R47,AA7:AA46),0),ROUND(PRODUCT(R47,AA7:AA46),1))</f>
        <v>#DIV/0!</v>
      </c>
      <c r="S48" s="3662"/>
      <c r="T48" s="3662" t="e">
        <f>IF(F1="售价",ROUND(PRODUCT(T47,AB7:AB46),0),ROUND(PRODUCT(T47,AB7:AB46),1))</f>
        <v>#DIV/0!</v>
      </c>
      <c r="U48" s="3662"/>
      <c r="V48" s="3662" t="e">
        <f>IF(F1="售价",ROUND(PRODUCT(V47,AC7:AC46),0),ROUND(PRODUCT(V47,AC7:AC46),1))</f>
        <v>#DIV/0!</v>
      </c>
      <c r="W48" s="3662"/>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1"/>
      <c r="M49" s="2722"/>
      <c r="N49" s="2713"/>
      <c r="O49" s="2722"/>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2.2" thickBot="1">
      <c r="A57" s="694" t="s">
        <v>1798</v>
      </c>
      <c r="B57" s="690"/>
      <c r="C57" s="695"/>
      <c r="D57" s="695"/>
      <c r="E57" s="695"/>
      <c r="F57" s="696"/>
      <c r="G57" s="696"/>
      <c r="H57" s="695"/>
      <c r="I57" s="695"/>
      <c r="J57" s="695"/>
      <c r="K57" s="697"/>
      <c r="L57" s="942"/>
      <c r="M57" s="940"/>
      <c r="N57" s="940"/>
      <c r="O57" s="940"/>
      <c r="P57" s="2735"/>
      <c r="Q57" s="2736"/>
      <c r="R57" s="2722"/>
      <c r="S57" s="2722"/>
      <c r="T57" s="2722"/>
      <c r="U57" s="2722"/>
      <c r="V57" s="2722"/>
      <c r="W57" s="2722"/>
      <c r="X57" s="2722"/>
      <c r="Y57" s="2722"/>
      <c r="Z57" s="2722"/>
      <c r="AA57" s="2722"/>
      <c r="AB57" s="2722"/>
      <c r="AC57" s="2722"/>
    </row>
    <row r="58" spans="1:29" s="457" customFormat="1" ht="14.4">
      <c r="A58" s="454" t="s">
        <v>1679</v>
      </c>
      <c r="B58" s="455"/>
      <c r="C58" s="1183" t="str">
        <f>YEAR(C7)&amp;"-"&amp;MONTH(C7)</f>
        <v>2024-11</v>
      </c>
      <c r="D58" s="1184">
        <f>EDATE(C58,-1)</f>
        <v>45566</v>
      </c>
      <c r="E58" s="1184">
        <f t="shared" ref="E58:N58" si="16">EDATE(D58,-1)</f>
        <v>45536</v>
      </c>
      <c r="F58" s="1184">
        <f t="shared" si="16"/>
        <v>45505</v>
      </c>
      <c r="G58" s="1184">
        <f t="shared" si="16"/>
        <v>45474</v>
      </c>
      <c r="H58" s="1184">
        <f t="shared" si="16"/>
        <v>45444</v>
      </c>
      <c r="I58" s="1184">
        <f t="shared" si="16"/>
        <v>45413</v>
      </c>
      <c r="J58" s="1184">
        <f t="shared" si="16"/>
        <v>45383</v>
      </c>
      <c r="K58" s="1184">
        <f t="shared" si="16"/>
        <v>45352</v>
      </c>
      <c r="L58" s="1184">
        <f t="shared" si="16"/>
        <v>45323</v>
      </c>
      <c r="M58" s="1184">
        <f t="shared" si="16"/>
        <v>45292</v>
      </c>
      <c r="N58" s="1184">
        <f t="shared" si="16"/>
        <v>45261</v>
      </c>
      <c r="O58" s="1184">
        <f>EDATE(N58,-1)</f>
        <v>45231</v>
      </c>
      <c r="P58" s="2737"/>
      <c r="Q58" s="2738"/>
      <c r="R58" s="2738"/>
      <c r="S58" s="2738"/>
      <c r="T58" s="2738"/>
      <c r="U58" s="2738"/>
      <c r="V58" s="2738"/>
      <c r="W58" s="2738"/>
      <c r="X58" s="2738"/>
      <c r="Y58" s="2738"/>
      <c r="Z58" s="2738"/>
      <c r="AA58" s="2738"/>
      <c r="AB58" s="2738"/>
      <c r="AC58" s="2738"/>
    </row>
    <row r="59" spans="1:29" s="108" customFormat="1">
      <c r="A59" s="458"/>
      <c r="B59" s="459"/>
      <c r="C59" s="1182">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4.4">
      <c r="A61" s="470" t="s">
        <v>1681</v>
      </c>
      <c r="B61" s="459"/>
      <c r="C61" s="471" t="s">
        <v>1776</v>
      </c>
      <c r="D61" s="472"/>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4.4" thickBot="1">
      <c r="A62" s="470"/>
      <c r="B62" s="459"/>
      <c r="C62" s="460">
        <v>100</v>
      </c>
      <c r="D62" s="461"/>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ht="14.4">
      <c r="A63" s="476" t="s">
        <v>1719</v>
      </c>
      <c r="B63" s="477" t="s">
        <v>1685</v>
      </c>
      <c r="C63" s="478">
        <f>C9</f>
        <v>0</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4.4"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9.4"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4.4"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c r="A68" s="483"/>
      <c r="B68" s="497"/>
      <c r="C68" s="498"/>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4.4"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4.4"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4.4"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4.4"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4.4"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4.4"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ht="14.4">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 thickTop="1">
      <c r="A82" s="483"/>
      <c r="B82" s="495" t="s">
        <v>1779</v>
      </c>
      <c r="C82" s="608" t="s">
        <v>1799</v>
      </c>
      <c r="D82" s="608" t="s">
        <v>1800</v>
      </c>
      <c r="E82" s="608" t="s">
        <v>1801</v>
      </c>
      <c r="F82" s="608" t="s">
        <v>1802</v>
      </c>
      <c r="G82" s="608" t="s">
        <v>1803</v>
      </c>
      <c r="H82" s="488"/>
      <c r="I82" s="488"/>
      <c r="J82" s="488"/>
      <c r="K82" s="488"/>
      <c r="L82" s="488"/>
      <c r="M82" s="1129"/>
      <c r="N82" s="2751"/>
      <c r="O82" s="2751"/>
      <c r="P82" s="2741"/>
      <c r="Q82" s="2736"/>
      <c r="R82" s="2722"/>
      <c r="S82" s="2722"/>
      <c r="T82" s="2722"/>
      <c r="U82" s="2722"/>
      <c r="V82" s="2722"/>
      <c r="W82" s="2722"/>
      <c r="X82" s="2722"/>
      <c r="Y82" s="2722"/>
      <c r="Z82" s="2722"/>
      <c r="AA82" s="2722"/>
      <c r="AB82" s="2722"/>
      <c r="AC82" s="2722"/>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4.4" thickTop="1">
      <c r="A88" s="528"/>
      <c r="B88" s="487" t="str">
        <f>B26</f>
        <v>平面位置/可视性</v>
      </c>
      <c r="C88" s="503"/>
      <c r="D88" s="503"/>
      <c r="E88" s="503"/>
      <c r="F88" s="1926"/>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4.4"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4.4"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4.4" thickTop="1">
      <c r="A92" s="483"/>
      <c r="B92" s="487" t="str">
        <f>B28</f>
        <v>楼层</v>
      </c>
      <c r="C92" s="503"/>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4.4" thickBot="1">
      <c r="A93" s="483"/>
      <c r="B93" s="492"/>
      <c r="C93" s="485"/>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4.4"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4.4"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4.4"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4.4"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4.4"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4.4" thickBot="1">
      <c r="A99" s="1927"/>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ht="14.4">
      <c r="A100" s="476" t="s">
        <v>1694</v>
      </c>
      <c r="B100" s="477" t="s">
        <v>1805</v>
      </c>
      <c r="C100" s="479"/>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c r="D103" s="544"/>
      <c r="E103" s="544"/>
      <c r="F103" s="544"/>
      <c r="G103" s="544"/>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4.4" thickBot="1">
      <c r="A104" s="502"/>
      <c r="B104" s="492"/>
      <c r="C104" s="509"/>
      <c r="D104" s="485"/>
      <c r="E104" s="485"/>
      <c r="F104" s="485"/>
      <c r="G104" s="485"/>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4.4"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1"/>
      <c r="O123" s="2751"/>
      <c r="P123" s="2741"/>
      <c r="Q123" s="2736"/>
      <c r="R123" s="2722"/>
      <c r="S123" s="2722"/>
      <c r="T123" s="2722"/>
      <c r="U123" s="2722"/>
      <c r="V123" s="2722"/>
      <c r="W123" s="2722"/>
      <c r="X123" s="2722"/>
      <c r="Y123" s="2722"/>
      <c r="Z123" s="2722"/>
      <c r="AA123" s="2722"/>
      <c r="AB123" s="2722"/>
      <c r="AC123" s="2722"/>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4.4"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4.4"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4.4"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4.4"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4.4"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4.4" thickBot="1">
      <c r="A131" s="1927"/>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1810</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375.87</v>
      </c>
      <c r="E3" s="1953"/>
      <c r="F3" s="909"/>
      <c r="G3" s="908"/>
      <c r="H3" s="908"/>
      <c r="I3" s="908"/>
      <c r="J3" s="908"/>
      <c r="K3" s="910"/>
      <c r="L3" s="2731"/>
      <c r="M3" s="2732"/>
      <c r="N3" s="2732"/>
      <c r="O3" s="2732"/>
      <c r="P3" s="699"/>
      <c r="Q3" s="699"/>
      <c r="R3" s="699"/>
      <c r="S3" s="699"/>
      <c r="T3" s="699"/>
      <c r="U3" s="699"/>
      <c r="V3" s="699"/>
      <c r="W3" s="699"/>
      <c r="X3" s="699"/>
      <c r="Y3" s="699"/>
      <c r="Z3" s="699"/>
      <c r="AA3" s="699"/>
      <c r="AB3" s="699"/>
      <c r="AC3" s="700"/>
    </row>
    <row r="4" spans="1:29" ht="14.4">
      <c r="A4" s="355" t="s">
        <v>1769</v>
      </c>
      <c r="B4" s="356"/>
      <c r="C4" s="3689" t="s">
        <v>1770</v>
      </c>
      <c r="D4" s="3690"/>
      <c r="E4" s="3691" t="s">
        <v>1771</v>
      </c>
      <c r="F4" s="3692"/>
      <c r="G4" s="3689" t="s">
        <v>1772</v>
      </c>
      <c r="H4" s="3690"/>
      <c r="I4" s="3689" t="s">
        <v>1773</v>
      </c>
      <c r="J4" s="3690"/>
      <c r="K4" s="559" t="s">
        <v>1774</v>
      </c>
      <c r="L4" s="2712"/>
      <c r="M4" s="2713"/>
      <c r="N4" s="2713"/>
      <c r="O4" s="2713"/>
      <c r="P4" s="3741" t="s">
        <v>1775</v>
      </c>
      <c r="Q4" s="3742"/>
      <c r="R4" s="3745" t="s">
        <v>1771</v>
      </c>
      <c r="S4" s="3746"/>
      <c r="T4" s="3745" t="s">
        <v>1772</v>
      </c>
      <c r="U4" s="3746"/>
      <c r="V4" s="3747" t="s">
        <v>1773</v>
      </c>
      <c r="W4" s="3747"/>
      <c r="X4" s="1957"/>
      <c r="Y4" s="3745" t="s">
        <v>1775</v>
      </c>
      <c r="Z4" s="3746"/>
      <c r="AA4" s="3749" t="s">
        <v>1771</v>
      </c>
      <c r="AB4" s="3749" t="s">
        <v>1772</v>
      </c>
      <c r="AC4" s="3738" t="s">
        <v>1773</v>
      </c>
    </row>
    <row r="5" spans="1:29">
      <c r="A5" s="358"/>
      <c r="B5" s="359"/>
      <c r="C5" s="3707" t="s">
        <v>1673</v>
      </c>
      <c r="D5" s="3700"/>
      <c r="E5" s="3734" t="s">
        <v>1674</v>
      </c>
      <c r="F5" s="3702"/>
      <c r="G5" s="3707" t="s">
        <v>1675</v>
      </c>
      <c r="H5" s="3700"/>
      <c r="I5" s="3707" t="s">
        <v>1676</v>
      </c>
      <c r="J5" s="3700"/>
      <c r="K5" s="559"/>
      <c r="L5" s="2712"/>
      <c r="M5" s="2713"/>
      <c r="N5" s="2713"/>
      <c r="O5" s="2713"/>
      <c r="P5" s="3743"/>
      <c r="Q5" s="3696"/>
      <c r="R5" s="3681"/>
      <c r="S5" s="3682"/>
      <c r="T5" s="3681"/>
      <c r="U5" s="3682"/>
      <c r="V5" s="3685"/>
      <c r="W5" s="3685"/>
      <c r="X5" s="1354"/>
      <c r="Y5" s="3681"/>
      <c r="Z5" s="3682"/>
      <c r="AA5" s="3687"/>
      <c r="AB5" s="3687"/>
      <c r="AC5" s="3739"/>
    </row>
    <row r="6" spans="1:29" ht="15" thickBot="1">
      <c r="A6" s="360"/>
      <c r="B6" s="361"/>
      <c r="C6" s="3703" t="s">
        <v>1677</v>
      </c>
      <c r="D6" s="3704"/>
      <c r="E6" s="3705" t="s">
        <v>1677</v>
      </c>
      <c r="F6" s="3706"/>
      <c r="G6" s="3703" t="s">
        <v>1677</v>
      </c>
      <c r="H6" s="3704"/>
      <c r="I6" s="3703" t="s">
        <v>1677</v>
      </c>
      <c r="J6" s="3704"/>
      <c r="K6" s="559" t="s">
        <v>1678</v>
      </c>
      <c r="L6" s="2712"/>
      <c r="M6" s="2713"/>
      <c r="N6" s="2713"/>
      <c r="O6" s="2713"/>
      <c r="P6" s="3744"/>
      <c r="Q6" s="3698"/>
      <c r="R6" s="3681"/>
      <c r="S6" s="3682"/>
      <c r="T6" s="3683"/>
      <c r="U6" s="3684"/>
      <c r="V6" s="3685"/>
      <c r="W6" s="3685"/>
      <c r="X6" s="1354"/>
      <c r="Y6" s="3683"/>
      <c r="Z6" s="3684"/>
      <c r="AA6" s="3688"/>
      <c r="AB6" s="3688"/>
      <c r="AC6" s="3740"/>
    </row>
    <row r="7" spans="1:29" s="108" customFormat="1" ht="15" thickBot="1">
      <c r="A7" s="362" t="s">
        <v>1679</v>
      </c>
      <c r="B7" s="363"/>
      <c r="C7" s="364">
        <f>'数据-取费表'!B2</f>
        <v>45622</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48" t="s">
        <v>1680</v>
      </c>
      <c r="Q7" s="3676"/>
      <c r="R7" s="701" t="s">
        <v>14</v>
      </c>
      <c r="S7" s="702">
        <f t="shared" ref="S7:S15" si="0">F7</f>
        <v>0</v>
      </c>
      <c r="T7" s="701" t="s">
        <v>14</v>
      </c>
      <c r="U7" s="702">
        <f t="shared" ref="U7:U15" si="1">H7</f>
        <v>0</v>
      </c>
      <c r="V7" s="701" t="s">
        <v>14</v>
      </c>
      <c r="W7" s="702">
        <f t="shared" ref="W7:W15" si="2">J7</f>
        <v>0</v>
      </c>
      <c r="X7" s="703"/>
      <c r="Y7" s="3675" t="s">
        <v>1680</v>
      </c>
      <c r="Z7" s="3677"/>
      <c r="AA7" s="704" t="e">
        <f>D7/F7</f>
        <v>#DIV/0!</v>
      </c>
      <c r="AB7" s="704" t="e">
        <f>D7/H7</f>
        <v>#DIV/0!</v>
      </c>
      <c r="AC7" s="1958"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48" t="s">
        <v>1683</v>
      </c>
      <c r="Q8" s="3677"/>
      <c r="R8" s="701" t="s">
        <v>14</v>
      </c>
      <c r="S8" s="702">
        <f t="shared" si="0"/>
        <v>100</v>
      </c>
      <c r="T8" s="701" t="s">
        <v>14</v>
      </c>
      <c r="U8" s="702">
        <f t="shared" si="1"/>
        <v>100</v>
      </c>
      <c r="V8" s="701" t="s">
        <v>14</v>
      </c>
      <c r="W8" s="702">
        <f t="shared" si="2"/>
        <v>100</v>
      </c>
      <c r="X8" s="703"/>
      <c r="Y8" s="3675" t="s">
        <v>1683</v>
      </c>
      <c r="Z8" s="3677"/>
      <c r="AA8" s="704">
        <f t="shared" ref="AA8:AA47" si="3">D8/F8</f>
        <v>1</v>
      </c>
      <c r="AB8" s="704">
        <f t="shared" ref="AB8:AB47" si="4">D8/H8</f>
        <v>1</v>
      </c>
      <c r="AC8" s="1958">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678" t="s">
        <v>1686</v>
      </c>
      <c r="Q9" s="1342"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1958">
        <f t="shared" si="5"/>
        <v>1</v>
      </c>
    </row>
    <row r="10" spans="1:29" s="378" customFormat="1" ht="28.8">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8"/>
      <c r="Q10" s="1342"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1958">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8"/>
      <c r="Q11" s="1342" t="str">
        <f t="shared" si="6"/>
        <v>容积率</v>
      </c>
      <c r="R11" s="701" t="s">
        <v>14</v>
      </c>
      <c r="S11" s="702">
        <f t="shared" si="0"/>
        <v>100</v>
      </c>
      <c r="T11" s="701" t="s">
        <v>14</v>
      </c>
      <c r="U11" s="702">
        <f t="shared" si="1"/>
        <v>100</v>
      </c>
      <c r="V11" s="701" t="s">
        <v>14</v>
      </c>
      <c r="W11" s="702">
        <f t="shared" si="2"/>
        <v>100</v>
      </c>
      <c r="X11" s="703"/>
      <c r="Y11" s="3565"/>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4"/>
      <c r="M12" s="2715"/>
      <c r="N12" s="2715"/>
      <c r="O12" s="2715"/>
      <c r="P12" s="3678"/>
      <c r="Q12" s="1342">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19"/>
      <c r="M13" s="2713"/>
      <c r="N13" s="2713"/>
      <c r="O13" s="2713"/>
      <c r="P13" s="3678"/>
      <c r="Q13" s="1342">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1958">
        <f t="shared" si="5"/>
        <v>1</v>
      </c>
    </row>
    <row r="14" spans="1:29" ht="15.6"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19"/>
      <c r="M14" s="2713"/>
      <c r="N14" s="2713"/>
      <c r="O14" s="2713"/>
      <c r="P14" s="3678"/>
      <c r="Q14" s="1342">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1958">
        <f t="shared" si="5"/>
        <v>1</v>
      </c>
    </row>
    <row r="15" spans="1:29" ht="69">
      <c r="A15" s="391" t="s">
        <v>1690</v>
      </c>
      <c r="B15" s="577" t="s">
        <v>1811</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666" t="s">
        <v>1691</v>
      </c>
      <c r="Q15" s="1351" t="str">
        <f t="shared" si="6"/>
        <v>办公集聚程度</v>
      </c>
      <c r="R15" s="705" t="s">
        <v>14</v>
      </c>
      <c r="S15" s="706">
        <f t="shared" si="0"/>
        <v>100</v>
      </c>
      <c r="T15" s="705" t="s">
        <v>14</v>
      </c>
      <c r="U15" s="706">
        <f t="shared" si="1"/>
        <v>100</v>
      </c>
      <c r="V15" s="705" t="s">
        <v>14</v>
      </c>
      <c r="W15" s="706">
        <f t="shared" si="2"/>
        <v>100</v>
      </c>
      <c r="X15" s="1354"/>
      <c r="Y15" s="3668" t="s">
        <v>1691</v>
      </c>
      <c r="Z15" s="1355" t="str">
        <f t="shared" si="7"/>
        <v>办公集聚程度</v>
      </c>
      <c r="AA15" s="1352">
        <f t="shared" si="3"/>
        <v>1</v>
      </c>
      <c r="AB15" s="1352">
        <f t="shared" si="4"/>
        <v>1</v>
      </c>
      <c r="AC15" s="1961">
        <f t="shared" si="5"/>
        <v>1</v>
      </c>
    </row>
    <row r="16" spans="1:29" ht="15">
      <c r="A16" s="379"/>
      <c r="B16" s="578"/>
      <c r="C16" s="1903"/>
      <c r="D16" s="399"/>
      <c r="E16" s="398"/>
      <c r="F16" s="399"/>
      <c r="G16" s="1903"/>
      <c r="H16" s="401"/>
      <c r="I16" s="398"/>
      <c r="J16" s="399"/>
      <c r="K16" s="564"/>
      <c r="L16" s="2719"/>
      <c r="M16" s="2713"/>
      <c r="N16" s="2713"/>
      <c r="O16" s="2713"/>
      <c r="P16" s="3667"/>
      <c r="Q16" s="1351"/>
      <c r="R16" s="705"/>
      <c r="S16" s="706"/>
      <c r="T16" s="705"/>
      <c r="U16" s="706"/>
      <c r="V16" s="705"/>
      <c r="W16" s="706"/>
      <c r="X16" s="1354"/>
      <c r="Y16" s="3669"/>
      <c r="Z16" s="1355"/>
      <c r="AA16" s="1352">
        <v>1</v>
      </c>
      <c r="AB16" s="1352">
        <v>1</v>
      </c>
      <c r="AC16" s="1961">
        <v>1</v>
      </c>
    </row>
    <row r="17" spans="1:29" ht="165.6">
      <c r="A17" s="379"/>
      <c r="B17" s="579" t="s">
        <v>1259</v>
      </c>
      <c r="C17" s="1962" t="str">
        <f>估价对象房地状况!C6</f>
        <v>估价对象周边有24路、117路、123路、132路、135路、413路、515路等多条公交线路，地铁2号线及13号线换乘站（东直门站），东直门长途汽车站等，综合评价交通便捷度较好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667"/>
      <c r="Q17" s="1351" t="str">
        <f>B17</f>
        <v>交通便捷度</v>
      </c>
      <c r="R17" s="705" t="s">
        <v>14</v>
      </c>
      <c r="S17" s="706">
        <f>F17</f>
        <v>100</v>
      </c>
      <c r="T17" s="705" t="s">
        <v>14</v>
      </c>
      <c r="U17" s="706">
        <f>H17</f>
        <v>100</v>
      </c>
      <c r="V17" s="705" t="s">
        <v>14</v>
      </c>
      <c r="W17" s="706">
        <f>J17</f>
        <v>100</v>
      </c>
      <c r="X17" s="1354"/>
      <c r="Y17" s="3669"/>
      <c r="Z17" s="1355" t="str">
        <f>Q17</f>
        <v>交通便捷度</v>
      </c>
      <c r="AA17" s="1352">
        <f t="shared" si="3"/>
        <v>1</v>
      </c>
      <c r="AB17" s="1352">
        <f t="shared" si="4"/>
        <v>1</v>
      </c>
      <c r="AC17" s="1961">
        <f t="shared" si="5"/>
        <v>1</v>
      </c>
    </row>
    <row r="18" spans="1:29" ht="15">
      <c r="A18" s="379"/>
      <c r="B18" s="580"/>
      <c r="C18" s="1963"/>
      <c r="D18" s="401"/>
      <c r="E18" s="1901"/>
      <c r="F18" s="401"/>
      <c r="G18" s="1902"/>
      <c r="H18" s="399"/>
      <c r="I18" s="1902"/>
      <c r="J18" s="399"/>
      <c r="K18" s="564"/>
      <c r="L18" s="2719"/>
      <c r="M18" s="2713"/>
      <c r="N18" s="2713"/>
      <c r="O18" s="2713"/>
      <c r="P18" s="3667"/>
      <c r="Q18" s="1351"/>
      <c r="R18" s="705"/>
      <c r="S18" s="706"/>
      <c r="T18" s="705"/>
      <c r="U18" s="706"/>
      <c r="V18" s="705"/>
      <c r="W18" s="706"/>
      <c r="X18" s="1354"/>
      <c r="Y18" s="3669"/>
      <c r="Z18" s="1355"/>
      <c r="AA18" s="1352">
        <v>1</v>
      </c>
      <c r="AB18" s="1352">
        <v>1</v>
      </c>
      <c r="AC18" s="1961">
        <v>1</v>
      </c>
    </row>
    <row r="19" spans="1:29" ht="41.4">
      <c r="A19" s="379"/>
      <c r="B19" s="579" t="s">
        <v>1812</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667"/>
      <c r="Q19" s="1351" t="str">
        <f>B19</f>
        <v>公共配套设施</v>
      </c>
      <c r="R19" s="705" t="s">
        <v>14</v>
      </c>
      <c r="S19" s="706">
        <f>F19</f>
        <v>100</v>
      </c>
      <c r="T19" s="705" t="s">
        <v>14</v>
      </c>
      <c r="U19" s="706">
        <f>H19</f>
        <v>100</v>
      </c>
      <c r="V19" s="705" t="s">
        <v>14</v>
      </c>
      <c r="W19" s="706">
        <f>J19</f>
        <v>100</v>
      </c>
      <c r="X19" s="1354"/>
      <c r="Y19" s="3669"/>
      <c r="Z19" s="1355" t="str">
        <f>Q19</f>
        <v>公共配套设施</v>
      </c>
      <c r="AA19" s="1352">
        <f t="shared" si="3"/>
        <v>1</v>
      </c>
      <c r="AB19" s="1352">
        <f t="shared" si="4"/>
        <v>1</v>
      </c>
      <c r="AC19" s="1961">
        <f t="shared" si="5"/>
        <v>1</v>
      </c>
    </row>
    <row r="20" spans="1:29" ht="15">
      <c r="A20" s="379"/>
      <c r="B20" s="580"/>
      <c r="C20" s="1903"/>
      <c r="D20" s="399"/>
      <c r="E20" s="1896"/>
      <c r="F20" s="399"/>
      <c r="G20" s="1897"/>
      <c r="H20" s="399"/>
      <c r="I20" s="1897"/>
      <c r="J20" s="399"/>
      <c r="K20" s="564"/>
      <c r="L20" s="2719"/>
      <c r="M20" s="2713"/>
      <c r="N20" s="2713"/>
      <c r="O20" s="2713"/>
      <c r="P20" s="3667"/>
      <c r="Q20" s="1351"/>
      <c r="R20" s="705"/>
      <c r="S20" s="706"/>
      <c r="T20" s="705"/>
      <c r="U20" s="706"/>
      <c r="V20" s="705"/>
      <c r="W20" s="706"/>
      <c r="X20" s="1354"/>
      <c r="Y20" s="3669"/>
      <c r="Z20" s="1355"/>
      <c r="AA20" s="1352">
        <v>1</v>
      </c>
      <c r="AB20" s="1352">
        <v>1</v>
      </c>
      <c r="AC20" s="1961">
        <v>1</v>
      </c>
    </row>
    <row r="21" spans="1:29" ht="15">
      <c r="A21" s="379"/>
      <c r="B21" s="581" t="s">
        <v>1813</v>
      </c>
      <c r="C21" s="1962"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667"/>
      <c r="Q21" s="1351" t="str">
        <f>B21</f>
        <v>基础设施水平</v>
      </c>
      <c r="R21" s="705" t="s">
        <v>14</v>
      </c>
      <c r="S21" s="706">
        <f>F21</f>
        <v>100</v>
      </c>
      <c r="T21" s="705" t="s">
        <v>14</v>
      </c>
      <c r="U21" s="706">
        <f>H21</f>
        <v>100</v>
      </c>
      <c r="V21" s="705" t="s">
        <v>14</v>
      </c>
      <c r="W21" s="706">
        <f>J21</f>
        <v>100</v>
      </c>
      <c r="X21" s="1354"/>
      <c r="Y21" s="3669"/>
      <c r="Z21" s="1355" t="str">
        <f>Q21</f>
        <v>基础设施水平</v>
      </c>
      <c r="AA21" s="1352">
        <f t="shared" ref="AA21" si="8">D21/F21</f>
        <v>1</v>
      </c>
      <c r="AB21" s="1352">
        <f t="shared" ref="AB21" si="9">D21/H21</f>
        <v>1</v>
      </c>
      <c r="AC21" s="1961">
        <f t="shared" ref="AC21" si="10">D21/J21</f>
        <v>1</v>
      </c>
    </row>
    <row r="22" spans="1:29" ht="15">
      <c r="A22" s="379"/>
      <c r="B22" s="581"/>
      <c r="C22" s="1963"/>
      <c r="D22" s="399"/>
      <c r="E22" s="398"/>
      <c r="F22" s="399"/>
      <c r="G22" s="1903"/>
      <c r="H22" s="399"/>
      <c r="I22" s="1903"/>
      <c r="J22" s="399"/>
      <c r="K22" s="1130"/>
      <c r="L22" s="2719"/>
      <c r="M22" s="2713"/>
      <c r="N22" s="2713"/>
      <c r="O22" s="2713"/>
      <c r="P22" s="3667"/>
      <c r="Q22" s="1351"/>
      <c r="R22" s="705"/>
      <c r="S22" s="706"/>
      <c r="T22" s="705"/>
      <c r="U22" s="706"/>
      <c r="V22" s="705"/>
      <c r="W22" s="706"/>
      <c r="X22" s="1354"/>
      <c r="Y22" s="3669"/>
      <c r="Z22" s="1355"/>
      <c r="AA22" s="1352">
        <v>1</v>
      </c>
      <c r="AB22" s="1352">
        <v>1</v>
      </c>
      <c r="AC22" s="1961">
        <v>1</v>
      </c>
    </row>
    <row r="23" spans="1:29" ht="96.6">
      <c r="A23" s="379"/>
      <c r="B23" s="579" t="s">
        <v>1814</v>
      </c>
      <c r="C23" s="1962" t="str">
        <f>估价对象房地状况!C9</f>
        <v>区域自然环境：亮马河、东城区亮马河公园；人文环境：工人体育场、东直门外清真寺；综合评价环境状况较好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667"/>
      <c r="Q23" s="1351" t="str">
        <f>B23</f>
        <v>环境质量</v>
      </c>
      <c r="R23" s="705" t="s">
        <v>14</v>
      </c>
      <c r="S23" s="706">
        <f>F23</f>
        <v>100</v>
      </c>
      <c r="T23" s="705" t="s">
        <v>14</v>
      </c>
      <c r="U23" s="706">
        <f>H23</f>
        <v>100</v>
      </c>
      <c r="V23" s="705" t="s">
        <v>14</v>
      </c>
      <c r="W23" s="706">
        <f>J23</f>
        <v>100</v>
      </c>
      <c r="X23" s="1354"/>
      <c r="Y23" s="3669"/>
      <c r="Z23" s="1355" t="str">
        <f>Q23</f>
        <v>环境质量</v>
      </c>
      <c r="AA23" s="1352">
        <f t="shared" si="3"/>
        <v>1</v>
      </c>
      <c r="AB23" s="1352">
        <f t="shared" si="4"/>
        <v>1</v>
      </c>
      <c r="AC23" s="1961">
        <f t="shared" si="5"/>
        <v>1</v>
      </c>
    </row>
    <row r="24" spans="1:29" ht="15">
      <c r="A24" s="379"/>
      <c r="B24" s="581"/>
      <c r="C24" s="1903"/>
      <c r="D24" s="399"/>
      <c r="E24" s="1896"/>
      <c r="F24" s="399"/>
      <c r="G24" s="1897"/>
      <c r="H24" s="399"/>
      <c r="I24" s="1897"/>
      <c r="J24" s="399"/>
      <c r="K24" s="564"/>
      <c r="L24" s="2719"/>
      <c r="M24" s="2713"/>
      <c r="N24" s="2713"/>
      <c r="O24" s="2713"/>
      <c r="P24" s="3667"/>
      <c r="Q24" s="1351"/>
      <c r="R24" s="705"/>
      <c r="S24" s="706"/>
      <c r="T24" s="705"/>
      <c r="U24" s="706"/>
      <c r="V24" s="705"/>
      <c r="W24" s="706"/>
      <c r="X24" s="1354"/>
      <c r="Y24" s="3669"/>
      <c r="Z24" s="1355"/>
      <c r="AA24" s="1352">
        <v>1</v>
      </c>
      <c r="AB24" s="1352">
        <v>1</v>
      </c>
      <c r="AC24" s="1961">
        <v>1</v>
      </c>
    </row>
    <row r="25" spans="1:29" ht="28.8">
      <c r="A25" s="358"/>
      <c r="B25" s="579" t="s">
        <v>1815</v>
      </c>
      <c r="C25" s="1907"/>
      <c r="D25" s="386">
        <v>100</v>
      </c>
      <c r="E25" s="385"/>
      <c r="F25" s="386">
        <f>SUMIF(87:87,E26,88:88)-SUMIF(87:87,C26,88:88)+100</f>
        <v>100</v>
      </c>
      <c r="G25" s="1907"/>
      <c r="H25" s="386">
        <f>SUMIF(87:87,G26,88:88)-SUMIF(87:87,C26,88:88)+100</f>
        <v>100</v>
      </c>
      <c r="I25" s="385"/>
      <c r="J25" s="386">
        <f>SUMIF(87:87,I26,88:88)-SUMIF(87:87,C26,88:88)+100</f>
        <v>100</v>
      </c>
      <c r="K25" s="563"/>
      <c r="L25" s="2719"/>
      <c r="M25" s="2713"/>
      <c r="N25" s="2713"/>
      <c r="O25" s="2713"/>
      <c r="P25" s="3667"/>
      <c r="Q25" s="1351" t="str">
        <f>B25</f>
        <v>毗邻道路的类型与等级</v>
      </c>
      <c r="R25" s="705" t="s">
        <v>14</v>
      </c>
      <c r="S25" s="706">
        <f>F25</f>
        <v>100</v>
      </c>
      <c r="T25" s="705" t="s">
        <v>14</v>
      </c>
      <c r="U25" s="706">
        <f>H25</f>
        <v>100</v>
      </c>
      <c r="V25" s="705" t="s">
        <v>14</v>
      </c>
      <c r="W25" s="706">
        <f>J25</f>
        <v>100</v>
      </c>
      <c r="X25" s="1354"/>
      <c r="Y25" s="3669"/>
      <c r="Z25" s="1355" t="str">
        <f>Q25</f>
        <v>毗邻道路的类型与等级</v>
      </c>
      <c r="AA25" s="1352">
        <f t="shared" si="3"/>
        <v>1</v>
      </c>
      <c r="AB25" s="1352">
        <f t="shared" si="4"/>
        <v>1</v>
      </c>
      <c r="AC25" s="1961">
        <f t="shared" si="5"/>
        <v>1</v>
      </c>
    </row>
    <row r="26" spans="1:29" ht="15">
      <c r="A26" s="358"/>
      <c r="B26" s="580"/>
      <c r="C26" s="582"/>
      <c r="D26" s="386"/>
      <c r="E26" s="565"/>
      <c r="F26" s="386"/>
      <c r="G26" s="582"/>
      <c r="H26" s="386"/>
      <c r="I26" s="565"/>
      <c r="J26" s="386"/>
      <c r="K26" s="564"/>
      <c r="L26" s="2719"/>
      <c r="M26" s="2713"/>
      <c r="N26" s="2713"/>
      <c r="O26" s="2713"/>
      <c r="P26" s="3667"/>
      <c r="Q26" s="1351"/>
      <c r="R26" s="705"/>
      <c r="S26" s="706"/>
      <c r="T26" s="705"/>
      <c r="U26" s="706"/>
      <c r="V26" s="705"/>
      <c r="W26" s="706"/>
      <c r="X26" s="1354"/>
      <c r="Y26" s="3669"/>
      <c r="Z26" s="1355"/>
      <c r="AA26" s="1352">
        <v>1</v>
      </c>
      <c r="AB26" s="1352">
        <v>1</v>
      </c>
      <c r="AC26" s="1961">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667"/>
      <c r="Q27" s="1351" t="str">
        <f t="shared" ref="Q27:Q47" si="11">B27</f>
        <v>楼层</v>
      </c>
      <c r="R27" s="705" t="s">
        <v>14</v>
      </c>
      <c r="S27" s="706">
        <f>F27</f>
        <v>100</v>
      </c>
      <c r="T27" s="705" t="s">
        <v>14</v>
      </c>
      <c r="U27" s="706">
        <f>H27</f>
        <v>100</v>
      </c>
      <c r="V27" s="705" t="s">
        <v>14</v>
      </c>
      <c r="W27" s="706">
        <f>J27</f>
        <v>100</v>
      </c>
      <c r="X27" s="1354"/>
      <c r="Y27" s="3669"/>
      <c r="Z27" s="1355" t="str">
        <f>Q27</f>
        <v>楼层</v>
      </c>
      <c r="AA27" s="1352">
        <f t="shared" si="3"/>
        <v>1</v>
      </c>
      <c r="AB27" s="1352">
        <f t="shared" si="4"/>
        <v>1</v>
      </c>
      <c r="AC27" s="1961">
        <f t="shared" si="5"/>
        <v>1</v>
      </c>
    </row>
    <row r="28" spans="1:29" s="108" customFormat="1" ht="15">
      <c r="A28" s="382"/>
      <c r="B28" s="579" t="s">
        <v>1816</v>
      </c>
      <c r="C28" s="1964"/>
      <c r="D28" s="413">
        <v>100</v>
      </c>
      <c r="E28" s="1955"/>
      <c r="F28" s="413">
        <f>SUMIF(91:91,E28,92:92)-SUMIF(91:91,C28,92:92)+100</f>
        <v>100</v>
      </c>
      <c r="G28" s="1964"/>
      <c r="H28" s="413">
        <f>SUMIF(91:91,G28,92:92)-SUMIF(91:91,C28,92:92)+100</f>
        <v>100</v>
      </c>
      <c r="I28" s="1955"/>
      <c r="J28" s="413">
        <f>SUMIF(91:91,I28,92:92)-SUMIF(91:91,C28,92:92)+100</f>
        <v>100</v>
      </c>
      <c r="K28" s="561"/>
      <c r="L28" s="2714"/>
      <c r="M28" s="2715"/>
      <c r="N28" s="2715"/>
      <c r="O28" s="2715"/>
      <c r="P28" s="3667"/>
      <c r="Q28" s="1342" t="str">
        <f t="shared" si="11"/>
        <v>朝向</v>
      </c>
      <c r="R28" s="701" t="s">
        <v>14</v>
      </c>
      <c r="S28" s="702">
        <f>F28</f>
        <v>100</v>
      </c>
      <c r="T28" s="701" t="s">
        <v>14</v>
      </c>
      <c r="U28" s="702">
        <f>H28</f>
        <v>100</v>
      </c>
      <c r="V28" s="701" t="s">
        <v>14</v>
      </c>
      <c r="W28" s="702">
        <f>J28</f>
        <v>100</v>
      </c>
      <c r="X28" s="703"/>
      <c r="Y28" s="3669"/>
      <c r="Z28" s="52" t="str">
        <f>Q28</f>
        <v>朝向</v>
      </c>
      <c r="AA28" s="1352">
        <f>D28/F28</f>
        <v>1</v>
      </c>
      <c r="AB28" s="1352">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19"/>
      <c r="M29" s="2713"/>
      <c r="N29" s="2713"/>
      <c r="O29" s="2713"/>
      <c r="P29" s="3667"/>
      <c r="Q29" s="1351">
        <f t="shared" si="11"/>
        <v>111</v>
      </c>
      <c r="R29" s="705" t="s">
        <v>14</v>
      </c>
      <c r="S29" s="706">
        <f t="shared" ref="S29:S47" si="12">F29</f>
        <v>100</v>
      </c>
      <c r="T29" s="705" t="s">
        <v>14</v>
      </c>
      <c r="U29" s="706">
        <f t="shared" ref="U29:U47" si="13">H29</f>
        <v>100</v>
      </c>
      <c r="V29" s="705" t="s">
        <v>14</v>
      </c>
      <c r="W29" s="706">
        <f t="shared" ref="W29:W47" si="14">J29</f>
        <v>100</v>
      </c>
      <c r="X29" s="1354"/>
      <c r="Y29" s="3669"/>
      <c r="Z29" s="1355">
        <f t="shared" ref="Z29:Z47" si="15">Q29</f>
        <v>111</v>
      </c>
      <c r="AA29" s="1352">
        <f t="shared" si="3"/>
        <v>1</v>
      </c>
      <c r="AB29" s="1352">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19"/>
      <c r="M30" s="2713"/>
      <c r="N30" s="2713"/>
      <c r="O30" s="2713"/>
      <c r="P30" s="3667"/>
      <c r="Q30" s="1351">
        <f t="shared" si="11"/>
        <v>111</v>
      </c>
      <c r="R30" s="705" t="s">
        <v>14</v>
      </c>
      <c r="S30" s="706">
        <f t="shared" si="12"/>
        <v>100</v>
      </c>
      <c r="T30" s="705" t="s">
        <v>14</v>
      </c>
      <c r="U30" s="706">
        <f t="shared" si="13"/>
        <v>100</v>
      </c>
      <c r="V30" s="705" t="s">
        <v>14</v>
      </c>
      <c r="W30" s="706">
        <f t="shared" si="14"/>
        <v>100</v>
      </c>
      <c r="X30" s="1354"/>
      <c r="Y30" s="3669"/>
      <c r="Z30" s="1355">
        <f t="shared" si="15"/>
        <v>111</v>
      </c>
      <c r="AA30" s="1352">
        <f t="shared" si="3"/>
        <v>1</v>
      </c>
      <c r="AB30" s="1352">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19"/>
      <c r="M31" s="2713"/>
      <c r="N31" s="2713"/>
      <c r="O31" s="2713"/>
      <c r="P31" s="3667"/>
      <c r="Q31" s="1351">
        <f t="shared" si="11"/>
        <v>111</v>
      </c>
      <c r="R31" s="705" t="s">
        <v>14</v>
      </c>
      <c r="S31" s="706">
        <f t="shared" si="12"/>
        <v>100</v>
      </c>
      <c r="T31" s="705" t="s">
        <v>14</v>
      </c>
      <c r="U31" s="706">
        <f t="shared" si="13"/>
        <v>100</v>
      </c>
      <c r="V31" s="705" t="s">
        <v>14</v>
      </c>
      <c r="W31" s="706">
        <f t="shared" si="14"/>
        <v>100</v>
      </c>
      <c r="X31" s="1354"/>
      <c r="Y31" s="3669"/>
      <c r="Z31" s="1355">
        <f t="shared" si="15"/>
        <v>111</v>
      </c>
      <c r="AA31" s="1352">
        <f t="shared" si="3"/>
        <v>1</v>
      </c>
      <c r="AB31" s="1352">
        <f t="shared" si="4"/>
        <v>1</v>
      </c>
      <c r="AC31" s="1961">
        <f t="shared" si="5"/>
        <v>1</v>
      </c>
    </row>
    <row r="32" spans="1:29" ht="15.6"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19"/>
      <c r="M32" s="2713"/>
      <c r="N32" s="2713"/>
      <c r="O32" s="2713"/>
      <c r="P32" s="3667"/>
      <c r="Q32" s="1351">
        <f t="shared" si="11"/>
        <v>111</v>
      </c>
      <c r="R32" s="705" t="s">
        <v>14</v>
      </c>
      <c r="S32" s="706">
        <f t="shared" si="12"/>
        <v>100</v>
      </c>
      <c r="T32" s="705" t="s">
        <v>14</v>
      </c>
      <c r="U32" s="706">
        <f t="shared" si="13"/>
        <v>100</v>
      </c>
      <c r="V32" s="705" t="s">
        <v>14</v>
      </c>
      <c r="W32" s="706">
        <f t="shared" si="14"/>
        <v>100</v>
      </c>
      <c r="X32" s="1354"/>
      <c r="Y32" s="3669"/>
      <c r="Z32" s="1355">
        <f t="shared" si="15"/>
        <v>111</v>
      </c>
      <c r="AA32" s="1352">
        <f t="shared" si="3"/>
        <v>1</v>
      </c>
      <c r="AB32" s="1352">
        <f t="shared" si="4"/>
        <v>1</v>
      </c>
      <c r="AC32" s="1961">
        <f t="shared" si="5"/>
        <v>1</v>
      </c>
    </row>
    <row r="33" spans="1:29" ht="15">
      <c r="A33" s="391" t="s">
        <v>1694</v>
      </c>
      <c r="B33" s="63" t="s">
        <v>1817</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19"/>
      <c r="M33" s="2713"/>
      <c r="N33" s="2713"/>
      <c r="O33" s="2713"/>
      <c r="P33" s="3670" t="s">
        <v>1696</v>
      </c>
      <c r="Q33" s="1351" t="str">
        <f t="shared" si="11"/>
        <v>建筑类型</v>
      </c>
      <c r="R33" s="705" t="s">
        <v>14</v>
      </c>
      <c r="S33" s="706">
        <f t="shared" si="12"/>
        <v>100</v>
      </c>
      <c r="T33" s="705" t="s">
        <v>14</v>
      </c>
      <c r="U33" s="706">
        <f t="shared" si="13"/>
        <v>100</v>
      </c>
      <c r="V33" s="705" t="s">
        <v>14</v>
      </c>
      <c r="W33" s="706">
        <f t="shared" si="14"/>
        <v>100</v>
      </c>
      <c r="X33" s="1354"/>
      <c r="Y33" s="3673" t="s">
        <v>1696</v>
      </c>
      <c r="Z33" s="1355" t="str">
        <f t="shared" si="15"/>
        <v>建筑类型</v>
      </c>
      <c r="AA33" s="1352">
        <f t="shared" si="3"/>
        <v>1</v>
      </c>
      <c r="AB33" s="1352">
        <f t="shared" si="4"/>
        <v>1</v>
      </c>
      <c r="AC33" s="1961">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2" t="e">
        <f t="shared" si="3"/>
        <v>#N/A</v>
      </c>
      <c r="AB34" s="1352" t="e">
        <f t="shared" si="4"/>
        <v>#N/A</v>
      </c>
      <c r="AC34" s="1961"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671"/>
      <c r="Q35" s="1351" t="str">
        <f t="shared" si="11"/>
        <v>建筑结构</v>
      </c>
      <c r="R35" s="705" t="s">
        <v>14</v>
      </c>
      <c r="S35" s="706">
        <f t="shared" si="12"/>
        <v>100</v>
      </c>
      <c r="T35" s="705" t="s">
        <v>14</v>
      </c>
      <c r="U35" s="706">
        <f t="shared" si="13"/>
        <v>100</v>
      </c>
      <c r="V35" s="705" t="s">
        <v>14</v>
      </c>
      <c r="W35" s="706">
        <f t="shared" si="14"/>
        <v>100</v>
      </c>
      <c r="X35" s="1354"/>
      <c r="Y35" s="3673"/>
      <c r="Z35" s="1355" t="str">
        <f t="shared" si="15"/>
        <v>建筑结构</v>
      </c>
      <c r="AA35" s="1352">
        <f t="shared" si="3"/>
        <v>1</v>
      </c>
      <c r="AB35" s="1352">
        <f t="shared" si="4"/>
        <v>1</v>
      </c>
      <c r="AC35" s="1961">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671"/>
      <c r="Q36" s="1351" t="str">
        <f t="shared" si="11"/>
        <v>公共部分装修</v>
      </c>
      <c r="R36" s="705" t="s">
        <v>14</v>
      </c>
      <c r="S36" s="706">
        <f t="shared" si="12"/>
        <v>100</v>
      </c>
      <c r="T36" s="705" t="s">
        <v>14</v>
      </c>
      <c r="U36" s="706">
        <f t="shared" si="13"/>
        <v>100</v>
      </c>
      <c r="V36" s="705" t="s">
        <v>14</v>
      </c>
      <c r="W36" s="706">
        <f t="shared" si="14"/>
        <v>100</v>
      </c>
      <c r="X36" s="1354"/>
      <c r="Y36" s="3673"/>
      <c r="Z36" s="1355" t="str">
        <f t="shared" si="15"/>
        <v>公共部分装修</v>
      </c>
      <c r="AA36" s="1352">
        <f t="shared" si="3"/>
        <v>1</v>
      </c>
      <c r="AB36" s="1352">
        <f t="shared" si="4"/>
        <v>1</v>
      </c>
      <c r="AC36" s="1961">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671"/>
      <c r="Q37" s="1351" t="str">
        <f t="shared" si="11"/>
        <v>成新度</v>
      </c>
      <c r="R37" s="705" t="s">
        <v>14</v>
      </c>
      <c r="S37" s="706" t="e">
        <f t="shared" si="12"/>
        <v>#N/A</v>
      </c>
      <c r="T37" s="705" t="s">
        <v>14</v>
      </c>
      <c r="U37" s="706" t="e">
        <f t="shared" si="13"/>
        <v>#N/A</v>
      </c>
      <c r="V37" s="705" t="s">
        <v>14</v>
      </c>
      <c r="W37" s="706" t="e">
        <f t="shared" si="14"/>
        <v>#N/A</v>
      </c>
      <c r="X37" s="1354"/>
      <c r="Y37" s="3673"/>
      <c r="Z37" s="1355" t="str">
        <f t="shared" si="15"/>
        <v>成新度</v>
      </c>
      <c r="AA37" s="1352" t="e">
        <f t="shared" si="3"/>
        <v>#N/A</v>
      </c>
      <c r="AB37" s="1352" t="e">
        <f t="shared" si="4"/>
        <v>#N/A</v>
      </c>
      <c r="AC37" s="1961"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671"/>
      <c r="Q38" s="1342"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8">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671" t="s">
        <v>1696</v>
      </c>
      <c r="Q39" s="1351" t="str">
        <f t="shared" si="11"/>
        <v>物业管理</v>
      </c>
      <c r="R39" s="705" t="s">
        <v>14</v>
      </c>
      <c r="S39" s="706">
        <f t="shared" si="12"/>
        <v>100</v>
      </c>
      <c r="T39" s="705" t="s">
        <v>14</v>
      </c>
      <c r="U39" s="706">
        <f t="shared" si="13"/>
        <v>100</v>
      </c>
      <c r="V39" s="705" t="s">
        <v>14</v>
      </c>
      <c r="W39" s="706">
        <f t="shared" si="14"/>
        <v>100</v>
      </c>
      <c r="X39" s="1354"/>
      <c r="Y39" s="3673" t="s">
        <v>1696</v>
      </c>
      <c r="Z39" s="1355" t="str">
        <f t="shared" si="15"/>
        <v>物业管理</v>
      </c>
      <c r="AA39" s="1352">
        <f t="shared" si="3"/>
        <v>1</v>
      </c>
      <c r="AB39" s="1352">
        <f t="shared" si="4"/>
        <v>1</v>
      </c>
      <c r="AC39" s="1961">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671"/>
      <c r="Q40" s="1351" t="str">
        <f t="shared" si="11"/>
        <v>市政基础设施</v>
      </c>
      <c r="R40" s="705" t="s">
        <v>14</v>
      </c>
      <c r="S40" s="706">
        <f t="shared" si="12"/>
        <v>100</v>
      </c>
      <c r="T40" s="705" t="s">
        <v>14</v>
      </c>
      <c r="U40" s="706">
        <f t="shared" si="13"/>
        <v>100</v>
      </c>
      <c r="V40" s="705" t="s">
        <v>14</v>
      </c>
      <c r="W40" s="706">
        <f t="shared" si="14"/>
        <v>100</v>
      </c>
      <c r="X40" s="1354"/>
      <c r="Y40" s="3673"/>
      <c r="Z40" s="1355" t="str">
        <f t="shared" si="15"/>
        <v>市政基础设施</v>
      </c>
      <c r="AA40" s="1352">
        <f t="shared" si="3"/>
        <v>1</v>
      </c>
      <c r="AB40" s="1352">
        <f t="shared" si="4"/>
        <v>1</v>
      </c>
      <c r="AC40" s="1961">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71"/>
      <c r="Q41" s="1351" t="str">
        <f t="shared" si="11"/>
        <v>层高</v>
      </c>
      <c r="R41" s="705" t="s">
        <v>14</v>
      </c>
      <c r="S41" s="706">
        <f t="shared" si="12"/>
        <v>100</v>
      </c>
      <c r="T41" s="705" t="s">
        <v>14</v>
      </c>
      <c r="U41" s="706">
        <f t="shared" si="13"/>
        <v>100</v>
      </c>
      <c r="V41" s="705" t="s">
        <v>14</v>
      </c>
      <c r="W41" s="706">
        <f t="shared" si="14"/>
        <v>100</v>
      </c>
      <c r="X41" s="1354"/>
      <c r="Y41" s="3673"/>
      <c r="Z41" s="1355" t="str">
        <f t="shared" si="15"/>
        <v>层高</v>
      </c>
      <c r="AA41" s="1352">
        <f t="shared" si="3"/>
        <v>1</v>
      </c>
      <c r="AB41" s="1352">
        <f t="shared" si="4"/>
        <v>1</v>
      </c>
      <c r="AC41" s="1961">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2">
        <f t="shared" si="3"/>
        <v>1</v>
      </c>
      <c r="AB42" s="1352">
        <f t="shared" si="4"/>
        <v>1</v>
      </c>
      <c r="AC42" s="1961">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671"/>
      <c r="Q43" s="1351" t="str">
        <f t="shared" si="11"/>
        <v>内部装修</v>
      </c>
      <c r="R43" s="705" t="s">
        <v>14</v>
      </c>
      <c r="S43" s="706">
        <f t="shared" si="12"/>
        <v>100</v>
      </c>
      <c r="T43" s="705" t="s">
        <v>14</v>
      </c>
      <c r="U43" s="706">
        <f t="shared" si="13"/>
        <v>100</v>
      </c>
      <c r="V43" s="705" t="s">
        <v>14</v>
      </c>
      <c r="W43" s="706">
        <f t="shared" si="14"/>
        <v>100</v>
      </c>
      <c r="X43" s="1354"/>
      <c r="Y43" s="3673"/>
      <c r="Z43" s="1355" t="str">
        <f t="shared" si="15"/>
        <v>内部装修</v>
      </c>
      <c r="AA43" s="1352">
        <f t="shared" si="3"/>
        <v>1</v>
      </c>
      <c r="AB43" s="1352">
        <f t="shared" si="4"/>
        <v>1</v>
      </c>
      <c r="AC43" s="1961">
        <f t="shared" si="5"/>
        <v>1</v>
      </c>
    </row>
    <row r="44" spans="1:29" ht="28.8">
      <c r="A44" s="423"/>
      <c r="B44" s="375" t="s">
        <v>1707</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19"/>
      <c r="M44" s="2713"/>
      <c r="N44" s="2713"/>
      <c r="O44" s="2713"/>
      <c r="P44" s="3671"/>
      <c r="Q44" s="1351" t="str">
        <f t="shared" si="11"/>
        <v>内部装修维护情况</v>
      </c>
      <c r="R44" s="705" t="s">
        <v>14</v>
      </c>
      <c r="S44" s="706">
        <f t="shared" si="12"/>
        <v>100</v>
      </c>
      <c r="T44" s="705" t="s">
        <v>14</v>
      </c>
      <c r="U44" s="706">
        <f t="shared" si="13"/>
        <v>100</v>
      </c>
      <c r="V44" s="705" t="s">
        <v>14</v>
      </c>
      <c r="W44" s="706">
        <f t="shared" si="14"/>
        <v>100</v>
      </c>
      <c r="X44" s="1354"/>
      <c r="Y44" s="3673"/>
      <c r="Z44" s="1355" t="str">
        <f t="shared" si="15"/>
        <v>内部装修维护情况</v>
      </c>
      <c r="AA44" s="1352">
        <f t="shared" si="3"/>
        <v>1</v>
      </c>
      <c r="AB44" s="1352">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71"/>
      <c r="Q45" s="1342">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71"/>
      <c r="Q46" s="1351">
        <f t="shared" si="11"/>
        <v>111</v>
      </c>
      <c r="R46" s="705" t="s">
        <v>14</v>
      </c>
      <c r="S46" s="706">
        <f t="shared" si="12"/>
        <v>100</v>
      </c>
      <c r="T46" s="705" t="s">
        <v>14</v>
      </c>
      <c r="U46" s="706">
        <f t="shared" si="13"/>
        <v>100</v>
      </c>
      <c r="V46" s="705" t="s">
        <v>14</v>
      </c>
      <c r="W46" s="706">
        <f t="shared" si="14"/>
        <v>100</v>
      </c>
      <c r="X46" s="1354"/>
      <c r="Y46" s="3673"/>
      <c r="Z46" s="1355">
        <f t="shared" si="15"/>
        <v>111</v>
      </c>
      <c r="AA46" s="1352">
        <f t="shared" si="3"/>
        <v>1</v>
      </c>
      <c r="AB46" s="1352">
        <f t="shared" si="4"/>
        <v>1</v>
      </c>
      <c r="AC46" s="1961">
        <f t="shared" si="5"/>
        <v>1</v>
      </c>
    </row>
    <row r="47" spans="1:29" ht="15.6"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72"/>
      <c r="Q47" s="1351">
        <f t="shared" si="11"/>
        <v>111</v>
      </c>
      <c r="R47" s="705" t="s">
        <v>14</v>
      </c>
      <c r="S47" s="706">
        <f t="shared" si="12"/>
        <v>100</v>
      </c>
      <c r="T47" s="705" t="s">
        <v>14</v>
      </c>
      <c r="U47" s="706">
        <f t="shared" si="13"/>
        <v>100</v>
      </c>
      <c r="V47" s="705" t="s">
        <v>14</v>
      </c>
      <c r="W47" s="706">
        <f t="shared" si="14"/>
        <v>100</v>
      </c>
      <c r="X47" s="1354"/>
      <c r="Y47" s="3674"/>
      <c r="Z47" s="1355">
        <f t="shared" si="15"/>
        <v>111</v>
      </c>
      <c r="AA47" s="1352">
        <f t="shared" si="3"/>
        <v>1</v>
      </c>
      <c r="AB47" s="1352">
        <f t="shared" si="4"/>
        <v>1</v>
      </c>
      <c r="AC47" s="1961">
        <f t="shared" si="5"/>
        <v>1</v>
      </c>
    </row>
    <row r="48" spans="1:29" ht="14.4">
      <c r="A48" s="430" t="s">
        <v>1708</v>
      </c>
      <c r="B48" s="431"/>
      <c r="C48" s="1154" t="s">
        <v>0</v>
      </c>
      <c r="D48" s="1155"/>
      <c r="E48" s="1156"/>
      <c r="F48" s="1157"/>
      <c r="G48" s="1158"/>
      <c r="H48" s="1159"/>
      <c r="I48" s="1156"/>
      <c r="J48" s="436"/>
      <c r="K48" s="714"/>
      <c r="L48" s="2721"/>
      <c r="M48" s="2713"/>
      <c r="N48" s="2713"/>
      <c r="O48" s="2713"/>
      <c r="P48" s="3678" t="str">
        <f>A48</f>
        <v>成交单价（元/平方米）</v>
      </c>
      <c r="Q48" s="3661"/>
      <c r="R48" s="3662">
        <f>E48</f>
        <v>0</v>
      </c>
      <c r="S48" s="3662"/>
      <c r="T48" s="3662">
        <f>G48</f>
        <v>0</v>
      </c>
      <c r="U48" s="3662"/>
      <c r="V48" s="3662">
        <f>I48</f>
        <v>0</v>
      </c>
      <c r="W48" s="3662"/>
      <c r="X48" s="397"/>
      <c r="Y48" s="712"/>
      <c r="Z48" s="397"/>
      <c r="AA48" s="397"/>
      <c r="AB48" s="397"/>
      <c r="AC48" s="578"/>
    </row>
    <row r="49" spans="1:29" ht="15" thickBot="1">
      <c r="A49" s="437" t="s">
        <v>1793</v>
      </c>
      <c r="B49" s="438"/>
      <c r="C49" s="1160" t="e">
        <f>R50</f>
        <v>#DIV/0!</v>
      </c>
      <c r="D49" s="2316" t="s">
        <v>2136</v>
      </c>
      <c r="E49" s="1161" t="e">
        <f>R49</f>
        <v>#DIV/0!</v>
      </c>
      <c r="F49" s="2317"/>
      <c r="G49" s="1160" t="e">
        <f>T49</f>
        <v>#DIV/0!</v>
      </c>
      <c r="H49" s="2317"/>
      <c r="I49" s="1161" t="e">
        <f>V49</f>
        <v>#DIV/0!</v>
      </c>
      <c r="J49" s="2317"/>
      <c r="K49" s="2319">
        <f>F49+H49+J49</f>
        <v>0</v>
      </c>
      <c r="L49" s="2721"/>
      <c r="M49" s="2713"/>
      <c r="N49" s="2713"/>
      <c r="O49" s="2713"/>
      <c r="P49" s="3678" t="str">
        <f>A49</f>
        <v>比较价值（元/平方米）</v>
      </c>
      <c r="Q49" s="3661"/>
      <c r="R49" s="3662" t="e">
        <f>IF(F1="售价",ROUND(PRODUCT(R48,AA7:AA47),0),ROUND(PRODUCT(R48,AA7:AA47),1))</f>
        <v>#DIV/0!</v>
      </c>
      <c r="S49" s="3662"/>
      <c r="T49" s="3662" t="e">
        <f>IF(F1="售价",ROUND(PRODUCT(T48,AB7:AB47),0),ROUND(PRODUCT(T48,AB7:AB47),1))</f>
        <v>#DIV/0!</v>
      </c>
      <c r="U49" s="3662"/>
      <c r="V49" s="3662" t="e">
        <f>IF(F1="售价",ROUND(PRODUCT(V48,AC7:AC47),0),ROUND(PRODUCT(V48,AC7:AC47),1))</f>
        <v>#DIV/0!</v>
      </c>
      <c r="W49" s="3662"/>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1"/>
      <c r="M50" s="2713"/>
      <c r="N50" s="2713"/>
      <c r="O50" s="2713"/>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45"/>
      <c r="Y50" s="1945"/>
      <c r="Z50" s="1945"/>
      <c r="AA50" s="1945"/>
      <c r="AB50" s="1945"/>
      <c r="AC50" s="1946"/>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2.2" thickBot="1">
      <c r="A58" s="694" t="s">
        <v>1798</v>
      </c>
      <c r="B58" s="690"/>
      <c r="C58" s="695"/>
      <c r="D58" s="695"/>
      <c r="E58" s="695"/>
      <c r="F58" s="696"/>
      <c r="G58" s="696"/>
      <c r="H58" s="695"/>
      <c r="I58" s="695"/>
      <c r="J58" s="695"/>
      <c r="K58" s="697"/>
      <c r="L58" s="942"/>
      <c r="M58" s="940"/>
      <c r="N58" s="2766"/>
      <c r="O58" s="2766"/>
      <c r="P58" s="2755"/>
      <c r="Q58" s="2736"/>
      <c r="R58" s="2722"/>
      <c r="S58" s="2722"/>
      <c r="T58" s="2722"/>
      <c r="U58" s="2722"/>
      <c r="V58" s="2722"/>
      <c r="W58" s="2722"/>
      <c r="X58" s="2722"/>
      <c r="Y58" s="2722"/>
      <c r="Z58" s="2722"/>
      <c r="AA58" s="2722"/>
      <c r="AB58" s="2722"/>
      <c r="AC58" s="2722"/>
    </row>
    <row r="59" spans="1:29" s="457" customFormat="1" ht="14.4">
      <c r="A59" s="454" t="s">
        <v>1679</v>
      </c>
      <c r="B59" s="455"/>
      <c r="C59" s="1183" t="str">
        <f>YEAR(C7)&amp;"-"&amp;MONTH(C7)</f>
        <v>2024-11</v>
      </c>
      <c r="D59" s="1184">
        <f>EDATE(C59,-1)</f>
        <v>45566</v>
      </c>
      <c r="E59" s="1184">
        <f>EDATE(D59,-1)</f>
        <v>45536</v>
      </c>
      <c r="F59" s="1184">
        <f t="shared" ref="F59:O59" si="16">EDATE(E59,-1)</f>
        <v>45505</v>
      </c>
      <c r="G59" s="1184">
        <f t="shared" si="16"/>
        <v>45474</v>
      </c>
      <c r="H59" s="1184">
        <f t="shared" si="16"/>
        <v>45444</v>
      </c>
      <c r="I59" s="1184">
        <f t="shared" si="16"/>
        <v>45413</v>
      </c>
      <c r="J59" s="1184">
        <f t="shared" si="16"/>
        <v>45383</v>
      </c>
      <c r="K59" s="1184">
        <f t="shared" si="16"/>
        <v>45352</v>
      </c>
      <c r="L59" s="1184">
        <f t="shared" si="16"/>
        <v>45323</v>
      </c>
      <c r="M59" s="1184">
        <f t="shared" si="16"/>
        <v>45292</v>
      </c>
      <c r="N59" s="1184">
        <f t="shared" si="16"/>
        <v>45261</v>
      </c>
      <c r="O59" s="1184">
        <f t="shared" si="16"/>
        <v>45231</v>
      </c>
      <c r="P59" s="2756"/>
      <c r="Q59" s="2738"/>
      <c r="R59" s="2738"/>
      <c r="S59" s="2738"/>
      <c r="T59" s="2738"/>
      <c r="U59" s="2738"/>
      <c r="V59" s="2738"/>
      <c r="W59" s="2738"/>
      <c r="X59" s="2738"/>
      <c r="Y59" s="2738"/>
      <c r="Z59" s="2738"/>
      <c r="AA59" s="2738"/>
      <c r="AB59" s="2738"/>
      <c r="AC59" s="2738"/>
    </row>
    <row r="60" spans="1:29" s="108" customFormat="1">
      <c r="A60" s="458"/>
      <c r="B60" s="459"/>
      <c r="C60" s="1182">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4.4">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4.4"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ht="14.4">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4.4"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9.4"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4.4"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4.4"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4.4"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4.4"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4.4"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4.4"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4.4"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ht="14.4">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 thickTop="1">
      <c r="A83" s="483"/>
      <c r="B83" s="495" t="s">
        <v>1813</v>
      </c>
      <c r="C83" s="608" t="s">
        <v>1799</v>
      </c>
      <c r="D83" s="608" t="s">
        <v>1800</v>
      </c>
      <c r="E83" s="608" t="s">
        <v>1801</v>
      </c>
      <c r="F83" s="608" t="s">
        <v>1802</v>
      </c>
      <c r="G83" s="608" t="s">
        <v>1803</v>
      </c>
      <c r="H83" s="488"/>
      <c r="I83" s="488"/>
      <c r="J83" s="488"/>
      <c r="K83" s="488"/>
      <c r="L83" s="488"/>
      <c r="M83" s="1129"/>
      <c r="N83" s="2751"/>
      <c r="O83" s="2751"/>
      <c r="P83" s="2759"/>
      <c r="Q83" s="2736"/>
      <c r="R83" s="2722"/>
      <c r="S83" s="2722"/>
      <c r="T83" s="2722"/>
      <c r="U83" s="2722"/>
      <c r="V83" s="2722"/>
      <c r="W83" s="2722"/>
      <c r="X83" s="2722"/>
      <c r="Y83" s="2722"/>
      <c r="Z83" s="2722"/>
      <c r="AA83" s="2722"/>
      <c r="AB83" s="2722"/>
      <c r="AC83" s="2722"/>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9.4"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4.4" thickTop="1">
      <c r="A89" s="528"/>
      <c r="B89" s="487" t="str">
        <f>B27</f>
        <v>楼层</v>
      </c>
      <c r="C89" s="503"/>
      <c r="D89" s="503"/>
      <c r="E89" s="503"/>
      <c r="F89" s="1926"/>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4.4"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4.4"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4.4"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4.4"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4.4"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4.4"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4.4" thickBot="1">
      <c r="A100" s="1927"/>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ht="14.4">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4.4"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7"/>
      <c r="M119" s="1968"/>
      <c r="N119" s="2751"/>
      <c r="O119" s="2751"/>
      <c r="P119" s="2764"/>
      <c r="Q119" s="2765"/>
      <c r="R119" s="2722"/>
      <c r="S119" s="2722"/>
      <c r="T119" s="2722"/>
      <c r="U119" s="2722"/>
      <c r="V119" s="2722"/>
      <c r="W119" s="2722"/>
      <c r="X119" s="2722"/>
      <c r="Y119" s="2722"/>
      <c r="Z119" s="2722"/>
      <c r="AA119" s="2722"/>
      <c r="AB119" s="2722"/>
      <c r="AC119" s="2722"/>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4.4"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4.4"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4.4"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4.4"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4.4"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4.4"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4.4" thickBot="1">
      <c r="A132" s="1927"/>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1660</v>
      </c>
      <c r="B1" s="1956" t="s">
        <v>1826</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375.87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89" t="s">
        <v>1770</v>
      </c>
      <c r="D4" s="3690"/>
      <c r="E4" s="3691" t="s">
        <v>1771</v>
      </c>
      <c r="F4" s="3692"/>
      <c r="G4" s="3689" t="s">
        <v>1772</v>
      </c>
      <c r="H4" s="3690"/>
      <c r="I4" s="3689" t="s">
        <v>1773</v>
      </c>
      <c r="J4" s="3690"/>
      <c r="K4" s="559" t="s">
        <v>1774</v>
      </c>
      <c r="L4" s="913"/>
      <c r="M4" s="914"/>
      <c r="N4" s="914"/>
      <c r="O4" s="914"/>
      <c r="P4" s="3693" t="s">
        <v>1775</v>
      </c>
      <c r="Q4" s="3694"/>
      <c r="R4" s="3679" t="s">
        <v>1771</v>
      </c>
      <c r="S4" s="3680"/>
      <c r="T4" s="3679" t="s">
        <v>1772</v>
      </c>
      <c r="U4" s="3680"/>
      <c r="V4" s="3685" t="s">
        <v>1773</v>
      </c>
      <c r="W4" s="3685"/>
      <c r="X4" s="1354"/>
      <c r="Y4" s="3679" t="s">
        <v>1775</v>
      </c>
      <c r="Z4" s="3680"/>
      <c r="AA4" s="3686" t="s">
        <v>1771</v>
      </c>
      <c r="AB4" s="3687" t="s">
        <v>1772</v>
      </c>
      <c r="AC4" s="3686" t="s">
        <v>1773</v>
      </c>
    </row>
    <row r="5" spans="1:29">
      <c r="A5" s="358"/>
      <c r="B5" s="359"/>
      <c r="C5" s="3707" t="s">
        <v>1673</v>
      </c>
      <c r="D5" s="3700"/>
      <c r="E5" s="3734" t="s">
        <v>1674</v>
      </c>
      <c r="F5" s="3702"/>
      <c r="G5" s="3707" t="s">
        <v>1675</v>
      </c>
      <c r="H5" s="3700"/>
      <c r="I5" s="3707" t="s">
        <v>1676</v>
      </c>
      <c r="J5" s="3700"/>
      <c r="K5" s="559"/>
      <c r="L5" s="913"/>
      <c r="M5" s="914"/>
      <c r="N5" s="914"/>
      <c r="O5" s="914"/>
      <c r="P5" s="3695"/>
      <c r="Q5" s="3696"/>
      <c r="R5" s="3681"/>
      <c r="S5" s="3682"/>
      <c r="T5" s="3681"/>
      <c r="U5" s="3682"/>
      <c r="V5" s="3685"/>
      <c r="W5" s="3685"/>
      <c r="X5" s="1354"/>
      <c r="Y5" s="3681"/>
      <c r="Z5" s="3682"/>
      <c r="AA5" s="3687"/>
      <c r="AB5" s="3687"/>
      <c r="AC5" s="3687"/>
    </row>
    <row r="6" spans="1:29" ht="15" thickBot="1">
      <c r="A6" s="360"/>
      <c r="B6" s="361"/>
      <c r="C6" s="3703" t="s">
        <v>1677</v>
      </c>
      <c r="D6" s="3704"/>
      <c r="E6" s="3705" t="s">
        <v>1677</v>
      </c>
      <c r="F6" s="3706"/>
      <c r="G6" s="3703" t="s">
        <v>1677</v>
      </c>
      <c r="H6" s="3704"/>
      <c r="I6" s="3703" t="s">
        <v>1677</v>
      </c>
      <c r="J6" s="3704"/>
      <c r="K6" s="559" t="s">
        <v>1678</v>
      </c>
      <c r="L6" s="913"/>
      <c r="M6" s="914"/>
      <c r="N6" s="914"/>
      <c r="O6" s="914"/>
      <c r="P6" s="3697"/>
      <c r="Q6" s="3698"/>
      <c r="R6" s="3681"/>
      <c r="S6" s="3682"/>
      <c r="T6" s="3683"/>
      <c r="U6" s="3684"/>
      <c r="V6" s="3685"/>
      <c r="W6" s="3685"/>
      <c r="X6" s="1354"/>
      <c r="Y6" s="3683"/>
      <c r="Z6" s="3684"/>
      <c r="AA6" s="3688"/>
      <c r="AB6" s="3688"/>
      <c r="AC6" s="3688"/>
    </row>
    <row r="7" spans="1:29" s="108" customFormat="1" ht="15" thickBot="1">
      <c r="A7" s="362" t="s">
        <v>1679</v>
      </c>
      <c r="B7" s="363"/>
      <c r="C7" s="364">
        <f>'数据-取费表'!B2</f>
        <v>45622</v>
      </c>
      <c r="D7" s="365">
        <v>100</v>
      </c>
      <c r="E7" s="366"/>
      <c r="F7" s="367">
        <f>SUMIF(52:52,YEAR(E7)&amp;"-"&amp;MONTH(E7),53:53)</f>
        <v>0</v>
      </c>
      <c r="G7" s="366"/>
      <c r="H7" s="365">
        <f>SUMIF(52:52,YEAR(G7)&amp;"-"&amp;MONTH(G7),53:53)</f>
        <v>0</v>
      </c>
      <c r="I7" s="366"/>
      <c r="J7" s="365">
        <f>SUMIF(52:52,YEAR(I7)&amp;"-"&amp;MONTH(I7),53:53)</f>
        <v>0</v>
      </c>
      <c r="K7" s="560"/>
      <c r="L7" s="915"/>
      <c r="M7" s="916"/>
      <c r="N7" s="916"/>
      <c r="O7" s="916"/>
      <c r="P7" s="3675" t="s">
        <v>1680</v>
      </c>
      <c r="Q7" s="3676"/>
      <c r="R7" s="701" t="s">
        <v>14</v>
      </c>
      <c r="S7" s="702">
        <f t="shared" ref="S7:S15" si="0">F7</f>
        <v>0</v>
      </c>
      <c r="T7" s="701" t="s">
        <v>14</v>
      </c>
      <c r="U7" s="702">
        <f t="shared" ref="U7:U15" si="1">H7</f>
        <v>0</v>
      </c>
      <c r="V7" s="701" t="s">
        <v>14</v>
      </c>
      <c r="W7" s="702">
        <f t="shared" ref="W7:W15" si="2">J7</f>
        <v>0</v>
      </c>
      <c r="X7" s="703"/>
      <c r="Y7" s="3675" t="s">
        <v>1680</v>
      </c>
      <c r="Z7" s="3677"/>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5" t="s">
        <v>1683</v>
      </c>
      <c r="Q8" s="3677"/>
      <c r="R8" s="701" t="s">
        <v>14</v>
      </c>
      <c r="S8" s="702">
        <f t="shared" si="0"/>
        <v>100</v>
      </c>
      <c r="T8" s="701" t="s">
        <v>14</v>
      </c>
      <c r="U8" s="702">
        <f t="shared" si="1"/>
        <v>100</v>
      </c>
      <c r="V8" s="701" t="s">
        <v>14</v>
      </c>
      <c r="W8" s="702">
        <f t="shared" si="2"/>
        <v>100</v>
      </c>
      <c r="X8" s="703"/>
      <c r="Y8" s="3675" t="s">
        <v>1683</v>
      </c>
      <c r="Z8" s="3677"/>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1" t="s">
        <v>1686</v>
      </c>
      <c r="Q9" s="1342"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8.8">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8"/>
      <c r="M10" s="919"/>
      <c r="N10" s="919"/>
      <c r="O10" s="920"/>
      <c r="P10" s="3661"/>
      <c r="Q10" s="1342"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1"/>
      <c r="Q11" s="1342" t="str">
        <f t="shared" si="6"/>
        <v>容积率</v>
      </c>
      <c r="R11" s="701" t="s">
        <v>14</v>
      </c>
      <c r="S11" s="702">
        <f t="shared" si="0"/>
        <v>100</v>
      </c>
      <c r="T11" s="701" t="s">
        <v>14</v>
      </c>
      <c r="U11" s="702">
        <f t="shared" si="1"/>
        <v>100</v>
      </c>
      <c r="V11" s="701" t="s">
        <v>14</v>
      </c>
      <c r="W11" s="702">
        <f t="shared" si="2"/>
        <v>100</v>
      </c>
      <c r="X11" s="703"/>
      <c r="Y11" s="3565"/>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661"/>
      <c r="Q12" s="1342">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661"/>
      <c r="Q13" s="1342">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6"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661"/>
      <c r="Q14" s="1342">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704">
        <f t="shared" si="5"/>
        <v>1</v>
      </c>
    </row>
    <row r="15" spans="1:29" ht="69">
      <c r="A15" s="391" t="s">
        <v>1690</v>
      </c>
      <c r="B15" s="61" t="s">
        <v>1827</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1" t="str">
        <f t="shared" si="6"/>
        <v>产业集聚程度</v>
      </c>
      <c r="R15" s="705" t="s">
        <v>14</v>
      </c>
      <c r="S15" s="706">
        <f t="shared" si="0"/>
        <v>100</v>
      </c>
      <c r="T15" s="705" t="s">
        <v>14</v>
      </c>
      <c r="U15" s="706">
        <f t="shared" si="1"/>
        <v>100</v>
      </c>
      <c r="V15" s="705" t="s">
        <v>14</v>
      </c>
      <c r="W15" s="706">
        <f t="shared" si="2"/>
        <v>100</v>
      </c>
      <c r="X15" s="1354"/>
      <c r="Y15" s="3668"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669"/>
      <c r="Q16" s="1351"/>
      <c r="R16" s="705"/>
      <c r="S16" s="706"/>
      <c r="T16" s="705"/>
      <c r="U16" s="706"/>
      <c r="V16" s="705"/>
      <c r="W16" s="706"/>
      <c r="X16" s="1354"/>
      <c r="Y16" s="3669"/>
      <c r="Z16" s="1355"/>
      <c r="AA16" s="1352">
        <v>1</v>
      </c>
      <c r="AB16" s="1352">
        <v>1</v>
      </c>
      <c r="AC16" s="1352">
        <v>1</v>
      </c>
    </row>
    <row r="17" spans="1:29" ht="96.6">
      <c r="A17" s="379"/>
      <c r="B17" s="402" t="s">
        <v>1259</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1" t="str">
        <f>B17</f>
        <v>交通便捷度</v>
      </c>
      <c r="R17" s="705" t="s">
        <v>14</v>
      </c>
      <c r="S17" s="706">
        <f>F17</f>
        <v>100</v>
      </c>
      <c r="T17" s="705" t="s">
        <v>14</v>
      </c>
      <c r="U17" s="706">
        <f>H17</f>
        <v>100</v>
      </c>
      <c r="V17" s="705" t="s">
        <v>14</v>
      </c>
      <c r="W17" s="706">
        <f>J17</f>
        <v>100</v>
      </c>
      <c r="X17" s="1354"/>
      <c r="Y17" s="3669"/>
      <c r="Z17" s="1355" t="str">
        <f>Q17</f>
        <v>交通便捷度</v>
      </c>
      <c r="AA17" s="1352">
        <f t="shared" si="3"/>
        <v>1</v>
      </c>
      <c r="AB17" s="1352">
        <f t="shared" si="4"/>
        <v>1</v>
      </c>
      <c r="AC17" s="1352">
        <f t="shared" si="5"/>
        <v>1</v>
      </c>
    </row>
    <row r="18" spans="1:29" ht="15">
      <c r="A18" s="379"/>
      <c r="B18" s="407"/>
      <c r="C18" s="1900"/>
      <c r="D18" s="401"/>
      <c r="E18" s="1902"/>
      <c r="F18" s="404"/>
      <c r="G18" s="1901"/>
      <c r="H18" s="399"/>
      <c r="I18" s="1902"/>
      <c r="J18" s="399"/>
      <c r="K18" s="564"/>
      <c r="L18" s="923"/>
      <c r="M18" s="914"/>
      <c r="N18" s="914"/>
      <c r="O18" s="922"/>
      <c r="P18" s="3669"/>
      <c r="Q18" s="1351"/>
      <c r="R18" s="705"/>
      <c r="S18" s="706"/>
      <c r="T18" s="705"/>
      <c r="U18" s="706"/>
      <c r="V18" s="705"/>
      <c r="W18" s="706"/>
      <c r="X18" s="1354"/>
      <c r="Y18" s="3669"/>
      <c r="Z18" s="1355"/>
      <c r="AA18" s="1352">
        <v>1</v>
      </c>
      <c r="AB18" s="1352">
        <v>1</v>
      </c>
      <c r="AC18" s="1352">
        <v>1</v>
      </c>
    </row>
    <row r="19" spans="1:29" ht="41.4">
      <c r="A19" s="379"/>
      <c r="B19" s="402" t="s">
        <v>1812</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1" t="str">
        <f>B19</f>
        <v>公共配套设施</v>
      </c>
      <c r="R19" s="705" t="s">
        <v>14</v>
      </c>
      <c r="S19" s="706">
        <f>F19</f>
        <v>100</v>
      </c>
      <c r="T19" s="705" t="s">
        <v>14</v>
      </c>
      <c r="U19" s="706">
        <f>H19</f>
        <v>100</v>
      </c>
      <c r="V19" s="705" t="s">
        <v>14</v>
      </c>
      <c r="W19" s="706">
        <f>J19</f>
        <v>100</v>
      </c>
      <c r="X19" s="1354"/>
      <c r="Y19" s="3669"/>
      <c r="Z19" s="1355" t="str">
        <f>Q19</f>
        <v>公共配套设施</v>
      </c>
      <c r="AA19" s="1352">
        <f t="shared" si="3"/>
        <v>1</v>
      </c>
      <c r="AB19" s="1352">
        <f t="shared" si="4"/>
        <v>1</v>
      </c>
      <c r="AC19" s="1352">
        <f t="shared" si="5"/>
        <v>1</v>
      </c>
    </row>
    <row r="20" spans="1:29" ht="15">
      <c r="A20" s="379"/>
      <c r="B20" s="407"/>
      <c r="C20" s="398"/>
      <c r="D20" s="399"/>
      <c r="E20" s="1897"/>
      <c r="F20" s="400"/>
      <c r="G20" s="1896"/>
      <c r="H20" s="399"/>
      <c r="I20" s="1897"/>
      <c r="J20" s="399"/>
      <c r="K20" s="564"/>
      <c r="L20" s="923"/>
      <c r="M20" s="914"/>
      <c r="N20" s="914"/>
      <c r="O20" s="922"/>
      <c r="P20" s="3669"/>
      <c r="Q20" s="1351"/>
      <c r="R20" s="705"/>
      <c r="S20" s="706"/>
      <c r="T20" s="705"/>
      <c r="U20" s="706"/>
      <c r="V20" s="705"/>
      <c r="W20" s="706"/>
      <c r="X20" s="1354"/>
      <c r="Y20" s="3669"/>
      <c r="Z20" s="1355"/>
      <c r="AA20" s="1352">
        <v>1</v>
      </c>
      <c r="AB20" s="1352">
        <v>1</v>
      </c>
      <c r="AC20" s="1352">
        <v>1</v>
      </c>
    </row>
    <row r="21" spans="1:29" ht="41.4">
      <c r="A21" s="379"/>
      <c r="B21" s="1131" t="s">
        <v>1813</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1" t="str">
        <f>B21</f>
        <v>基础设施水平</v>
      </c>
      <c r="R21" s="705" t="s">
        <v>14</v>
      </c>
      <c r="S21" s="706">
        <f>F21</f>
        <v>100</v>
      </c>
      <c r="T21" s="705" t="s">
        <v>14</v>
      </c>
      <c r="U21" s="706">
        <f>H21</f>
        <v>100</v>
      </c>
      <c r="V21" s="705" t="s">
        <v>14</v>
      </c>
      <c r="W21" s="706">
        <f>J21</f>
        <v>100</v>
      </c>
      <c r="X21" s="1354"/>
      <c r="Y21" s="3669"/>
      <c r="Z21" s="1355" t="str">
        <f>Q21</f>
        <v>基础设施水平</v>
      </c>
      <c r="AA21" s="1352">
        <f t="shared" ref="AA21" si="8">D21/F21</f>
        <v>1</v>
      </c>
      <c r="AB21" s="1352">
        <f t="shared" ref="AB21" si="9">D21/H21</f>
        <v>1</v>
      </c>
      <c r="AC21" s="1352">
        <f t="shared" ref="AC21" si="10">D21/J21</f>
        <v>1</v>
      </c>
    </row>
    <row r="22" spans="1:29" ht="15">
      <c r="A22" s="379"/>
      <c r="B22" s="1131"/>
      <c r="C22" s="1900"/>
      <c r="D22" s="399"/>
      <c r="E22" s="398"/>
      <c r="F22" s="400"/>
      <c r="G22" s="398"/>
      <c r="H22" s="399"/>
      <c r="I22" s="398"/>
      <c r="J22" s="399"/>
      <c r="K22" s="1130"/>
      <c r="L22" s="923"/>
      <c r="M22" s="914"/>
      <c r="N22" s="914"/>
      <c r="O22" s="922"/>
      <c r="P22" s="3669"/>
      <c r="Q22" s="1351"/>
      <c r="R22" s="705"/>
      <c r="S22" s="706"/>
      <c r="T22" s="705"/>
      <c r="U22" s="706"/>
      <c r="V22" s="705"/>
      <c r="W22" s="706"/>
      <c r="X22" s="1354"/>
      <c r="Y22" s="3669"/>
      <c r="Z22" s="1355"/>
      <c r="AA22" s="1352">
        <v>1</v>
      </c>
      <c r="AB22" s="1352">
        <v>1</v>
      </c>
      <c r="AC22" s="1352">
        <v>1</v>
      </c>
    </row>
    <row r="23" spans="1:29" ht="82.8">
      <c r="A23" s="379"/>
      <c r="B23" s="402" t="s">
        <v>1814</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1" t="str">
        <f>B23</f>
        <v>环境质量</v>
      </c>
      <c r="R23" s="705" t="s">
        <v>14</v>
      </c>
      <c r="S23" s="706">
        <f>F23</f>
        <v>100</v>
      </c>
      <c r="T23" s="705" t="s">
        <v>14</v>
      </c>
      <c r="U23" s="706">
        <f>H23</f>
        <v>100</v>
      </c>
      <c r="V23" s="705" t="s">
        <v>14</v>
      </c>
      <c r="W23" s="706">
        <f>J23</f>
        <v>100</v>
      </c>
      <c r="X23" s="1354"/>
      <c r="Y23" s="3669"/>
      <c r="Z23" s="1355" t="str">
        <f>Q23</f>
        <v>环境质量</v>
      </c>
      <c r="AA23" s="1352">
        <f t="shared" si="3"/>
        <v>1</v>
      </c>
      <c r="AB23" s="1352">
        <f t="shared" si="4"/>
        <v>1</v>
      </c>
      <c r="AC23" s="1352">
        <f t="shared" si="5"/>
        <v>1</v>
      </c>
    </row>
    <row r="24" spans="1:29" ht="15">
      <c r="A24" s="379"/>
      <c r="B24" s="1131"/>
      <c r="C24" s="398"/>
      <c r="D24" s="399"/>
      <c r="E24" s="1897"/>
      <c r="F24" s="400"/>
      <c r="G24" s="1896"/>
      <c r="H24" s="399"/>
      <c r="I24" s="1897"/>
      <c r="J24" s="399"/>
      <c r="K24" s="564"/>
      <c r="L24" s="923"/>
      <c r="M24" s="914"/>
      <c r="N24" s="914"/>
      <c r="O24" s="922"/>
      <c r="P24" s="3669"/>
      <c r="Q24" s="1351"/>
      <c r="R24" s="705"/>
      <c r="S24" s="706"/>
      <c r="T24" s="705"/>
      <c r="U24" s="706"/>
      <c r="V24" s="705"/>
      <c r="W24" s="706"/>
      <c r="X24" s="1354"/>
      <c r="Y24" s="3669"/>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1">
        <f>B25</f>
        <v>111</v>
      </c>
      <c r="R25" s="705" t="s">
        <v>14</v>
      </c>
      <c r="S25" s="706">
        <f>F25</f>
        <v>100</v>
      </c>
      <c r="T25" s="705" t="s">
        <v>14</v>
      </c>
      <c r="U25" s="706">
        <f>H25</f>
        <v>100</v>
      </c>
      <c r="V25" s="705" t="s">
        <v>14</v>
      </c>
      <c r="W25" s="706">
        <f>J25</f>
        <v>100</v>
      </c>
      <c r="X25" s="1354"/>
      <c r="Y25" s="3669"/>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1">
        <f t="shared" ref="Q26:Q40" si="11">B26</f>
        <v>111</v>
      </c>
      <c r="R26" s="705" t="s">
        <v>14</v>
      </c>
      <c r="S26" s="706">
        <f>F26</f>
        <v>100</v>
      </c>
      <c r="T26" s="705" t="s">
        <v>14</v>
      </c>
      <c r="U26" s="706">
        <f>H26</f>
        <v>100</v>
      </c>
      <c r="V26" s="705" t="s">
        <v>14</v>
      </c>
      <c r="W26" s="706">
        <f>J26</f>
        <v>100</v>
      </c>
      <c r="X26" s="1354"/>
      <c r="Y26" s="3669"/>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2">
        <f t="shared" si="11"/>
        <v>111</v>
      </c>
      <c r="R27" s="701" t="s">
        <v>14</v>
      </c>
      <c r="S27" s="702">
        <f>F27</f>
        <v>100</v>
      </c>
      <c r="T27" s="701" t="s">
        <v>14</v>
      </c>
      <c r="U27" s="702">
        <f>H27</f>
        <v>100</v>
      </c>
      <c r="V27" s="701" t="s">
        <v>14</v>
      </c>
      <c r="W27" s="702">
        <f>J27</f>
        <v>100</v>
      </c>
      <c r="X27" s="703"/>
      <c r="Y27" s="3669"/>
      <c r="Z27" s="52">
        <f>Q27</f>
        <v>111</v>
      </c>
      <c r="AA27" s="1352">
        <f>D27/F27</f>
        <v>1</v>
      </c>
      <c r="AB27" s="1352">
        <f>D27/H27</f>
        <v>1</v>
      </c>
      <c r="AC27" s="1352">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1">
        <f t="shared" si="11"/>
        <v>111</v>
      </c>
      <c r="R28" s="705" t="s">
        <v>14</v>
      </c>
      <c r="S28" s="706">
        <f t="shared" ref="S28:S40" si="12">F28</f>
        <v>100</v>
      </c>
      <c r="T28" s="705" t="s">
        <v>14</v>
      </c>
      <c r="U28" s="706">
        <f t="shared" ref="U28:U40" si="13">H28</f>
        <v>100</v>
      </c>
      <c r="V28" s="705" t="s">
        <v>14</v>
      </c>
      <c r="W28" s="706">
        <f t="shared" ref="W28:W40" si="14">J28</f>
        <v>100</v>
      </c>
      <c r="X28" s="1354"/>
      <c r="Y28" s="3669"/>
      <c r="Z28" s="1355">
        <f t="shared" ref="Z28:Z40" si="15">Q28</f>
        <v>111</v>
      </c>
      <c r="AA28" s="1352">
        <f t="shared" si="3"/>
        <v>1</v>
      </c>
      <c r="AB28" s="1352">
        <f t="shared" si="4"/>
        <v>1</v>
      </c>
      <c r="AC28" s="1352">
        <f t="shared" si="5"/>
        <v>1</v>
      </c>
    </row>
    <row r="29" spans="1:29" ht="30">
      <c r="A29" s="417" t="s">
        <v>1694</v>
      </c>
      <c r="B29" s="63" t="s">
        <v>1817</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50" t="s">
        <v>1696</v>
      </c>
      <c r="Q29" s="1351" t="str">
        <f t="shared" si="11"/>
        <v>建筑类型</v>
      </c>
      <c r="R29" s="705" t="s">
        <v>14</v>
      </c>
      <c r="S29" s="706">
        <f t="shared" si="12"/>
        <v>100</v>
      </c>
      <c r="T29" s="705" t="s">
        <v>14</v>
      </c>
      <c r="U29" s="706">
        <f t="shared" si="13"/>
        <v>100</v>
      </c>
      <c r="V29" s="705" t="s">
        <v>14</v>
      </c>
      <c r="W29" s="706">
        <f t="shared" si="14"/>
        <v>100</v>
      </c>
      <c r="X29" s="1354"/>
      <c r="Y29" s="3673"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1" t="str">
        <f t="shared" si="11"/>
        <v>建筑结构</v>
      </c>
      <c r="R31" s="705" t="s">
        <v>14</v>
      </c>
      <c r="S31" s="706">
        <f t="shared" si="12"/>
        <v>100</v>
      </c>
      <c r="T31" s="705" t="s">
        <v>14</v>
      </c>
      <c r="U31" s="706">
        <f t="shared" si="13"/>
        <v>100</v>
      </c>
      <c r="V31" s="705" t="s">
        <v>14</v>
      </c>
      <c r="W31" s="706">
        <f t="shared" si="14"/>
        <v>100</v>
      </c>
      <c r="X31" s="1354"/>
      <c r="Y31" s="3673"/>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1" t="str">
        <f t="shared" si="11"/>
        <v>公共部分装修</v>
      </c>
      <c r="R32" s="705" t="s">
        <v>14</v>
      </c>
      <c r="S32" s="706">
        <f t="shared" si="12"/>
        <v>100</v>
      </c>
      <c r="T32" s="705" t="s">
        <v>14</v>
      </c>
      <c r="U32" s="706">
        <f t="shared" si="13"/>
        <v>100</v>
      </c>
      <c r="V32" s="705" t="s">
        <v>14</v>
      </c>
      <c r="W32" s="706">
        <f t="shared" si="14"/>
        <v>100</v>
      </c>
      <c r="X32" s="1354"/>
      <c r="Y32" s="3673"/>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1" t="str">
        <f t="shared" si="11"/>
        <v>成新度</v>
      </c>
      <c r="R33" s="705" t="s">
        <v>14</v>
      </c>
      <c r="S33" s="706" t="e">
        <f t="shared" si="12"/>
        <v>#N/A</v>
      </c>
      <c r="T33" s="705" t="s">
        <v>14</v>
      </c>
      <c r="U33" s="706" t="e">
        <f t="shared" si="13"/>
        <v>#N/A</v>
      </c>
      <c r="V33" s="705" t="s">
        <v>14</v>
      </c>
      <c r="W33" s="706" t="e">
        <f t="shared" si="14"/>
        <v>#N/A</v>
      </c>
      <c r="X33" s="1354"/>
      <c r="Y33" s="3673"/>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2"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1" t="str">
        <f t="shared" si="11"/>
        <v>市政基础设施</v>
      </c>
      <c r="R35" s="705" t="s">
        <v>14</v>
      </c>
      <c r="S35" s="706">
        <f t="shared" si="12"/>
        <v>100</v>
      </c>
      <c r="T35" s="705" t="s">
        <v>14</v>
      </c>
      <c r="U35" s="706">
        <f t="shared" si="13"/>
        <v>100</v>
      </c>
      <c r="V35" s="705" t="s">
        <v>14</v>
      </c>
      <c r="W35" s="706">
        <f t="shared" si="14"/>
        <v>100</v>
      </c>
      <c r="X35" s="1354"/>
      <c r="Y35" s="3673"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1" t="str">
        <f t="shared" si="11"/>
        <v>内部装修</v>
      </c>
      <c r="R36" s="705" t="s">
        <v>14</v>
      </c>
      <c r="S36" s="706">
        <f t="shared" si="12"/>
        <v>100</v>
      </c>
      <c r="T36" s="705" t="s">
        <v>14</v>
      </c>
      <c r="U36" s="706">
        <f t="shared" si="13"/>
        <v>100</v>
      </c>
      <c r="V36" s="705" t="s">
        <v>14</v>
      </c>
      <c r="W36" s="706">
        <f t="shared" si="14"/>
        <v>100</v>
      </c>
      <c r="X36" s="1354"/>
      <c r="Y36" s="3673"/>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1" t="str">
        <f t="shared" si="11"/>
        <v>内部装修状况</v>
      </c>
      <c r="R37" s="705" t="s">
        <v>14</v>
      </c>
      <c r="S37" s="706">
        <f t="shared" si="12"/>
        <v>100</v>
      </c>
      <c r="T37" s="705" t="s">
        <v>14</v>
      </c>
      <c r="U37" s="706">
        <f t="shared" si="13"/>
        <v>100</v>
      </c>
      <c r="V37" s="705" t="s">
        <v>14</v>
      </c>
      <c r="W37" s="706">
        <f t="shared" si="14"/>
        <v>100</v>
      </c>
      <c r="X37" s="1354"/>
      <c r="Y37" s="3673"/>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1">
        <f t="shared" si="11"/>
        <v>111</v>
      </c>
      <c r="R39" s="705" t="s">
        <v>14</v>
      </c>
      <c r="S39" s="706">
        <f t="shared" si="12"/>
        <v>100</v>
      </c>
      <c r="T39" s="705" t="s">
        <v>14</v>
      </c>
      <c r="U39" s="706">
        <f t="shared" si="13"/>
        <v>100</v>
      </c>
      <c r="V39" s="705" t="s">
        <v>14</v>
      </c>
      <c r="W39" s="706">
        <f t="shared" si="14"/>
        <v>100</v>
      </c>
      <c r="X39" s="1354"/>
      <c r="Y39" s="3673"/>
      <c r="Z39" s="1355">
        <f t="shared" si="15"/>
        <v>111</v>
      </c>
      <c r="AA39" s="1352">
        <f t="shared" si="3"/>
        <v>1</v>
      </c>
      <c r="AB39" s="1352">
        <f t="shared" si="4"/>
        <v>1</v>
      </c>
      <c r="AC39" s="1352">
        <f t="shared" si="5"/>
        <v>1</v>
      </c>
    </row>
    <row r="40" spans="1:29" ht="15.6"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1">
        <f t="shared" si="11"/>
        <v>111</v>
      </c>
      <c r="R40" s="705" t="s">
        <v>14</v>
      </c>
      <c r="S40" s="706">
        <f t="shared" si="12"/>
        <v>100</v>
      </c>
      <c r="T40" s="705" t="s">
        <v>14</v>
      </c>
      <c r="U40" s="706">
        <f t="shared" si="13"/>
        <v>100</v>
      </c>
      <c r="V40" s="705" t="s">
        <v>14</v>
      </c>
      <c r="W40" s="706">
        <f t="shared" si="14"/>
        <v>100</v>
      </c>
      <c r="X40" s="1354"/>
      <c r="Y40" s="3674"/>
      <c r="Z40" s="1355">
        <f t="shared" si="15"/>
        <v>111</v>
      </c>
      <c r="AA40" s="1352">
        <f t="shared" si="3"/>
        <v>1</v>
      </c>
      <c r="AB40" s="1352">
        <f t="shared" si="4"/>
        <v>1</v>
      </c>
      <c r="AC40" s="1352">
        <f t="shared" si="5"/>
        <v>1</v>
      </c>
    </row>
    <row r="41" spans="1:29" ht="14.4">
      <c r="A41" s="430" t="s">
        <v>1708</v>
      </c>
      <c r="B41" s="431"/>
      <c r="C41" s="1154" t="s">
        <v>0</v>
      </c>
      <c r="D41" s="1155"/>
      <c r="E41" s="1156"/>
      <c r="F41" s="1157"/>
      <c r="G41" s="1158"/>
      <c r="H41" s="1159"/>
      <c r="I41" s="1156"/>
      <c r="J41" s="1159"/>
      <c r="K41" s="714"/>
      <c r="L41" s="926"/>
      <c r="M41" s="927"/>
      <c r="N41" s="914"/>
      <c r="O41" s="927"/>
      <c r="P41" s="3661" t="str">
        <f>A41</f>
        <v>成交单价（元/平方米）</v>
      </c>
      <c r="Q41" s="3661"/>
      <c r="R41" s="3662">
        <f>E41</f>
        <v>0</v>
      </c>
      <c r="S41" s="3662"/>
      <c r="T41" s="3662">
        <f>G41</f>
        <v>0</v>
      </c>
      <c r="U41" s="3662"/>
      <c r="V41" s="3662">
        <f>I41</f>
        <v>0</v>
      </c>
      <c r="W41" s="3662"/>
      <c r="X41" s="690"/>
      <c r="Y41" s="712"/>
      <c r="Z41" s="690"/>
      <c r="AA41" s="690"/>
      <c r="AB41" s="690"/>
      <c r="AC41" s="690"/>
    </row>
    <row r="42" spans="1:29" ht="15" thickBot="1">
      <c r="A42" s="437" t="s">
        <v>1793</v>
      </c>
      <c r="B42" s="438"/>
      <c r="C42" s="1160" t="e">
        <f>R43</f>
        <v>#DIV/0!</v>
      </c>
      <c r="D42" s="2316" t="s">
        <v>2136</v>
      </c>
      <c r="E42" s="1161" t="e">
        <f>R42</f>
        <v>#DIV/0!</v>
      </c>
      <c r="F42" s="2317"/>
      <c r="G42" s="1160" t="e">
        <f>T42</f>
        <v>#DIV/0!</v>
      </c>
      <c r="H42" s="2317"/>
      <c r="I42" s="1161" t="e">
        <f>V42</f>
        <v>#DIV/0!</v>
      </c>
      <c r="J42" s="2317"/>
      <c r="K42" s="2319">
        <f>F42+H42+J42</f>
        <v>0</v>
      </c>
      <c r="L42" s="926"/>
      <c r="M42" s="927"/>
      <c r="N42" s="914"/>
      <c r="O42" s="927"/>
      <c r="P42" s="3661" t="str">
        <f>A42</f>
        <v>比较价值（元/平方米）</v>
      </c>
      <c r="Q42" s="3661"/>
      <c r="R42" s="3662" t="e">
        <f>IF(F1="售价",ROUND(PRODUCT(R41,AA7:AA40),0),ROUND(PRODUCT(R41,AA7:AA40),1))</f>
        <v>#DIV/0!</v>
      </c>
      <c r="S42" s="3662"/>
      <c r="T42" s="3662" t="e">
        <f>IF(F1="售价",ROUND(PRODUCT(T41,AB7:AB40),0),ROUND(PRODUCT(T41,AB7:AB40),1))</f>
        <v>#DIV/0!</v>
      </c>
      <c r="U42" s="3662"/>
      <c r="V42" s="3662" t="e">
        <f>IF(F1="售价",ROUND(PRODUCT(V41,AC7:AC40),0),ROUND(PRODUCT(V41,AC7:AC40),1))</f>
        <v>#DIV/0!</v>
      </c>
      <c r="W42" s="3662"/>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90"/>
      <c r="Y43" s="690"/>
      <c r="Z43" s="690"/>
      <c r="AA43" s="690"/>
      <c r="AB43" s="690"/>
      <c r="AC43" s="690"/>
    </row>
    <row r="44" spans="1:29">
      <c r="A44" s="2722"/>
      <c r="B44" s="2722"/>
      <c r="C44" s="2722"/>
      <c r="D44" s="2722"/>
      <c r="E44" s="2722"/>
      <c r="F44" s="2722"/>
      <c r="G44" s="2726"/>
      <c r="H44" s="2722"/>
      <c r="I44" s="2722"/>
      <c r="J44" s="2722"/>
      <c r="K44" s="2727"/>
      <c r="L44" s="889"/>
      <c r="M44" s="927"/>
      <c r="N44" s="927"/>
      <c r="O44" s="927"/>
    </row>
    <row r="45" spans="1:29">
      <c r="A45" s="2722"/>
      <c r="B45" s="2722"/>
      <c r="C45" s="2722"/>
      <c r="D45" s="2722"/>
      <c r="E45" s="2722"/>
      <c r="F45" s="2722"/>
      <c r="G45" s="2722"/>
      <c r="H45" s="2722"/>
      <c r="I45" s="2722"/>
      <c r="J45" s="2722"/>
      <c r="K45" s="2727"/>
      <c r="L45" s="889"/>
      <c r="M45" s="927"/>
      <c r="N45" s="927"/>
      <c r="O45" s="927"/>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9"/>
      <c r="M46" s="927"/>
      <c r="N46" s="927"/>
      <c r="O46" s="927"/>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9"/>
      <c r="M47" s="927"/>
      <c r="N47" s="927"/>
      <c r="O47" s="927"/>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30"/>
      <c r="M48" s="928"/>
      <c r="N48" s="928"/>
      <c r="O48" s="928"/>
    </row>
    <row r="49" spans="1:17" s="451" customFormat="1">
      <c r="A49" s="2725"/>
      <c r="B49" s="2728"/>
      <c r="C49" s="2729"/>
      <c r="D49" s="2725"/>
      <c r="E49" s="2725"/>
      <c r="F49" s="2725"/>
      <c r="G49" s="2725"/>
      <c r="H49" s="2725"/>
      <c r="I49" s="2725"/>
      <c r="J49" s="2725"/>
      <c r="K49" s="2730"/>
      <c r="L49" s="930"/>
      <c r="M49" s="928"/>
      <c r="N49" s="928"/>
      <c r="O49" s="928"/>
    </row>
    <row r="50" spans="1:17">
      <c r="A50" s="2722"/>
      <c r="B50" s="2728"/>
      <c r="C50" s="2729"/>
      <c r="D50" s="2722"/>
      <c r="E50" s="2722"/>
      <c r="F50" s="2722"/>
      <c r="G50" s="2722"/>
      <c r="H50" s="2722"/>
      <c r="I50" s="2722"/>
      <c r="J50" s="2722"/>
      <c r="K50" s="2727"/>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3" t="str">
        <f>YEAR(C7)&amp;"-"&amp;MONTH(C7)</f>
        <v>2024-11</v>
      </c>
      <c r="D52" s="1184">
        <f>EDATE(C52,-1)</f>
        <v>45566</v>
      </c>
      <c r="E52" s="1184">
        <f t="shared" ref="E52:O52" si="16">EDATE(D52,-1)</f>
        <v>45536</v>
      </c>
      <c r="F52" s="1184">
        <f t="shared" si="16"/>
        <v>45505</v>
      </c>
      <c r="G52" s="1184">
        <f t="shared" si="16"/>
        <v>45474</v>
      </c>
      <c r="H52" s="1184">
        <f t="shared" si="16"/>
        <v>45444</v>
      </c>
      <c r="I52" s="1184">
        <f t="shared" si="16"/>
        <v>45413</v>
      </c>
      <c r="J52" s="1184">
        <f t="shared" si="16"/>
        <v>45383</v>
      </c>
      <c r="K52" s="1184">
        <f t="shared" si="16"/>
        <v>45352</v>
      </c>
      <c r="L52" s="1184">
        <f t="shared" si="16"/>
        <v>45323</v>
      </c>
      <c r="M52" s="1184">
        <f t="shared" si="16"/>
        <v>45292</v>
      </c>
      <c r="N52" s="1184">
        <f t="shared" si="16"/>
        <v>45261</v>
      </c>
      <c r="O52" s="1184">
        <f t="shared" si="16"/>
        <v>45231</v>
      </c>
      <c r="P52" s="456"/>
    </row>
    <row r="53" spans="1:17" s="108" customFormat="1">
      <c r="A53" s="458"/>
      <c r="B53" s="459"/>
      <c r="C53" s="1182">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7"/>
      <c r="O54" s="2768"/>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7"/>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3330</v>
      </c>
      <c r="C1" s="1223" t="s">
        <v>1662</v>
      </c>
      <c r="D1" s="1224"/>
      <c r="E1" s="3430"/>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1"/>
      <c r="M3" s="2732" t="e">
        <f ca="1">IF(C2="——",IF(B37="元/平方米",ROUND(C39*D3/10000,0),ROUND(F3*C39/10000,0)),IF(B37="元/平方米",ROUND(C39*D3/10000,0),ROUND(F3*C39/10000,0))-D2)</f>
        <v>#DIV/0!</v>
      </c>
      <c r="N3" s="2732"/>
      <c r="O3" s="2732"/>
      <c r="P3" s="1165"/>
      <c r="Q3" s="699"/>
      <c r="R3" s="699"/>
      <c r="S3" s="699"/>
      <c r="T3" s="699"/>
      <c r="U3" s="699"/>
      <c r="V3" s="699"/>
      <c r="W3" s="699"/>
      <c r="X3" s="699"/>
      <c r="Y3" s="699"/>
      <c r="Z3" s="699"/>
      <c r="AA3" s="699"/>
      <c r="AB3" s="716"/>
      <c r="AC3" s="713"/>
    </row>
    <row r="4" spans="1:29" ht="14.4">
      <c r="A4" s="355" t="s">
        <v>1769</v>
      </c>
      <c r="B4" s="356"/>
      <c r="C4" s="3689" t="s">
        <v>1770</v>
      </c>
      <c r="D4" s="3690"/>
      <c r="E4" s="3691" t="s">
        <v>1771</v>
      </c>
      <c r="F4" s="3692"/>
      <c r="G4" s="3689" t="s">
        <v>1772</v>
      </c>
      <c r="H4" s="3690"/>
      <c r="I4" s="3689" t="s">
        <v>1773</v>
      </c>
      <c r="J4" s="3690"/>
      <c r="K4" s="559" t="s">
        <v>1774</v>
      </c>
      <c r="L4" s="2712"/>
      <c r="M4" s="2713"/>
      <c r="N4" s="2713"/>
      <c r="O4" s="2713"/>
      <c r="P4" s="3693" t="s">
        <v>1775</v>
      </c>
      <c r="Q4" s="3694"/>
      <c r="R4" s="3679" t="s">
        <v>1771</v>
      </c>
      <c r="S4" s="3680"/>
      <c r="T4" s="3679" t="s">
        <v>1772</v>
      </c>
      <c r="U4" s="3680"/>
      <c r="V4" s="3685" t="s">
        <v>1773</v>
      </c>
      <c r="W4" s="3685"/>
      <c r="X4" s="1354"/>
      <c r="Y4" s="3679" t="s">
        <v>1775</v>
      </c>
      <c r="Z4" s="3680"/>
      <c r="AA4" s="3686" t="s">
        <v>1771</v>
      </c>
      <c r="AB4" s="3687" t="s">
        <v>1772</v>
      </c>
      <c r="AC4" s="3686" t="s">
        <v>1773</v>
      </c>
    </row>
    <row r="5" spans="1:29">
      <c r="A5" s="358"/>
      <c r="B5" s="359"/>
      <c r="C5" s="3707" t="s">
        <v>1673</v>
      </c>
      <c r="D5" s="3700"/>
      <c r="E5" s="3734" t="s">
        <v>1674</v>
      </c>
      <c r="F5" s="3702"/>
      <c r="G5" s="3707" t="s">
        <v>1675</v>
      </c>
      <c r="H5" s="3700"/>
      <c r="I5" s="3707" t="s">
        <v>1676</v>
      </c>
      <c r="J5" s="3700"/>
      <c r="K5" s="559"/>
      <c r="L5" s="2712"/>
      <c r="M5" s="2713"/>
      <c r="N5" s="2713"/>
      <c r="O5" s="2713"/>
      <c r="P5" s="3695"/>
      <c r="Q5" s="3696"/>
      <c r="R5" s="3681"/>
      <c r="S5" s="3682"/>
      <c r="T5" s="3681"/>
      <c r="U5" s="3682"/>
      <c r="V5" s="3685"/>
      <c r="W5" s="3685"/>
      <c r="X5" s="1354"/>
      <c r="Y5" s="3681"/>
      <c r="Z5" s="3682"/>
      <c r="AA5" s="3687"/>
      <c r="AB5" s="3687"/>
      <c r="AC5" s="3687"/>
    </row>
    <row r="6" spans="1:29" ht="15" thickBot="1">
      <c r="A6" s="360"/>
      <c r="B6" s="361"/>
      <c r="C6" s="3703" t="s">
        <v>1677</v>
      </c>
      <c r="D6" s="3704"/>
      <c r="E6" s="3705" t="s">
        <v>1677</v>
      </c>
      <c r="F6" s="3706"/>
      <c r="G6" s="3703" t="s">
        <v>1677</v>
      </c>
      <c r="H6" s="3704"/>
      <c r="I6" s="3703" t="s">
        <v>1677</v>
      </c>
      <c r="J6" s="3704"/>
      <c r="K6" s="559" t="s">
        <v>1678</v>
      </c>
      <c r="L6" s="2712"/>
      <c r="M6" s="2713"/>
      <c r="N6" s="2713"/>
      <c r="O6" s="2713"/>
      <c r="P6" s="3697"/>
      <c r="Q6" s="3698"/>
      <c r="R6" s="3681"/>
      <c r="S6" s="3682"/>
      <c r="T6" s="3683"/>
      <c r="U6" s="3684"/>
      <c r="V6" s="3685"/>
      <c r="W6" s="3685"/>
      <c r="X6" s="1354"/>
      <c r="Y6" s="3683"/>
      <c r="Z6" s="3684"/>
      <c r="AA6" s="3688"/>
      <c r="AB6" s="3688"/>
      <c r="AC6" s="3688"/>
    </row>
    <row r="7" spans="1:29" s="108" customFormat="1" ht="15" thickBot="1">
      <c r="A7" s="362" t="s">
        <v>1679</v>
      </c>
      <c r="B7" s="363"/>
      <c r="C7" s="364">
        <f>'数据-取费表'!B2</f>
        <v>45622</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75" t="s">
        <v>1680</v>
      </c>
      <c r="Q7" s="3676"/>
      <c r="R7" s="701" t="s">
        <v>14</v>
      </c>
      <c r="S7" s="702">
        <f t="shared" ref="S7:S14" si="0">F7</f>
        <v>0</v>
      </c>
      <c r="T7" s="701" t="s">
        <v>14</v>
      </c>
      <c r="U7" s="702">
        <f t="shared" ref="U7:U14" si="1">H7</f>
        <v>0</v>
      </c>
      <c r="V7" s="701" t="s">
        <v>14</v>
      </c>
      <c r="W7" s="702">
        <f t="shared" ref="W7:W14" si="2">J7</f>
        <v>0</v>
      </c>
      <c r="X7" s="703"/>
      <c r="Y7" s="3675" t="s">
        <v>1680</v>
      </c>
      <c r="Z7" s="3677"/>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75" t="s">
        <v>1683</v>
      </c>
      <c r="Q8" s="3677"/>
      <c r="R8" s="701" t="s">
        <v>14</v>
      </c>
      <c r="S8" s="702">
        <f t="shared" si="0"/>
        <v>100</v>
      </c>
      <c r="T8" s="701" t="s">
        <v>14</v>
      </c>
      <c r="U8" s="702">
        <f t="shared" si="1"/>
        <v>100</v>
      </c>
      <c r="V8" s="701" t="s">
        <v>14</v>
      </c>
      <c r="W8" s="702">
        <f t="shared" si="2"/>
        <v>100</v>
      </c>
      <c r="X8" s="703"/>
      <c r="Y8" s="3675" t="s">
        <v>1683</v>
      </c>
      <c r="Z8" s="3677"/>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61" t="s">
        <v>1686</v>
      </c>
      <c r="Q9" s="1342" t="str">
        <f t="shared" ref="Q9:Q14" si="6">B9</f>
        <v>用途</v>
      </c>
      <c r="R9" s="701" t="s">
        <v>14</v>
      </c>
      <c r="S9" s="702">
        <f t="shared" si="0"/>
        <v>100</v>
      </c>
      <c r="T9" s="701" t="s">
        <v>14</v>
      </c>
      <c r="U9" s="702">
        <f t="shared" si="1"/>
        <v>100</v>
      </c>
      <c r="V9" s="701" t="s">
        <v>14</v>
      </c>
      <c r="W9" s="702">
        <f t="shared" si="2"/>
        <v>100</v>
      </c>
      <c r="X9" s="703"/>
      <c r="Y9" s="3565" t="s">
        <v>1687</v>
      </c>
      <c r="Z9" s="52" t="str">
        <f t="shared" ref="Z9:Z14" si="7">Q9</f>
        <v>用途</v>
      </c>
      <c r="AA9" s="704">
        <f t="shared" si="3"/>
        <v>1</v>
      </c>
      <c r="AB9" s="704">
        <f t="shared" si="4"/>
        <v>1</v>
      </c>
      <c r="AC9" s="704">
        <f t="shared" si="5"/>
        <v>1</v>
      </c>
    </row>
    <row r="10" spans="1:29" s="378" customFormat="1" ht="28.8">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61"/>
      <c r="Q10" s="1342"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61"/>
      <c r="Q11" s="1342">
        <f t="shared" si="6"/>
        <v>111</v>
      </c>
      <c r="R11" s="701" t="s">
        <v>14</v>
      </c>
      <c r="S11" s="702">
        <f t="shared" si="0"/>
        <v>100</v>
      </c>
      <c r="T11" s="701" t="s">
        <v>14</v>
      </c>
      <c r="U11" s="702">
        <f t="shared" si="1"/>
        <v>100</v>
      </c>
      <c r="V11" s="701" t="s">
        <v>14</v>
      </c>
      <c r="W11" s="702">
        <f t="shared" si="2"/>
        <v>100</v>
      </c>
      <c r="X11" s="703"/>
      <c r="Y11" s="356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61"/>
      <c r="Q12" s="1342">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61"/>
      <c r="Q13" s="1342">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93.2">
      <c r="A14" s="355" t="s">
        <v>1690</v>
      </c>
      <c r="B14" s="577" t="s">
        <v>1833</v>
      </c>
      <c r="C14" s="1970" t="str">
        <f>IF(B1="工业",估价对象房地状况!G4,估价对象房地状况!C6)</f>
        <v>估价对象周边有24路、117路、123路、132路、135路、413路、515路等多条公交线路，地铁2号线及13号线换乘站（东直门站），东直门长途汽车站等，综合评价交通便捷度较好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68" t="s">
        <v>1691</v>
      </c>
      <c r="Q14" s="1351" t="str">
        <f t="shared" si="6"/>
        <v>交通便捷度</v>
      </c>
      <c r="R14" s="705" t="s">
        <v>14</v>
      </c>
      <c r="S14" s="706">
        <f t="shared" si="0"/>
        <v>100</v>
      </c>
      <c r="T14" s="705" t="s">
        <v>14</v>
      </c>
      <c r="U14" s="706">
        <f t="shared" si="1"/>
        <v>100</v>
      </c>
      <c r="V14" s="705" t="s">
        <v>14</v>
      </c>
      <c r="W14" s="706">
        <f t="shared" si="2"/>
        <v>100</v>
      </c>
      <c r="X14" s="1354"/>
      <c r="Y14" s="3668"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9"/>
      <c r="M15" s="2713"/>
      <c r="N15" s="2713"/>
      <c r="O15" s="2713"/>
      <c r="P15" s="3669"/>
      <c r="Q15" s="1351"/>
      <c r="R15" s="705"/>
      <c r="S15" s="706"/>
      <c r="T15" s="705"/>
      <c r="U15" s="706"/>
      <c r="V15" s="705"/>
      <c r="W15" s="706"/>
      <c r="X15" s="1354"/>
      <c r="Y15" s="3669"/>
      <c r="Z15" s="1355"/>
      <c r="AA15" s="1352">
        <v>1</v>
      </c>
      <c r="AB15" s="1352">
        <v>1</v>
      </c>
      <c r="AC15" s="1352">
        <v>1</v>
      </c>
    </row>
    <row r="16" spans="1:29" ht="41.4">
      <c r="A16" s="358"/>
      <c r="B16" s="579" t="s">
        <v>1812</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69"/>
      <c r="Q16" s="1351" t="str">
        <f>B16</f>
        <v>公共配套设施</v>
      </c>
      <c r="R16" s="705" t="s">
        <v>14</v>
      </c>
      <c r="S16" s="706">
        <f>F16</f>
        <v>100</v>
      </c>
      <c r="T16" s="705" t="s">
        <v>14</v>
      </c>
      <c r="U16" s="706">
        <f>H16</f>
        <v>100</v>
      </c>
      <c r="V16" s="705" t="s">
        <v>14</v>
      </c>
      <c r="W16" s="706">
        <f>J16</f>
        <v>100</v>
      </c>
      <c r="X16" s="1354"/>
      <c r="Y16" s="3669"/>
      <c r="Z16" s="1355" t="str">
        <f>Q16</f>
        <v>公共配套设施</v>
      </c>
      <c r="AA16" s="1352">
        <f t="shared" si="3"/>
        <v>1</v>
      </c>
      <c r="AB16" s="1352">
        <f t="shared" si="4"/>
        <v>1</v>
      </c>
      <c r="AC16" s="1352">
        <f t="shared" si="5"/>
        <v>1</v>
      </c>
    </row>
    <row r="17" spans="1:29" ht="15">
      <c r="A17" s="358"/>
      <c r="B17" s="580"/>
      <c r="C17" s="1900"/>
      <c r="D17" s="399"/>
      <c r="E17" s="398"/>
      <c r="F17" s="400"/>
      <c r="G17" s="398"/>
      <c r="H17" s="399"/>
      <c r="I17" s="398"/>
      <c r="J17" s="399"/>
      <c r="K17" s="564"/>
      <c r="L17" s="2719"/>
      <c r="M17" s="2713"/>
      <c r="N17" s="2713"/>
      <c r="O17" s="2713"/>
      <c r="P17" s="3669"/>
      <c r="Q17" s="1351"/>
      <c r="R17" s="705"/>
      <c r="S17" s="706"/>
      <c r="T17" s="705"/>
      <c r="U17" s="706"/>
      <c r="V17" s="705"/>
      <c r="W17" s="706"/>
      <c r="X17" s="1354"/>
      <c r="Y17" s="3669"/>
      <c r="Z17" s="1355"/>
      <c r="AA17" s="1352">
        <v>1</v>
      </c>
      <c r="AB17" s="1352">
        <v>1</v>
      </c>
      <c r="AC17" s="1352">
        <v>1</v>
      </c>
    </row>
    <row r="18" spans="1:29" ht="15">
      <c r="A18" s="358"/>
      <c r="B18" s="581" t="s">
        <v>1813</v>
      </c>
      <c r="C18" s="1899"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69"/>
      <c r="Q18" s="1351" t="str">
        <f>B18</f>
        <v>基础设施水平</v>
      </c>
      <c r="R18" s="705" t="s">
        <v>14</v>
      </c>
      <c r="S18" s="706">
        <f>F18</f>
        <v>100</v>
      </c>
      <c r="T18" s="705" t="s">
        <v>14</v>
      </c>
      <c r="U18" s="706">
        <f>H18</f>
        <v>100</v>
      </c>
      <c r="V18" s="705" t="s">
        <v>14</v>
      </c>
      <c r="W18" s="706">
        <f>J18</f>
        <v>100</v>
      </c>
      <c r="X18" s="1354"/>
      <c r="Y18" s="3669"/>
      <c r="Z18" s="1355" t="str">
        <f>Q18</f>
        <v>基础设施水平</v>
      </c>
      <c r="AA18" s="1352">
        <f t="shared" ref="AA18" si="8">D18/F18</f>
        <v>1</v>
      </c>
      <c r="AB18" s="1352">
        <f t="shared" ref="AB18" si="9">D18/H18</f>
        <v>1</v>
      </c>
      <c r="AC18" s="1352">
        <f t="shared" ref="AC18" si="10">D18/J18</f>
        <v>1</v>
      </c>
    </row>
    <row r="19" spans="1:29" ht="15">
      <c r="A19" s="358"/>
      <c r="B19" s="581"/>
      <c r="C19" s="1900"/>
      <c r="D19" s="401"/>
      <c r="E19" s="1900"/>
      <c r="F19" s="404"/>
      <c r="G19" s="1900"/>
      <c r="H19" s="399"/>
      <c r="I19" s="398"/>
      <c r="J19" s="399"/>
      <c r="K19" s="1130"/>
      <c r="L19" s="2719"/>
      <c r="M19" s="2713"/>
      <c r="N19" s="2713"/>
      <c r="O19" s="2713"/>
      <c r="P19" s="3669"/>
      <c r="Q19" s="1351"/>
      <c r="R19" s="705"/>
      <c r="S19" s="706"/>
      <c r="T19" s="705"/>
      <c r="U19" s="706"/>
      <c r="V19" s="705"/>
      <c r="W19" s="706"/>
      <c r="X19" s="1354"/>
      <c r="Y19" s="3669"/>
      <c r="Z19" s="1355"/>
      <c r="AA19" s="1352">
        <v>1</v>
      </c>
      <c r="AB19" s="1352">
        <v>1</v>
      </c>
      <c r="AC19" s="1352">
        <v>1</v>
      </c>
    </row>
    <row r="20" spans="1:29" ht="124.2">
      <c r="A20" s="358"/>
      <c r="B20" s="579" t="s">
        <v>1834</v>
      </c>
      <c r="C20" s="1899" t="str">
        <f>IF(B1="工业",估价对象房地状况!G7,估价对象房地状况!C9)</f>
        <v>区域自然环境：亮马河、东城区亮马河公园；人文环境：工人体育场、东直门外清真寺；综合评价环境状况较好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69"/>
      <c r="Q20" s="1351" t="str">
        <f>B20</f>
        <v>自然及人文环境</v>
      </c>
      <c r="R20" s="705" t="s">
        <v>14</v>
      </c>
      <c r="S20" s="706">
        <f>F20</f>
        <v>100</v>
      </c>
      <c r="T20" s="705" t="s">
        <v>14</v>
      </c>
      <c r="U20" s="706">
        <f>H20</f>
        <v>100</v>
      </c>
      <c r="V20" s="705" t="s">
        <v>14</v>
      </c>
      <c r="W20" s="706">
        <f>J20</f>
        <v>100</v>
      </c>
      <c r="X20" s="1354"/>
      <c r="Y20" s="3669"/>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9"/>
      <c r="M21" s="2713"/>
      <c r="N21" s="2713"/>
      <c r="O21" s="2713"/>
      <c r="P21" s="3669"/>
      <c r="Q21" s="1351"/>
      <c r="R21" s="705"/>
      <c r="S21" s="706"/>
      <c r="T21" s="705"/>
      <c r="U21" s="706"/>
      <c r="V21" s="705"/>
      <c r="W21" s="706"/>
      <c r="X21" s="1354"/>
      <c r="Y21" s="3669"/>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69"/>
      <c r="Q22" s="1351" t="str">
        <f>B22</f>
        <v>楼层</v>
      </c>
      <c r="R22" s="705" t="s">
        <v>14</v>
      </c>
      <c r="S22" s="706">
        <f>F22</f>
        <v>100</v>
      </c>
      <c r="T22" s="705" t="s">
        <v>14</v>
      </c>
      <c r="U22" s="706">
        <f>H22</f>
        <v>100</v>
      </c>
      <c r="V22" s="705" t="s">
        <v>14</v>
      </c>
      <c r="W22" s="706">
        <f>J22</f>
        <v>100</v>
      </c>
      <c r="X22" s="1354"/>
      <c r="Y22" s="3669"/>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69"/>
      <c r="Q23" s="1351">
        <f>B23</f>
        <v>111</v>
      </c>
      <c r="R23" s="705" t="s">
        <v>14</v>
      </c>
      <c r="S23" s="706">
        <f>F23</f>
        <v>100</v>
      </c>
      <c r="T23" s="705" t="s">
        <v>14</v>
      </c>
      <c r="U23" s="706">
        <f>H23</f>
        <v>100</v>
      </c>
      <c r="V23" s="705" t="s">
        <v>14</v>
      </c>
      <c r="W23" s="706">
        <f>J23</f>
        <v>100</v>
      </c>
      <c r="X23" s="1354"/>
      <c r="Y23" s="3669"/>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69"/>
      <c r="Q24" s="1351">
        <f t="shared" ref="Q24:Q36" si="11">B24</f>
        <v>111</v>
      </c>
      <c r="R24" s="705" t="s">
        <v>14</v>
      </c>
      <c r="S24" s="706">
        <f>F24</f>
        <v>100</v>
      </c>
      <c r="T24" s="705" t="s">
        <v>14</v>
      </c>
      <c r="U24" s="706">
        <f>H24</f>
        <v>100</v>
      </c>
      <c r="V24" s="705" t="s">
        <v>14</v>
      </c>
      <c r="W24" s="706">
        <f>J24</f>
        <v>100</v>
      </c>
      <c r="X24" s="1354"/>
      <c r="Y24" s="3669"/>
      <c r="Z24" s="1355">
        <f>Q24</f>
        <v>111</v>
      </c>
      <c r="AA24" s="1352">
        <f t="shared" si="3"/>
        <v>1</v>
      </c>
      <c r="AB24" s="1352">
        <f t="shared" si="4"/>
        <v>1</v>
      </c>
      <c r="AC24" s="1352">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69"/>
      <c r="Q25" s="1342">
        <f t="shared" si="11"/>
        <v>111</v>
      </c>
      <c r="R25" s="701" t="s">
        <v>14</v>
      </c>
      <c r="S25" s="702">
        <f>F25</f>
        <v>100</v>
      </c>
      <c r="T25" s="701" t="s">
        <v>14</v>
      </c>
      <c r="U25" s="702">
        <f>H25</f>
        <v>100</v>
      </c>
      <c r="V25" s="701" t="s">
        <v>14</v>
      </c>
      <c r="W25" s="702">
        <f>J25</f>
        <v>100</v>
      </c>
      <c r="X25" s="703"/>
      <c r="Y25" s="3669"/>
      <c r="Z25" s="52">
        <f>Q25</f>
        <v>111</v>
      </c>
      <c r="AA25" s="1352">
        <f>D25/F25</f>
        <v>1</v>
      </c>
      <c r="AB25" s="1352">
        <f>D25/H25</f>
        <v>1</v>
      </c>
      <c r="AC25" s="1352">
        <f>D25/J25</f>
        <v>1</v>
      </c>
    </row>
    <row r="26" spans="1:29" ht="30">
      <c r="A26" s="600" t="s">
        <v>1694</v>
      </c>
      <c r="B26" s="62" t="s">
        <v>1836</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50"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673"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73"/>
      <c r="Q28" s="1351" t="str">
        <f t="shared" si="11"/>
        <v>公共部分装修</v>
      </c>
      <c r="R28" s="705" t="s">
        <v>14</v>
      </c>
      <c r="S28" s="706">
        <f t="shared" si="12"/>
        <v>100</v>
      </c>
      <c r="T28" s="705" t="s">
        <v>14</v>
      </c>
      <c r="U28" s="706">
        <f t="shared" si="13"/>
        <v>100</v>
      </c>
      <c r="V28" s="705" t="s">
        <v>14</v>
      </c>
      <c r="W28" s="706">
        <f t="shared" si="14"/>
        <v>100</v>
      </c>
      <c r="X28" s="1354"/>
      <c r="Y28" s="3673"/>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73"/>
      <c r="Q29" s="1351" t="str">
        <f t="shared" si="11"/>
        <v>成新率</v>
      </c>
      <c r="R29" s="705" t="s">
        <v>14</v>
      </c>
      <c r="S29" s="706" t="e">
        <f t="shared" si="12"/>
        <v>#N/A</v>
      </c>
      <c r="T29" s="705" t="s">
        <v>14</v>
      </c>
      <c r="U29" s="706" t="e">
        <f t="shared" si="13"/>
        <v>#N/A</v>
      </c>
      <c r="V29" s="705" t="s">
        <v>14</v>
      </c>
      <c r="W29" s="706" t="e">
        <f t="shared" si="14"/>
        <v>#N/A</v>
      </c>
      <c r="X29" s="1354"/>
      <c r="Y29" s="3673"/>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73"/>
      <c r="Q30" s="1351" t="str">
        <f t="shared" si="11"/>
        <v>物业等级</v>
      </c>
      <c r="R30" s="705" t="s">
        <v>14</v>
      </c>
      <c r="S30" s="706">
        <f t="shared" si="12"/>
        <v>100</v>
      </c>
      <c r="T30" s="705" t="s">
        <v>14</v>
      </c>
      <c r="U30" s="706">
        <f t="shared" si="13"/>
        <v>100</v>
      </c>
      <c r="V30" s="705" t="s">
        <v>14</v>
      </c>
      <c r="W30" s="706">
        <f t="shared" si="14"/>
        <v>100</v>
      </c>
      <c r="X30" s="1354"/>
      <c r="Y30" s="3673"/>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73"/>
      <c r="Q31" s="1342"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73" t="s">
        <v>1696</v>
      </c>
      <c r="Q32" s="1351" t="str">
        <f t="shared" si="11"/>
        <v>车位类型</v>
      </c>
      <c r="R32" s="705" t="s">
        <v>14</v>
      </c>
      <c r="S32" s="706">
        <f t="shared" si="12"/>
        <v>100</v>
      </c>
      <c r="T32" s="705" t="s">
        <v>14</v>
      </c>
      <c r="U32" s="706">
        <f t="shared" si="13"/>
        <v>100</v>
      </c>
      <c r="V32" s="705" t="s">
        <v>14</v>
      </c>
      <c r="W32" s="706">
        <f t="shared" si="14"/>
        <v>100</v>
      </c>
      <c r="X32" s="1354"/>
      <c r="Y32" s="3673"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73"/>
      <c r="Q33" s="1351" t="str">
        <f t="shared" si="11"/>
        <v>是否直接入户</v>
      </c>
      <c r="R33" s="705" t="s">
        <v>14</v>
      </c>
      <c r="S33" s="706">
        <f t="shared" si="12"/>
        <v>100</v>
      </c>
      <c r="T33" s="705" t="s">
        <v>14</v>
      </c>
      <c r="U33" s="706">
        <f t="shared" si="13"/>
        <v>100</v>
      </c>
      <c r="V33" s="705" t="s">
        <v>14</v>
      </c>
      <c r="W33" s="706">
        <f t="shared" si="14"/>
        <v>100</v>
      </c>
      <c r="X33" s="1354"/>
      <c r="Y33" s="3673"/>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73"/>
      <c r="Q34" s="1351">
        <f t="shared" si="11"/>
        <v>111</v>
      </c>
      <c r="R34" s="705" t="s">
        <v>14</v>
      </c>
      <c r="S34" s="706">
        <f t="shared" si="12"/>
        <v>100</v>
      </c>
      <c r="T34" s="705" t="s">
        <v>14</v>
      </c>
      <c r="U34" s="706">
        <f t="shared" si="13"/>
        <v>100</v>
      </c>
      <c r="V34" s="705" t="s">
        <v>14</v>
      </c>
      <c r="W34" s="706">
        <f t="shared" si="14"/>
        <v>100</v>
      </c>
      <c r="X34" s="1354"/>
      <c r="Y34" s="3673"/>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2">
        <f t="shared" si="3"/>
        <v>1</v>
      </c>
      <c r="AB35" s="1352">
        <f t="shared" si="4"/>
        <v>1</v>
      </c>
      <c r="AC35" s="1352">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73"/>
      <c r="Q36" s="1351">
        <f t="shared" si="11"/>
        <v>111</v>
      </c>
      <c r="R36" s="705" t="s">
        <v>14</v>
      </c>
      <c r="S36" s="706">
        <f t="shared" si="12"/>
        <v>100</v>
      </c>
      <c r="T36" s="705" t="s">
        <v>14</v>
      </c>
      <c r="U36" s="706">
        <f t="shared" si="13"/>
        <v>100</v>
      </c>
      <c r="V36" s="705" t="s">
        <v>14</v>
      </c>
      <c r="W36" s="706">
        <f t="shared" si="14"/>
        <v>100</v>
      </c>
      <c r="X36" s="1354"/>
      <c r="Y36" s="3673"/>
      <c r="Z36" s="1355">
        <f t="shared" si="15"/>
        <v>111</v>
      </c>
      <c r="AA36" s="1352">
        <f t="shared" si="3"/>
        <v>1</v>
      </c>
      <c r="AB36" s="1352">
        <f t="shared" si="4"/>
        <v>1</v>
      </c>
      <c r="AC36" s="1352">
        <f t="shared" si="5"/>
        <v>1</v>
      </c>
    </row>
    <row r="37" spans="1:29" ht="14.4">
      <c r="A37" s="430" t="s">
        <v>1844</v>
      </c>
      <c r="B37" s="1972" t="s">
        <v>3351</v>
      </c>
      <c r="C37" s="1154" t="s">
        <v>0</v>
      </c>
      <c r="D37" s="1155"/>
      <c r="E37" s="1156"/>
      <c r="F37" s="1157"/>
      <c r="G37" s="1158"/>
      <c r="H37" s="1159"/>
      <c r="I37" s="1156"/>
      <c r="J37" s="1159"/>
      <c r="K37" s="568"/>
      <c r="L37" s="2721"/>
      <c r="M37" s="2722"/>
      <c r="N37" s="2713"/>
      <c r="O37" s="2722"/>
      <c r="P37" s="3661" t="str">
        <f>A37</f>
        <v>成交单价</v>
      </c>
      <c r="Q37" s="3661"/>
      <c r="R37" s="3662">
        <f>E37</f>
        <v>0</v>
      </c>
      <c r="S37" s="3662"/>
      <c r="T37" s="3662">
        <f>G37</f>
        <v>0</v>
      </c>
      <c r="U37" s="3662"/>
      <c r="V37" s="3662">
        <f>I37</f>
        <v>0</v>
      </c>
      <c r="W37" s="3662"/>
      <c r="X37" s="690"/>
      <c r="Y37" s="712"/>
      <c r="Z37" s="690"/>
      <c r="AA37" s="690"/>
      <c r="AB37" s="690"/>
      <c r="AC37" s="690"/>
    </row>
    <row r="38" spans="1:29" ht="15" thickBot="1">
      <c r="A38" s="437" t="s">
        <v>1845</v>
      </c>
      <c r="B38" s="438" t="str">
        <f>B37</f>
        <v>元/平方米</v>
      </c>
      <c r="C38" s="1160" t="e">
        <f>R39</f>
        <v>#DIV/0!</v>
      </c>
      <c r="D38" s="2316" t="s">
        <v>2136</v>
      </c>
      <c r="E38" s="1161" t="e">
        <f>R38</f>
        <v>#DIV/0!</v>
      </c>
      <c r="F38" s="2317"/>
      <c r="G38" s="1160" t="e">
        <f>T38</f>
        <v>#DIV/0!</v>
      </c>
      <c r="H38" s="2317"/>
      <c r="I38" s="1161" t="e">
        <f>V38</f>
        <v>#DIV/0!</v>
      </c>
      <c r="J38" s="2317"/>
      <c r="K38" s="2319">
        <f>F38+H38+J38</f>
        <v>0</v>
      </c>
      <c r="L38" s="2721"/>
      <c r="M38" s="2722"/>
      <c r="N38" s="2722"/>
      <c r="O38" s="2722"/>
      <c r="P38" s="3661" t="str">
        <f>A38</f>
        <v>比较价值（元/平方米）</v>
      </c>
      <c r="Q38" s="3661"/>
      <c r="R38" s="3662" t="e">
        <f>IF(F1="售价",ROUND(PRODUCT(R37,AA7:AA36),0),ROUND(PRODUCT(R37,AA7:AA36),1))</f>
        <v>#DIV/0!</v>
      </c>
      <c r="S38" s="3662"/>
      <c r="T38" s="3662" t="e">
        <f>IF(F1="售价",ROUND(PRODUCT(T37,AB7:AB36),0),ROUND(PRODUCT(T37,AB7:AB36),1))</f>
        <v>#DIV/0!</v>
      </c>
      <c r="U38" s="3662"/>
      <c r="V38" s="3662" t="e">
        <f>IF(F1="售价",ROUND(PRODUCT(V37,AC7:AC36),0),ROUND(PRODUCT(V37,AC7:AC36),1))</f>
        <v>#DIV/0!</v>
      </c>
      <c r="W38" s="3662"/>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1"/>
      <c r="M39" s="2722"/>
      <c r="N39" s="2722"/>
      <c r="O39" s="2722"/>
      <c r="P39" s="3663" t="str">
        <f>A39</f>
        <v>估价对象XX用房的比较价值（楼面单价，元/平方米）</v>
      </c>
      <c r="Q39" s="3664"/>
      <c r="R39" s="3751" t="e">
        <f>IF(F1="售价",ROUND(IF(D38="简单平均",AVERAGE(R38:W38),R38*F38+T38*H38+V38*J38),0),ROUND(IF(D38="简单平均",AVERAGE(R38:V38),R38*F38+T38*H38+V38*J38),1))</f>
        <v>#DIV/0!</v>
      </c>
      <c r="S39" s="3751"/>
      <c r="T39" s="3751"/>
      <c r="U39" s="3751"/>
      <c r="V39" s="3751"/>
      <c r="W39" s="3751"/>
      <c r="X39" s="690"/>
      <c r="Y39" s="690"/>
      <c r="Z39" s="690"/>
      <c r="AA39" s="690"/>
      <c r="AB39" s="690"/>
      <c r="AC39" s="690"/>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2.2" thickBot="1">
      <c r="A47" s="1166" t="s">
        <v>1850</v>
      </c>
      <c r="B47" s="927"/>
      <c r="C47" s="940"/>
      <c r="D47" s="940"/>
      <c r="E47" s="940"/>
      <c r="F47" s="1167"/>
      <c r="G47" s="1167"/>
      <c r="H47" s="940"/>
      <c r="I47" s="940"/>
      <c r="J47" s="940"/>
      <c r="K47" s="941"/>
      <c r="L47" s="942"/>
      <c r="M47" s="940"/>
      <c r="N47" s="2766"/>
      <c r="O47" s="2766"/>
      <c r="P47" s="2755"/>
      <c r="Q47" s="2736"/>
      <c r="R47" s="2722"/>
      <c r="S47" s="2722"/>
      <c r="T47" s="2722"/>
      <c r="U47" s="2722"/>
      <c r="V47" s="2722"/>
      <c r="W47" s="2722"/>
      <c r="X47" s="2722"/>
      <c r="Y47" s="2722"/>
      <c r="Z47" s="2722"/>
      <c r="AA47" s="2722"/>
      <c r="AB47" s="2722"/>
      <c r="AC47" s="2722"/>
    </row>
    <row r="48" spans="1:29" s="457" customFormat="1" ht="14.4">
      <c r="A48" s="454" t="s">
        <v>1851</v>
      </c>
      <c r="B48" s="455"/>
      <c r="C48" s="1183" t="str">
        <f>YEAR(C7)&amp;"-"&amp;MONTH(C7)</f>
        <v>2024-11</v>
      </c>
      <c r="D48" s="1184">
        <f>EDATE(C48,-1)</f>
        <v>45566</v>
      </c>
      <c r="E48" s="1184">
        <f t="shared" ref="E48:O48" si="16">EDATE(D48,-1)</f>
        <v>45536</v>
      </c>
      <c r="F48" s="1184">
        <f t="shared" si="16"/>
        <v>45505</v>
      </c>
      <c r="G48" s="1184">
        <f t="shared" si="16"/>
        <v>45474</v>
      </c>
      <c r="H48" s="1184">
        <f t="shared" si="16"/>
        <v>45444</v>
      </c>
      <c r="I48" s="1184">
        <f t="shared" si="16"/>
        <v>45413</v>
      </c>
      <c r="J48" s="1184">
        <f t="shared" si="16"/>
        <v>45383</v>
      </c>
      <c r="K48" s="1184">
        <f t="shared" si="16"/>
        <v>45352</v>
      </c>
      <c r="L48" s="1184">
        <f t="shared" si="16"/>
        <v>45323</v>
      </c>
      <c r="M48" s="1184">
        <f t="shared" si="16"/>
        <v>45292</v>
      </c>
      <c r="N48" s="1184">
        <f t="shared" si="16"/>
        <v>45261</v>
      </c>
      <c r="O48" s="1184">
        <f t="shared" si="16"/>
        <v>45231</v>
      </c>
      <c r="P48" s="2756"/>
      <c r="Q48" s="2738"/>
      <c r="R48" s="2738"/>
      <c r="S48" s="2738"/>
      <c r="T48" s="2738"/>
      <c r="U48" s="2738"/>
      <c r="V48" s="2738"/>
      <c r="W48" s="2738"/>
      <c r="X48" s="2738"/>
      <c r="Y48" s="2738"/>
      <c r="Z48" s="2738"/>
      <c r="AA48" s="2738"/>
      <c r="AB48" s="2738"/>
      <c r="AC48" s="2738"/>
    </row>
    <row r="49" spans="1:29" s="108" customFormat="1">
      <c r="A49" s="458"/>
      <c r="B49" s="459"/>
      <c r="C49" s="1177">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4.4">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4.4"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ht="14.4">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4.4"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9.4"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4.4"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4.4"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4.4"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4.4"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4.4"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4.4"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4.4"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 thickTop="1">
      <c r="A67" s="483"/>
      <c r="B67" s="495" t="s">
        <v>1813</v>
      </c>
      <c r="C67" s="608" t="s">
        <v>1799</v>
      </c>
      <c r="D67" s="608" t="s">
        <v>1800</v>
      </c>
      <c r="E67" s="608" t="s">
        <v>1801</v>
      </c>
      <c r="F67" s="608" t="s">
        <v>1802</v>
      </c>
      <c r="G67" s="608" t="s">
        <v>1803</v>
      </c>
      <c r="H67" s="488"/>
      <c r="I67" s="488"/>
      <c r="J67" s="488"/>
      <c r="K67" s="488"/>
      <c r="L67" s="488"/>
      <c r="M67" s="1129"/>
      <c r="N67" s="2751"/>
      <c r="O67" s="2751"/>
      <c r="P67" s="2759"/>
      <c r="Q67" s="2736"/>
      <c r="R67" s="2722"/>
      <c r="S67" s="2722"/>
      <c r="T67" s="2722"/>
      <c r="U67" s="2722"/>
      <c r="V67" s="2722"/>
      <c r="W67" s="2722"/>
      <c r="X67" s="2722"/>
      <c r="Y67" s="2722"/>
      <c r="Z67" s="2722"/>
      <c r="AA67" s="2722"/>
      <c r="AB67" s="2722"/>
      <c r="AC67" s="2722"/>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4.4"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4.4"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4.4"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4.4"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4.4"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4.4"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9.4"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4.4"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4.4"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4.4"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4.4"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4.4"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4.4"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4.4"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4.4"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4.4"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2" customFormat="1" ht="28.5" customHeight="1" thickBot="1">
      <c r="A1" s="1221" t="s">
        <v>1831</v>
      </c>
      <c r="B1" s="1222" t="s">
        <v>3331</v>
      </c>
      <c r="C1" s="1223" t="s">
        <v>1662</v>
      </c>
      <c r="D1" s="1224"/>
      <c r="E1" s="3430"/>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689" t="s">
        <v>1770</v>
      </c>
      <c r="D4" s="3690"/>
      <c r="E4" s="3691" t="s">
        <v>1771</v>
      </c>
      <c r="F4" s="3692"/>
      <c r="G4" s="3689" t="s">
        <v>1772</v>
      </c>
      <c r="H4" s="3690"/>
      <c r="I4" s="3689" t="s">
        <v>1773</v>
      </c>
      <c r="J4" s="3690"/>
      <c r="K4" s="559" t="s">
        <v>1774</v>
      </c>
      <c r="L4" s="2712"/>
      <c r="M4" s="2713"/>
      <c r="N4" s="2713"/>
      <c r="O4" s="2713"/>
      <c r="P4" s="3693" t="s">
        <v>1775</v>
      </c>
      <c r="Q4" s="3694"/>
      <c r="R4" s="3679" t="s">
        <v>1771</v>
      </c>
      <c r="S4" s="3680"/>
      <c r="T4" s="3679" t="s">
        <v>1772</v>
      </c>
      <c r="U4" s="3680"/>
      <c r="V4" s="3685" t="s">
        <v>1773</v>
      </c>
      <c r="W4" s="3685"/>
      <c r="X4" s="1354"/>
      <c r="Y4" s="3679" t="s">
        <v>1775</v>
      </c>
      <c r="Z4" s="3680"/>
      <c r="AA4" s="3686" t="s">
        <v>1771</v>
      </c>
      <c r="AB4" s="3687" t="s">
        <v>1772</v>
      </c>
      <c r="AC4" s="3686" t="s">
        <v>1773</v>
      </c>
    </row>
    <row r="5" spans="1:29">
      <c r="A5" s="358"/>
      <c r="B5" s="359"/>
      <c r="C5" s="3707" t="s">
        <v>1673</v>
      </c>
      <c r="D5" s="3700"/>
      <c r="E5" s="3734" t="s">
        <v>1674</v>
      </c>
      <c r="F5" s="3702"/>
      <c r="G5" s="3707" t="s">
        <v>1675</v>
      </c>
      <c r="H5" s="3700"/>
      <c r="I5" s="3707" t="s">
        <v>1676</v>
      </c>
      <c r="J5" s="3700"/>
      <c r="K5" s="559"/>
      <c r="L5" s="2712"/>
      <c r="M5" s="2713"/>
      <c r="N5" s="2713"/>
      <c r="O5" s="2713"/>
      <c r="P5" s="3695"/>
      <c r="Q5" s="3696"/>
      <c r="R5" s="3681"/>
      <c r="S5" s="3682"/>
      <c r="T5" s="3681"/>
      <c r="U5" s="3682"/>
      <c r="V5" s="3685"/>
      <c r="W5" s="3685"/>
      <c r="X5" s="1354"/>
      <c r="Y5" s="3681"/>
      <c r="Z5" s="3682"/>
      <c r="AA5" s="3687"/>
      <c r="AB5" s="3687"/>
      <c r="AC5" s="3687"/>
    </row>
    <row r="6" spans="1:29" ht="15" thickBot="1">
      <c r="A6" s="360"/>
      <c r="B6" s="361"/>
      <c r="C6" s="3703" t="s">
        <v>1677</v>
      </c>
      <c r="D6" s="3704"/>
      <c r="E6" s="3705" t="s">
        <v>1677</v>
      </c>
      <c r="F6" s="3706"/>
      <c r="G6" s="3703" t="s">
        <v>1677</v>
      </c>
      <c r="H6" s="3704"/>
      <c r="I6" s="3703" t="s">
        <v>1677</v>
      </c>
      <c r="J6" s="3704"/>
      <c r="K6" s="559" t="s">
        <v>1678</v>
      </c>
      <c r="L6" s="2712"/>
      <c r="M6" s="2713"/>
      <c r="N6" s="2713"/>
      <c r="O6" s="2713"/>
      <c r="P6" s="3697"/>
      <c r="Q6" s="3698"/>
      <c r="R6" s="3681"/>
      <c r="S6" s="3682"/>
      <c r="T6" s="3683"/>
      <c r="U6" s="3684"/>
      <c r="V6" s="3685"/>
      <c r="W6" s="3685"/>
      <c r="X6" s="1354"/>
      <c r="Y6" s="3683"/>
      <c r="Z6" s="3684"/>
      <c r="AA6" s="3688"/>
      <c r="AB6" s="3688"/>
      <c r="AC6" s="3688"/>
    </row>
    <row r="7" spans="1:29" s="108" customFormat="1" ht="15" thickBot="1">
      <c r="A7" s="362" t="s">
        <v>1679</v>
      </c>
      <c r="B7" s="363"/>
      <c r="C7" s="364">
        <f>'数据-取费表'!B2</f>
        <v>45622</v>
      </c>
      <c r="D7" s="365">
        <v>100</v>
      </c>
      <c r="E7" s="366"/>
      <c r="F7" s="367">
        <f>SUMIF(46:46,YEAR(E7)&amp;"-"&amp;MONTH(E7),47:47)</f>
        <v>0</v>
      </c>
      <c r="G7" s="1973"/>
      <c r="H7" s="365">
        <f>SUMIF(46:46,YEAR(G7)&amp;"-"&amp;MONTH(G7),47:47)</f>
        <v>0</v>
      </c>
      <c r="I7" s="366"/>
      <c r="J7" s="365">
        <f>SUMIF(46:46,YEAR(I7)&amp;"-"&amp;MONTH(I7),47:47)</f>
        <v>0</v>
      </c>
      <c r="K7" s="560"/>
      <c r="L7" s="2714"/>
      <c r="M7" s="2715"/>
      <c r="N7" s="2715"/>
      <c r="O7" s="2715"/>
      <c r="P7" s="3675" t="s">
        <v>1680</v>
      </c>
      <c r="Q7" s="3676"/>
      <c r="R7" s="701" t="s">
        <v>14</v>
      </c>
      <c r="S7" s="702">
        <f t="shared" ref="S7:S14" si="0">F7</f>
        <v>0</v>
      </c>
      <c r="T7" s="701" t="s">
        <v>14</v>
      </c>
      <c r="U7" s="702">
        <f t="shared" ref="U7:U14" si="1">H7</f>
        <v>0</v>
      </c>
      <c r="V7" s="701" t="s">
        <v>14</v>
      </c>
      <c r="W7" s="702">
        <f t="shared" ref="W7:W14" si="2">J7</f>
        <v>0</v>
      </c>
      <c r="X7" s="703"/>
      <c r="Y7" s="3675" t="s">
        <v>1680</v>
      </c>
      <c r="Z7" s="3677"/>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75" t="s">
        <v>1683</v>
      </c>
      <c r="Q8" s="3677"/>
      <c r="R8" s="701" t="s">
        <v>14</v>
      </c>
      <c r="S8" s="702">
        <f t="shared" si="0"/>
        <v>100</v>
      </c>
      <c r="T8" s="701" t="s">
        <v>14</v>
      </c>
      <c r="U8" s="702">
        <f t="shared" si="1"/>
        <v>100</v>
      </c>
      <c r="V8" s="701" t="s">
        <v>14</v>
      </c>
      <c r="W8" s="702">
        <f t="shared" si="2"/>
        <v>100</v>
      </c>
      <c r="X8" s="703"/>
      <c r="Y8" s="3675" t="s">
        <v>1683</v>
      </c>
      <c r="Z8" s="3677"/>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61" t="s">
        <v>1686</v>
      </c>
      <c r="Q9" s="1342" t="str">
        <f t="shared" ref="Q9:Q14" si="6">B9</f>
        <v>用途</v>
      </c>
      <c r="R9" s="701" t="s">
        <v>14</v>
      </c>
      <c r="S9" s="702">
        <f t="shared" si="0"/>
        <v>100</v>
      </c>
      <c r="T9" s="701" t="s">
        <v>14</v>
      </c>
      <c r="U9" s="702">
        <f t="shared" si="1"/>
        <v>100</v>
      </c>
      <c r="V9" s="701" t="s">
        <v>14</v>
      </c>
      <c r="W9" s="702">
        <f t="shared" si="2"/>
        <v>100</v>
      </c>
      <c r="X9" s="703"/>
      <c r="Y9" s="3565" t="s">
        <v>1687</v>
      </c>
      <c r="Z9" s="52" t="str">
        <f t="shared" ref="Z9:Z14" si="7">Q9</f>
        <v>用途</v>
      </c>
      <c r="AA9" s="704">
        <f t="shared" si="3"/>
        <v>1</v>
      </c>
      <c r="AB9" s="704">
        <f t="shared" si="4"/>
        <v>1</v>
      </c>
      <c r="AC9" s="704">
        <f t="shared" si="5"/>
        <v>1</v>
      </c>
    </row>
    <row r="10" spans="1:29" s="378" customFormat="1" ht="28.8">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61"/>
      <c r="Q10" s="1342" t="str">
        <f t="shared" si="6"/>
        <v>土地使用年限（年）</v>
      </c>
      <c r="R10" s="701" t="s">
        <v>14</v>
      </c>
      <c r="S10" s="702">
        <f t="shared" si="0"/>
        <v>100</v>
      </c>
      <c r="T10" s="701" t="s">
        <v>14</v>
      </c>
      <c r="U10" s="702">
        <f t="shared" si="1"/>
        <v>100</v>
      </c>
      <c r="V10" s="701" t="s">
        <v>14</v>
      </c>
      <c r="W10" s="702">
        <f t="shared" si="2"/>
        <v>100</v>
      </c>
      <c r="X10" s="703"/>
      <c r="Y10" s="3565"/>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61"/>
      <c r="Q11" s="1342">
        <f t="shared" si="6"/>
        <v>111</v>
      </c>
      <c r="R11" s="701" t="s">
        <v>14</v>
      </c>
      <c r="S11" s="702">
        <f t="shared" si="0"/>
        <v>100</v>
      </c>
      <c r="T11" s="701" t="s">
        <v>14</v>
      </c>
      <c r="U11" s="702">
        <f t="shared" si="1"/>
        <v>100</v>
      </c>
      <c r="V11" s="701" t="s">
        <v>14</v>
      </c>
      <c r="W11" s="702">
        <f t="shared" si="2"/>
        <v>100</v>
      </c>
      <c r="X11" s="703"/>
      <c r="Y11" s="3565"/>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61"/>
      <c r="Q12" s="1342">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6"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19"/>
      <c r="M13" s="2713"/>
      <c r="N13" s="2713"/>
      <c r="O13" s="2771"/>
      <c r="P13" s="3661"/>
      <c r="Q13" s="1342">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93.2">
      <c r="A14" s="391" t="s">
        <v>1690</v>
      </c>
      <c r="B14" s="61" t="s">
        <v>1833</v>
      </c>
      <c r="C14" s="1970" t="str">
        <f>IF(B1="工业",估价对象房地状况!G4,估价对象房地状况!C6)</f>
        <v>估价对象周边有24路、117路、123路、132路、135路、413路、515路等多条公交线路，地铁2号线及13号线换乘站（东直门站），东直门长途汽车站等，综合评价交通便捷度较好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68" t="s">
        <v>1691</v>
      </c>
      <c r="Q14" s="1351" t="str">
        <f t="shared" si="6"/>
        <v>交通便捷度</v>
      </c>
      <c r="R14" s="705" t="s">
        <v>14</v>
      </c>
      <c r="S14" s="706">
        <f t="shared" si="0"/>
        <v>100</v>
      </c>
      <c r="T14" s="705" t="s">
        <v>14</v>
      </c>
      <c r="U14" s="706">
        <f t="shared" si="1"/>
        <v>100</v>
      </c>
      <c r="V14" s="705" t="s">
        <v>14</v>
      </c>
      <c r="W14" s="706">
        <f t="shared" si="2"/>
        <v>100</v>
      </c>
      <c r="X14" s="1354"/>
      <c r="Y14" s="3668"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9"/>
      <c r="M15" s="2713"/>
      <c r="N15" s="2713"/>
      <c r="O15" s="2771"/>
      <c r="P15" s="3669"/>
      <c r="Q15" s="1351"/>
      <c r="R15" s="705"/>
      <c r="S15" s="706"/>
      <c r="T15" s="705"/>
      <c r="U15" s="706"/>
      <c r="V15" s="705"/>
      <c r="W15" s="706"/>
      <c r="X15" s="1354"/>
      <c r="Y15" s="3669"/>
      <c r="Z15" s="1355"/>
      <c r="AA15" s="1352">
        <v>1</v>
      </c>
      <c r="AB15" s="1352">
        <v>1</v>
      </c>
      <c r="AC15" s="1352">
        <v>1</v>
      </c>
    </row>
    <row r="16" spans="1:29" ht="41.4">
      <c r="A16" s="379"/>
      <c r="B16" s="402" t="s">
        <v>1812</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69"/>
      <c r="Q16" s="1351" t="str">
        <f>B16</f>
        <v>公共配套设施</v>
      </c>
      <c r="R16" s="705" t="s">
        <v>14</v>
      </c>
      <c r="S16" s="706">
        <f>F16</f>
        <v>100</v>
      </c>
      <c r="T16" s="705" t="s">
        <v>14</v>
      </c>
      <c r="U16" s="706">
        <f>H16</f>
        <v>100</v>
      </c>
      <c r="V16" s="705" t="s">
        <v>14</v>
      </c>
      <c r="W16" s="706">
        <f>J16</f>
        <v>100</v>
      </c>
      <c r="X16" s="1354"/>
      <c r="Y16" s="3669"/>
      <c r="Z16" s="1355" t="str">
        <f>Q16</f>
        <v>公共配套设施</v>
      </c>
      <c r="AA16" s="1352">
        <f t="shared" si="3"/>
        <v>1</v>
      </c>
      <c r="AB16" s="1352">
        <f t="shared" si="4"/>
        <v>1</v>
      </c>
      <c r="AC16" s="1352">
        <f t="shared" si="5"/>
        <v>1</v>
      </c>
    </row>
    <row r="17" spans="1:29" ht="15">
      <c r="A17" s="379"/>
      <c r="B17" s="407"/>
      <c r="C17" s="1900"/>
      <c r="D17" s="399"/>
      <c r="E17" s="398"/>
      <c r="F17" s="400"/>
      <c r="G17" s="398"/>
      <c r="H17" s="399"/>
      <c r="I17" s="398"/>
      <c r="J17" s="399"/>
      <c r="K17" s="564"/>
      <c r="L17" s="2719"/>
      <c r="M17" s="2713"/>
      <c r="N17" s="2713"/>
      <c r="O17" s="2771"/>
      <c r="P17" s="3669"/>
      <c r="Q17" s="1351"/>
      <c r="R17" s="705"/>
      <c r="S17" s="706"/>
      <c r="T17" s="705"/>
      <c r="U17" s="706"/>
      <c r="V17" s="705"/>
      <c r="W17" s="706"/>
      <c r="X17" s="1354"/>
      <c r="Y17" s="3669"/>
      <c r="Z17" s="1355"/>
      <c r="AA17" s="1352">
        <v>1</v>
      </c>
      <c r="AB17" s="1352">
        <v>1</v>
      </c>
      <c r="AC17" s="1352">
        <v>1</v>
      </c>
    </row>
    <row r="18" spans="1:29" ht="15">
      <c r="A18" s="379"/>
      <c r="B18" s="1131" t="s">
        <v>1813</v>
      </c>
      <c r="C18" s="1899"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69"/>
      <c r="Q18" s="1351" t="str">
        <f>B18</f>
        <v>基础设施水平</v>
      </c>
      <c r="R18" s="705" t="s">
        <v>14</v>
      </c>
      <c r="S18" s="706">
        <f>F18</f>
        <v>100</v>
      </c>
      <c r="T18" s="705" t="s">
        <v>14</v>
      </c>
      <c r="U18" s="706">
        <f>H18</f>
        <v>100</v>
      </c>
      <c r="V18" s="705" t="s">
        <v>14</v>
      </c>
      <c r="W18" s="706">
        <f>J18</f>
        <v>100</v>
      </c>
      <c r="X18" s="1354"/>
      <c r="Y18" s="3669"/>
      <c r="Z18" s="1355" t="str">
        <f>Q18</f>
        <v>基础设施水平</v>
      </c>
      <c r="AA18" s="1352">
        <f t="shared" ref="AA18" si="8">D18/F18</f>
        <v>1</v>
      </c>
      <c r="AB18" s="1352">
        <f t="shared" ref="AB18" si="9">D18/H18</f>
        <v>1</v>
      </c>
      <c r="AC18" s="1352">
        <f t="shared" ref="AC18" si="10">D18/J18</f>
        <v>1</v>
      </c>
    </row>
    <row r="19" spans="1:29" ht="15">
      <c r="A19" s="379"/>
      <c r="B19" s="1131"/>
      <c r="C19" s="1900"/>
      <c r="D19" s="401"/>
      <c r="E19" s="1900"/>
      <c r="F19" s="404"/>
      <c r="G19" s="1900"/>
      <c r="H19" s="399"/>
      <c r="I19" s="398"/>
      <c r="J19" s="399"/>
      <c r="K19" s="1130"/>
      <c r="L19" s="2719"/>
      <c r="M19" s="2713"/>
      <c r="N19" s="2713"/>
      <c r="O19" s="2771"/>
      <c r="P19" s="3669"/>
      <c r="Q19" s="1351"/>
      <c r="R19" s="705"/>
      <c r="S19" s="706"/>
      <c r="T19" s="705"/>
      <c r="U19" s="706"/>
      <c r="V19" s="705"/>
      <c r="W19" s="706"/>
      <c r="X19" s="1354"/>
      <c r="Y19" s="3669"/>
      <c r="Z19" s="1355"/>
      <c r="AA19" s="1352">
        <v>1</v>
      </c>
      <c r="AB19" s="1352">
        <v>1</v>
      </c>
      <c r="AC19" s="1352">
        <v>1</v>
      </c>
    </row>
    <row r="20" spans="1:29" ht="124.2">
      <c r="A20" s="379"/>
      <c r="B20" s="402" t="s">
        <v>1834</v>
      </c>
      <c r="C20" s="1899" t="str">
        <f>IF(B1="工业",估价对象房地状况!G7,估价对象房地状况!C9)</f>
        <v>区域自然环境：亮马河、东城区亮马河公园；人文环境：工人体育场、东直门外清真寺；综合评价环境状况较好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69"/>
      <c r="Q20" s="1351" t="str">
        <f>B20</f>
        <v>自然及人文环境</v>
      </c>
      <c r="R20" s="705" t="s">
        <v>14</v>
      </c>
      <c r="S20" s="706">
        <f>F20</f>
        <v>100</v>
      </c>
      <c r="T20" s="705" t="s">
        <v>14</v>
      </c>
      <c r="U20" s="706">
        <f>H20</f>
        <v>100</v>
      </c>
      <c r="V20" s="705" t="s">
        <v>14</v>
      </c>
      <c r="W20" s="706">
        <f>J20</f>
        <v>100</v>
      </c>
      <c r="X20" s="1354"/>
      <c r="Y20" s="3669"/>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9"/>
      <c r="M21" s="2713"/>
      <c r="N21" s="2713"/>
      <c r="O21" s="2771"/>
      <c r="P21" s="3669"/>
      <c r="Q21" s="1351"/>
      <c r="R21" s="705"/>
      <c r="S21" s="706"/>
      <c r="T21" s="705"/>
      <c r="U21" s="706"/>
      <c r="V21" s="705"/>
      <c r="W21" s="706"/>
      <c r="X21" s="1354"/>
      <c r="Y21" s="3669"/>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69"/>
      <c r="Q22" s="1351" t="str">
        <f>B22</f>
        <v>楼层</v>
      </c>
      <c r="R22" s="705" t="s">
        <v>14</v>
      </c>
      <c r="S22" s="706">
        <f>F22</f>
        <v>100</v>
      </c>
      <c r="T22" s="705" t="s">
        <v>14</v>
      </c>
      <c r="U22" s="706">
        <f>H22</f>
        <v>100</v>
      </c>
      <c r="V22" s="705" t="s">
        <v>14</v>
      </c>
      <c r="W22" s="706">
        <f>J22</f>
        <v>100</v>
      </c>
      <c r="X22" s="1354"/>
      <c r="Y22" s="3669"/>
      <c r="Z22" s="1355" t="str">
        <f>Q22</f>
        <v>楼层</v>
      </c>
      <c r="AA22" s="1352">
        <f t="shared" si="3"/>
        <v>1</v>
      </c>
      <c r="AB22" s="1352">
        <f t="shared" si="4"/>
        <v>1</v>
      </c>
      <c r="AC22" s="1352">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69"/>
      <c r="Q23" s="1351">
        <f>B23</f>
        <v>111</v>
      </c>
      <c r="R23" s="705" t="s">
        <v>14</v>
      </c>
      <c r="S23" s="706">
        <f>F23</f>
        <v>100</v>
      </c>
      <c r="T23" s="705" t="s">
        <v>14</v>
      </c>
      <c r="U23" s="706">
        <f>H23</f>
        <v>100</v>
      </c>
      <c r="V23" s="705" t="s">
        <v>14</v>
      </c>
      <c r="W23" s="706">
        <f>J23</f>
        <v>100</v>
      </c>
      <c r="X23" s="1354"/>
      <c r="Y23" s="3669"/>
      <c r="Z23" s="1355">
        <f>Q23</f>
        <v>111</v>
      </c>
      <c r="AA23" s="1352">
        <f t="shared" si="3"/>
        <v>1</v>
      </c>
      <c r="AB23" s="1352">
        <f t="shared" si="4"/>
        <v>1</v>
      </c>
      <c r="AC23" s="1352">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69"/>
      <c r="Q24" s="1351">
        <f t="shared" ref="Q24:Q34" si="11">B24</f>
        <v>111</v>
      </c>
      <c r="R24" s="705" t="s">
        <v>14</v>
      </c>
      <c r="S24" s="706">
        <f>F24</f>
        <v>100</v>
      </c>
      <c r="T24" s="705" t="s">
        <v>14</v>
      </c>
      <c r="U24" s="706">
        <f>H24</f>
        <v>100</v>
      </c>
      <c r="V24" s="705" t="s">
        <v>14</v>
      </c>
      <c r="W24" s="706">
        <f>J24</f>
        <v>100</v>
      </c>
      <c r="X24" s="1354"/>
      <c r="Y24" s="3669"/>
      <c r="Z24" s="1355">
        <f>Q24</f>
        <v>111</v>
      </c>
      <c r="AA24" s="1352">
        <f t="shared" si="3"/>
        <v>1</v>
      </c>
      <c r="AB24" s="1352">
        <f t="shared" si="4"/>
        <v>1</v>
      </c>
      <c r="AC24" s="1352">
        <f t="shared" si="5"/>
        <v>1</v>
      </c>
    </row>
    <row r="25" spans="1:29" s="108" customFormat="1" ht="15.6"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4"/>
      <c r="M25" s="2715"/>
      <c r="N25" s="2715"/>
      <c r="O25" s="2769"/>
      <c r="P25" s="3669"/>
      <c r="Q25" s="1342">
        <f t="shared" si="11"/>
        <v>111</v>
      </c>
      <c r="R25" s="701" t="s">
        <v>14</v>
      </c>
      <c r="S25" s="702">
        <f>F25</f>
        <v>100</v>
      </c>
      <c r="T25" s="701" t="s">
        <v>14</v>
      </c>
      <c r="U25" s="702">
        <f>H25</f>
        <v>100</v>
      </c>
      <c r="V25" s="701" t="s">
        <v>14</v>
      </c>
      <c r="W25" s="702">
        <f>J25</f>
        <v>100</v>
      </c>
      <c r="X25" s="703"/>
      <c r="Y25" s="3669"/>
      <c r="Z25" s="52">
        <f>Q25</f>
        <v>111</v>
      </c>
      <c r="AA25" s="1352">
        <f>D25/F25</f>
        <v>1</v>
      </c>
      <c r="AB25" s="1352">
        <f>D25/H25</f>
        <v>1</v>
      </c>
      <c r="AC25" s="1352">
        <f>D25/J25</f>
        <v>1</v>
      </c>
    </row>
    <row r="26" spans="1:29" ht="30">
      <c r="A26" s="417" t="s">
        <v>1694</v>
      </c>
      <c r="B26" s="63" t="s">
        <v>1838</v>
      </c>
      <c r="C26" s="1966"/>
      <c r="D26" s="418">
        <v>100</v>
      </c>
      <c r="E26" s="1966"/>
      <c r="F26" s="615">
        <f>SUMIF(77:77,E26,78:78)-SUMIF(77:77,C26,78:78)+100</f>
        <v>100</v>
      </c>
      <c r="G26" s="1966"/>
      <c r="H26" s="418">
        <f>SUMIF(77:77,G26,78:78)-SUMIF(77:77,C26,78:78)+100</f>
        <v>100</v>
      </c>
      <c r="I26" s="1966"/>
      <c r="J26" s="418">
        <f>SUMIF(77:77,I26,78:78)-SUMIF(77:77,C26,78:78)+100</f>
        <v>100</v>
      </c>
      <c r="K26" s="561"/>
      <c r="L26" s="2719"/>
      <c r="M26" s="2713"/>
      <c r="N26" s="2713"/>
      <c r="O26" s="2771"/>
      <c r="P26" s="3750"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673"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73"/>
      <c r="Q28" s="1351" t="str">
        <f t="shared" si="11"/>
        <v>物业等级</v>
      </c>
      <c r="R28" s="705" t="s">
        <v>14</v>
      </c>
      <c r="S28" s="706">
        <f t="shared" si="12"/>
        <v>100</v>
      </c>
      <c r="T28" s="705" t="s">
        <v>14</v>
      </c>
      <c r="U28" s="706">
        <f t="shared" si="13"/>
        <v>100</v>
      </c>
      <c r="V28" s="705" t="s">
        <v>14</v>
      </c>
      <c r="W28" s="706">
        <f t="shared" si="14"/>
        <v>100</v>
      </c>
      <c r="X28" s="1354"/>
      <c r="Y28" s="3673"/>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73"/>
      <c r="Q29" s="1351" t="str">
        <f t="shared" si="11"/>
        <v>有无电梯</v>
      </c>
      <c r="R29" s="705" t="s">
        <v>14</v>
      </c>
      <c r="S29" s="706">
        <f t="shared" si="12"/>
        <v>100</v>
      </c>
      <c r="T29" s="705" t="s">
        <v>14</v>
      </c>
      <c r="U29" s="706">
        <f t="shared" si="13"/>
        <v>100</v>
      </c>
      <c r="V29" s="705" t="s">
        <v>14</v>
      </c>
      <c r="W29" s="706">
        <f t="shared" si="14"/>
        <v>100</v>
      </c>
      <c r="X29" s="1354"/>
      <c r="Y29" s="3673"/>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73"/>
      <c r="Q30" s="1351" t="str">
        <f t="shared" si="11"/>
        <v>建筑面积</v>
      </c>
      <c r="R30" s="705" t="s">
        <v>14</v>
      </c>
      <c r="S30" s="706" t="e">
        <f t="shared" si="12"/>
        <v>#N/A</v>
      </c>
      <c r="T30" s="705" t="s">
        <v>14</v>
      </c>
      <c r="U30" s="706" t="e">
        <f t="shared" si="13"/>
        <v>#N/A</v>
      </c>
      <c r="V30" s="705" t="s">
        <v>14</v>
      </c>
      <c r="W30" s="706" t="e">
        <f t="shared" si="14"/>
        <v>#N/A</v>
      </c>
      <c r="X30" s="1354"/>
      <c r="Y30" s="3673"/>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73"/>
      <c r="Q31" s="1342"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73" t="s">
        <v>1696</v>
      </c>
      <c r="Q32" s="1351">
        <f t="shared" si="11"/>
        <v>111</v>
      </c>
      <c r="R32" s="705" t="s">
        <v>14</v>
      </c>
      <c r="S32" s="706">
        <f t="shared" si="12"/>
        <v>100</v>
      </c>
      <c r="T32" s="705" t="s">
        <v>14</v>
      </c>
      <c r="U32" s="706">
        <f t="shared" si="13"/>
        <v>100</v>
      </c>
      <c r="V32" s="705" t="s">
        <v>14</v>
      </c>
      <c r="W32" s="706">
        <f t="shared" si="14"/>
        <v>100</v>
      </c>
      <c r="X32" s="1354"/>
      <c r="Y32" s="3673" t="s">
        <v>1696</v>
      </c>
      <c r="Z32" s="1355">
        <f t="shared" si="15"/>
        <v>111</v>
      </c>
      <c r="AA32" s="1352">
        <f t="shared" si="3"/>
        <v>1</v>
      </c>
      <c r="AB32" s="1352">
        <f t="shared" si="4"/>
        <v>1</v>
      </c>
      <c r="AC32" s="1352">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73"/>
      <c r="Q33" s="1351">
        <f t="shared" si="11"/>
        <v>111</v>
      </c>
      <c r="R33" s="705" t="s">
        <v>14</v>
      </c>
      <c r="S33" s="706">
        <f t="shared" si="12"/>
        <v>100</v>
      </c>
      <c r="T33" s="705" t="s">
        <v>14</v>
      </c>
      <c r="U33" s="706">
        <f t="shared" si="13"/>
        <v>100</v>
      </c>
      <c r="V33" s="705" t="s">
        <v>14</v>
      </c>
      <c r="W33" s="706">
        <f t="shared" si="14"/>
        <v>100</v>
      </c>
      <c r="X33" s="1354"/>
      <c r="Y33" s="3673"/>
      <c r="Z33" s="1355">
        <f t="shared" si="15"/>
        <v>111</v>
      </c>
      <c r="AA33" s="1352">
        <f t="shared" si="3"/>
        <v>1</v>
      </c>
      <c r="AB33" s="1352">
        <f t="shared" si="4"/>
        <v>1</v>
      </c>
      <c r="AC33" s="1352">
        <f t="shared" si="5"/>
        <v>1</v>
      </c>
    </row>
    <row r="34" spans="1:30" ht="15.6"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19"/>
      <c r="M34" s="2713"/>
      <c r="N34" s="2713"/>
      <c r="O34" s="2771"/>
      <c r="P34" s="3673"/>
      <c r="Q34" s="1351">
        <f t="shared" si="11"/>
        <v>111</v>
      </c>
      <c r="R34" s="705" t="s">
        <v>14</v>
      </c>
      <c r="S34" s="706">
        <f t="shared" si="12"/>
        <v>100</v>
      </c>
      <c r="T34" s="705" t="s">
        <v>14</v>
      </c>
      <c r="U34" s="706">
        <f t="shared" si="13"/>
        <v>100</v>
      </c>
      <c r="V34" s="705" t="s">
        <v>14</v>
      </c>
      <c r="W34" s="706">
        <f t="shared" si="14"/>
        <v>100</v>
      </c>
      <c r="X34" s="1354"/>
      <c r="Y34" s="3673"/>
      <c r="Z34" s="1355">
        <f t="shared" si="15"/>
        <v>111</v>
      </c>
      <c r="AA34" s="1352">
        <f t="shared" si="3"/>
        <v>1</v>
      </c>
      <c r="AB34" s="1352">
        <f t="shared" si="4"/>
        <v>1</v>
      </c>
      <c r="AC34" s="1352">
        <f t="shared" si="5"/>
        <v>1</v>
      </c>
    </row>
    <row r="35" spans="1:30" ht="14.4">
      <c r="A35" s="430" t="s">
        <v>1708</v>
      </c>
      <c r="B35" s="431"/>
      <c r="C35" s="1154" t="s">
        <v>0</v>
      </c>
      <c r="D35" s="1155"/>
      <c r="E35" s="1156"/>
      <c r="F35" s="1157"/>
      <c r="G35" s="1158"/>
      <c r="H35" s="1159"/>
      <c r="I35" s="1156"/>
      <c r="J35" s="1159"/>
      <c r="K35" s="714"/>
      <c r="L35" s="2721"/>
      <c r="M35" s="2722"/>
      <c r="N35" s="2713"/>
      <c r="O35" s="2722"/>
      <c r="P35" s="3661" t="str">
        <f>A35</f>
        <v>成交单价（元/平方米）</v>
      </c>
      <c r="Q35" s="3661"/>
      <c r="R35" s="3662">
        <f>E35</f>
        <v>0</v>
      </c>
      <c r="S35" s="3662"/>
      <c r="T35" s="3662">
        <f>G35</f>
        <v>0</v>
      </c>
      <c r="U35" s="3662"/>
      <c r="V35" s="3662">
        <f>I35</f>
        <v>0</v>
      </c>
      <c r="W35" s="3662"/>
      <c r="X35" s="690"/>
      <c r="Y35" s="712"/>
      <c r="Z35" s="690"/>
      <c r="AA35" s="690"/>
      <c r="AB35" s="690"/>
      <c r="AC35" s="690"/>
    </row>
    <row r="36" spans="1:30" ht="15" thickBot="1">
      <c r="A36" s="437" t="s">
        <v>1793</v>
      </c>
      <c r="B36" s="438"/>
      <c r="C36" s="1160" t="e">
        <f>R37</f>
        <v>#DIV/0!</v>
      </c>
      <c r="D36" s="2316" t="s">
        <v>2136</v>
      </c>
      <c r="E36" s="1161" t="e">
        <f>R36</f>
        <v>#DIV/0!</v>
      </c>
      <c r="F36" s="2317"/>
      <c r="G36" s="1160" t="e">
        <f>T36</f>
        <v>#DIV/0!</v>
      </c>
      <c r="H36" s="2317"/>
      <c r="I36" s="1161" t="e">
        <f>V36</f>
        <v>#DIV/0!</v>
      </c>
      <c r="J36" s="2317"/>
      <c r="K36" s="2319">
        <f>F36+H36+J36</f>
        <v>0</v>
      </c>
      <c r="L36" s="2721"/>
      <c r="M36" s="2722"/>
      <c r="N36" s="2713"/>
      <c r="O36" s="2722"/>
      <c r="P36" s="3661" t="str">
        <f>A36</f>
        <v>比较价值（元/平方米）</v>
      </c>
      <c r="Q36" s="3661"/>
      <c r="R36" s="3662" t="e">
        <f>IF(F1="售价",ROUND(PRODUCT(R35,AA7:AA34),0),ROUND(PRODUCT(R35,AA7:AA34),1))</f>
        <v>#DIV/0!</v>
      </c>
      <c r="S36" s="3662"/>
      <c r="T36" s="3662" t="e">
        <f>IF(F1="售价",ROUND(PRODUCT(T35,AB7:AB34),0),ROUND(PRODUCT(T35,AB7:AB34),1))</f>
        <v>#DIV/0!</v>
      </c>
      <c r="U36" s="3662"/>
      <c r="V36" s="3662" t="e">
        <f>IF(F1="售价",ROUND(PRODUCT(V35,AC7:AC34),0),ROUND(PRODUCT(V35,AC7:AC34),1))</f>
        <v>#DIV/0!</v>
      </c>
      <c r="W36" s="3662"/>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1"/>
      <c r="M37" s="2722"/>
      <c r="N37" s="2722"/>
      <c r="O37" s="2722"/>
      <c r="P37" s="3663" t="str">
        <f>A37</f>
        <v>估价对象XX用房的比较价值（楼面单价，元/平方米）</v>
      </c>
      <c r="Q37" s="3664"/>
      <c r="R37" s="3751" t="e">
        <f>IF(F1="售价",ROUND(IF(D36="简单平均",AVERAGE(R36:W36),R36*F36+T36*H36+V36*J36),0),ROUND(IF(D36="简单平均",AVERAGE(R36:V36),R36*F36+T36*H36+V36*J36),1))</f>
        <v>#DIV/0!</v>
      </c>
      <c r="S37" s="3751"/>
      <c r="T37" s="3751"/>
      <c r="U37" s="3751"/>
      <c r="V37" s="3751"/>
      <c r="W37" s="3751"/>
      <c r="X37" s="690"/>
      <c r="Y37" s="690"/>
      <c r="Z37" s="690"/>
      <c r="AA37" s="690"/>
      <c r="AB37" s="690"/>
      <c r="AC37" s="690"/>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2.2" thickBot="1">
      <c r="A45" s="694" t="s">
        <v>1798</v>
      </c>
      <c r="B45" s="690"/>
      <c r="C45" s="695"/>
      <c r="D45" s="695"/>
      <c r="E45" s="695"/>
      <c r="F45" s="696"/>
      <c r="G45" s="696"/>
      <c r="H45" s="695"/>
      <c r="I45" s="695"/>
      <c r="J45" s="695"/>
      <c r="K45" s="697"/>
      <c r="L45" s="698"/>
      <c r="M45" s="695"/>
      <c r="N45" s="2766"/>
      <c r="O45" s="2766"/>
      <c r="P45" s="2766"/>
      <c r="Q45" s="2736"/>
      <c r="R45" s="2722"/>
      <c r="S45" s="2722"/>
      <c r="T45" s="2722"/>
      <c r="U45" s="2722"/>
      <c r="V45" s="2722"/>
      <c r="W45" s="2722"/>
      <c r="X45" s="2722"/>
      <c r="Y45" s="2722"/>
      <c r="Z45" s="2722"/>
      <c r="AA45" s="2722"/>
      <c r="AB45" s="2722"/>
      <c r="AC45" s="2722"/>
      <c r="AD45" s="2722"/>
    </row>
    <row r="46" spans="1:30" s="457" customFormat="1" ht="14.4">
      <c r="A46" s="454" t="s">
        <v>1679</v>
      </c>
      <c r="B46" s="455"/>
      <c r="C46" s="1183" t="str">
        <f>YEAR(C7)&amp;"-"&amp;MONTH(C7)</f>
        <v>2024-11</v>
      </c>
      <c r="D46" s="1184">
        <f>EDATE(C46,-1)</f>
        <v>45566</v>
      </c>
      <c r="E46" s="1184">
        <f t="shared" ref="E46:O46" si="16">EDATE(D46,-1)</f>
        <v>45536</v>
      </c>
      <c r="F46" s="1184">
        <f t="shared" si="16"/>
        <v>45505</v>
      </c>
      <c r="G46" s="1184">
        <f t="shared" si="16"/>
        <v>45474</v>
      </c>
      <c r="H46" s="1184">
        <f t="shared" si="16"/>
        <v>45444</v>
      </c>
      <c r="I46" s="1184">
        <f t="shared" si="16"/>
        <v>45413</v>
      </c>
      <c r="J46" s="1184">
        <f t="shared" si="16"/>
        <v>45383</v>
      </c>
      <c r="K46" s="1184">
        <f t="shared" si="16"/>
        <v>45352</v>
      </c>
      <c r="L46" s="1184">
        <f t="shared" si="16"/>
        <v>45323</v>
      </c>
      <c r="M46" s="1184">
        <f t="shared" si="16"/>
        <v>45292</v>
      </c>
      <c r="N46" s="1184">
        <f t="shared" si="16"/>
        <v>45261</v>
      </c>
      <c r="O46" s="1184">
        <f t="shared" si="16"/>
        <v>45231</v>
      </c>
      <c r="P46" s="2773"/>
      <c r="Q46" s="2738"/>
      <c r="R46" s="2738"/>
      <c r="S46" s="2738"/>
      <c r="T46" s="2738"/>
      <c r="U46" s="2738"/>
      <c r="V46" s="2738"/>
      <c r="W46" s="2738"/>
      <c r="X46" s="2738"/>
      <c r="Y46" s="2738"/>
      <c r="Z46" s="2738"/>
      <c r="AA46" s="2738"/>
      <c r="AB46" s="2738"/>
      <c r="AC46" s="2738"/>
      <c r="AD46" s="2738"/>
    </row>
    <row r="47" spans="1:30" s="108" customFormat="1">
      <c r="A47" s="458"/>
      <c r="B47" s="459"/>
      <c r="C47" s="1182">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4.4">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4.4"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ht="14.4">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4.4"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9.4"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4.4"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4.4"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4.4"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4.4"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4.4"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4.4"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4.4"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9.4"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 thickTop="1">
      <c r="A65" s="483"/>
      <c r="B65" s="495" t="s">
        <v>1813</v>
      </c>
      <c r="C65" s="608" t="s">
        <v>1799</v>
      </c>
      <c r="D65" s="608" t="s">
        <v>1800</v>
      </c>
      <c r="E65" s="608" t="s">
        <v>1801</v>
      </c>
      <c r="F65" s="608" t="s">
        <v>1802</v>
      </c>
      <c r="G65" s="608" t="s">
        <v>1803</v>
      </c>
      <c r="H65" s="488"/>
      <c r="I65" s="488"/>
      <c r="J65" s="488"/>
      <c r="K65" s="488"/>
      <c r="L65" s="488"/>
      <c r="M65" s="1129"/>
      <c r="N65" s="2751"/>
      <c r="O65" s="2751"/>
      <c r="P65" s="2775"/>
      <c r="Q65" s="2736"/>
      <c r="R65" s="2722"/>
      <c r="S65" s="2722"/>
      <c r="T65" s="2722"/>
      <c r="U65" s="2722"/>
      <c r="V65" s="2722"/>
      <c r="W65" s="2722"/>
      <c r="X65" s="2722"/>
      <c r="Y65" s="2722"/>
      <c r="Z65" s="2722"/>
      <c r="AA65" s="2722"/>
      <c r="AB65" s="2722"/>
      <c r="AC65" s="2722"/>
      <c r="AD65" s="2722"/>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4.4"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4.4"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4.4"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4.4"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4.4"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4.4"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4.4"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4.4"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4.4"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4.4"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4.4"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4.4"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4.4"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4.4"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4.4"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4.4" thickTop="1">
      <c r="N97" s="2722"/>
      <c r="O97" s="2722"/>
      <c r="P97" s="2722"/>
      <c r="Q97" s="2722"/>
      <c r="R97" s="2722"/>
      <c r="S97" s="2722"/>
      <c r="T97" s="2722"/>
      <c r="U97" s="2722"/>
      <c r="V97" s="2722"/>
      <c r="W97" s="2722"/>
      <c r="X97" s="2722"/>
      <c r="Y97" s="2722"/>
      <c r="Z97" s="2722"/>
      <c r="AA97" s="2722"/>
      <c r="AB97" s="2722"/>
      <c r="AC97" s="2722"/>
      <c r="AD97" s="2722"/>
    </row>
    <row r="98" spans="1:30">
      <c r="A98" s="936"/>
      <c r="B98" s="936"/>
      <c r="C98" s="936"/>
      <c r="D98" s="936"/>
      <c r="E98" s="936"/>
      <c r="F98" s="936"/>
      <c r="G98" s="936"/>
      <c r="H98" s="936"/>
      <c r="I98" s="936"/>
      <c r="J98" s="936"/>
      <c r="K98" s="937"/>
      <c r="L98" s="938"/>
      <c r="M98" s="936"/>
      <c r="N98" s="2722"/>
      <c r="O98" s="2722"/>
      <c r="P98" s="2722"/>
      <c r="Q98" s="2722"/>
      <c r="R98" s="2722"/>
      <c r="S98" s="2722"/>
      <c r="T98" s="2722"/>
      <c r="U98" s="2722"/>
      <c r="V98" s="2722"/>
      <c r="W98" s="2722"/>
      <c r="X98" s="2722"/>
      <c r="Y98" s="2722"/>
      <c r="Z98" s="2722"/>
      <c r="AA98" s="2722"/>
      <c r="AB98" s="2722"/>
      <c r="AC98" s="2722"/>
      <c r="AD98" s="2722"/>
    </row>
    <row r="99" spans="1:30">
      <c r="A99" s="936"/>
      <c r="B99" s="936"/>
      <c r="C99" s="936"/>
      <c r="D99" s="936"/>
      <c r="E99" s="936"/>
      <c r="F99" s="936"/>
      <c r="G99" s="936"/>
      <c r="H99" s="936"/>
      <c r="I99" s="936"/>
      <c r="J99" s="936"/>
      <c r="K99" s="937"/>
      <c r="L99" s="938"/>
      <c r="M99" s="936"/>
      <c r="N99" s="2722"/>
      <c r="O99" s="2722"/>
      <c r="P99" s="2722"/>
      <c r="Q99" s="2722"/>
      <c r="R99" s="2722"/>
      <c r="S99" s="2722"/>
      <c r="T99" s="2722"/>
      <c r="U99" s="2722"/>
      <c r="V99" s="2722"/>
      <c r="W99" s="2722"/>
      <c r="X99" s="2722"/>
      <c r="Y99" s="2722"/>
      <c r="Z99" s="2722"/>
      <c r="AA99" s="2722"/>
      <c r="AB99" s="2722"/>
      <c r="AC99" s="2722"/>
      <c r="AD99" s="2722"/>
    </row>
    <row r="100" spans="1:30">
      <c r="A100" s="936"/>
      <c r="B100" s="936"/>
      <c r="C100" s="936"/>
      <c r="D100" s="936"/>
      <c r="E100" s="936"/>
      <c r="F100" s="936"/>
      <c r="G100" s="936"/>
      <c r="H100" s="936"/>
      <c r="I100" s="936"/>
      <c r="J100" s="936"/>
      <c r="K100" s="937"/>
      <c r="L100" s="938"/>
      <c r="M100" s="936"/>
      <c r="N100" s="2722"/>
      <c r="O100" s="2722"/>
      <c r="P100" s="2722"/>
      <c r="Q100" s="2722"/>
      <c r="R100" s="2722"/>
      <c r="S100" s="2722"/>
      <c r="T100" s="2722"/>
      <c r="U100" s="2722"/>
      <c r="V100" s="2722"/>
      <c r="W100" s="2722"/>
      <c r="X100" s="2722"/>
      <c r="Y100" s="2722"/>
      <c r="Z100" s="2722"/>
      <c r="AA100" s="2722"/>
      <c r="AB100" s="2722"/>
      <c r="AC100" s="2722"/>
      <c r="AD100" s="2722"/>
    </row>
    <row r="101" spans="1:30">
      <c r="A101" s="936"/>
      <c r="B101" s="936"/>
      <c r="C101" s="936"/>
      <c r="D101" s="936"/>
      <c r="E101" s="936"/>
      <c r="F101" s="936"/>
      <c r="G101" s="936"/>
      <c r="H101" s="936"/>
      <c r="I101" s="936"/>
      <c r="J101" s="936"/>
      <c r="K101" s="937"/>
      <c r="L101" s="938"/>
      <c r="M101" s="936"/>
      <c r="N101" s="2722"/>
      <c r="O101" s="2722"/>
      <c r="P101" s="2722"/>
      <c r="Q101" s="2722"/>
      <c r="R101" s="2722"/>
      <c r="S101" s="2722"/>
      <c r="T101" s="2722"/>
      <c r="U101" s="2722"/>
      <c r="V101" s="2722"/>
      <c r="W101" s="2722"/>
      <c r="X101" s="2722"/>
      <c r="Y101" s="2722"/>
      <c r="Z101" s="2722"/>
      <c r="AA101" s="2722"/>
      <c r="AB101" s="2722"/>
      <c r="AC101" s="2722"/>
      <c r="AD101" s="2722"/>
    </row>
    <row r="102" spans="1:30">
      <c r="A102" s="936"/>
      <c r="B102" s="936"/>
      <c r="C102" s="936"/>
      <c r="D102" s="936"/>
      <c r="E102" s="936"/>
      <c r="F102" s="936"/>
      <c r="G102" s="936"/>
      <c r="H102" s="936"/>
      <c r="I102" s="936"/>
      <c r="J102" s="936"/>
      <c r="K102" s="937"/>
      <c r="L102" s="938"/>
      <c r="M102" s="936"/>
      <c r="N102" s="2722"/>
      <c r="O102" s="2722"/>
      <c r="P102" s="2722"/>
      <c r="Q102" s="2722"/>
      <c r="R102" s="2722"/>
      <c r="S102" s="2722"/>
      <c r="T102" s="2722"/>
      <c r="U102" s="2722"/>
      <c r="V102" s="2722"/>
      <c r="W102" s="2722"/>
      <c r="X102" s="2722"/>
      <c r="Y102" s="2722"/>
      <c r="Z102" s="2722"/>
      <c r="AA102" s="2722"/>
      <c r="AB102" s="2722"/>
      <c r="AC102" s="2722"/>
      <c r="AD102" s="2722"/>
    </row>
    <row r="103" spans="1:30">
      <c r="A103" s="936"/>
      <c r="B103" s="936"/>
      <c r="C103" s="936"/>
      <c r="D103" s="936"/>
      <c r="E103" s="936"/>
      <c r="F103" s="936"/>
      <c r="G103" s="936"/>
      <c r="H103" s="936"/>
      <c r="I103" s="936"/>
      <c r="J103" s="936"/>
      <c r="K103" s="937"/>
      <c r="L103" s="938"/>
      <c r="M103" s="936"/>
      <c r="N103" s="936"/>
      <c r="O103" s="936"/>
      <c r="P103" s="2722"/>
      <c r="Q103" s="2722"/>
      <c r="R103" s="2722"/>
      <c r="S103" s="2722"/>
      <c r="T103" s="2722"/>
      <c r="U103" s="2722"/>
      <c r="V103" s="2722"/>
      <c r="W103" s="2722"/>
      <c r="X103" s="2722"/>
      <c r="Y103" s="2722"/>
      <c r="Z103" s="2722"/>
      <c r="AA103" s="2722"/>
      <c r="AB103" s="2722"/>
      <c r="AC103" s="2722"/>
      <c r="AD103" s="2722"/>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30" ht="14.4">
      <c r="A4" s="355" t="s">
        <v>1769</v>
      </c>
      <c r="B4" s="356"/>
      <c r="C4" s="3689" t="s">
        <v>1770</v>
      </c>
      <c r="D4" s="3690"/>
      <c r="E4" s="3691" t="s">
        <v>1771</v>
      </c>
      <c r="F4" s="3692"/>
      <c r="G4" s="3689" t="s">
        <v>1772</v>
      </c>
      <c r="H4" s="3690"/>
      <c r="I4" s="3689" t="s">
        <v>1773</v>
      </c>
      <c r="J4" s="3690"/>
      <c r="K4" s="559" t="s">
        <v>1774</v>
      </c>
      <c r="L4" s="2712"/>
      <c r="M4" s="2713"/>
      <c r="N4" s="2713"/>
      <c r="O4" s="2713"/>
      <c r="P4" s="3693" t="s">
        <v>1775</v>
      </c>
      <c r="Q4" s="3694"/>
      <c r="R4" s="3679" t="s">
        <v>1771</v>
      </c>
      <c r="S4" s="3680"/>
      <c r="T4" s="3679" t="s">
        <v>1772</v>
      </c>
      <c r="U4" s="3680"/>
      <c r="V4" s="3685" t="s">
        <v>1773</v>
      </c>
      <c r="W4" s="3685"/>
      <c r="X4" s="1354"/>
      <c r="Y4" s="3679" t="s">
        <v>1775</v>
      </c>
      <c r="Z4" s="3680"/>
      <c r="AA4" s="3686" t="s">
        <v>1771</v>
      </c>
      <c r="AB4" s="3687" t="s">
        <v>1772</v>
      </c>
      <c r="AC4" s="3686" t="s">
        <v>1773</v>
      </c>
    </row>
    <row r="5" spans="1:30">
      <c r="A5" s="358"/>
      <c r="B5" s="359"/>
      <c r="C5" s="3707" t="s">
        <v>1673</v>
      </c>
      <c r="D5" s="3700"/>
      <c r="E5" s="3734" t="s">
        <v>1674</v>
      </c>
      <c r="F5" s="3702"/>
      <c r="G5" s="3707" t="s">
        <v>1675</v>
      </c>
      <c r="H5" s="3700"/>
      <c r="I5" s="3707" t="s">
        <v>1676</v>
      </c>
      <c r="J5" s="3700"/>
      <c r="K5" s="559"/>
      <c r="L5" s="2712"/>
      <c r="M5" s="2713"/>
      <c r="N5" s="2713"/>
      <c r="O5" s="2713"/>
      <c r="P5" s="3695"/>
      <c r="Q5" s="3696"/>
      <c r="R5" s="3681"/>
      <c r="S5" s="3682"/>
      <c r="T5" s="3681"/>
      <c r="U5" s="3682"/>
      <c r="V5" s="3685"/>
      <c r="W5" s="3685"/>
      <c r="X5" s="1354"/>
      <c r="Y5" s="3681"/>
      <c r="Z5" s="3682"/>
      <c r="AA5" s="3687"/>
      <c r="AB5" s="3687"/>
      <c r="AC5" s="3687"/>
    </row>
    <row r="6" spans="1:30" ht="15" thickBot="1">
      <c r="A6" s="360"/>
      <c r="B6" s="361"/>
      <c r="C6" s="3703" t="s">
        <v>1677</v>
      </c>
      <c r="D6" s="3704"/>
      <c r="E6" s="3705" t="s">
        <v>1677</v>
      </c>
      <c r="F6" s="3706"/>
      <c r="G6" s="3703" t="s">
        <v>1677</v>
      </c>
      <c r="H6" s="3704"/>
      <c r="I6" s="3703" t="s">
        <v>1677</v>
      </c>
      <c r="J6" s="3704"/>
      <c r="K6" s="559" t="s">
        <v>1678</v>
      </c>
      <c r="L6" s="2712"/>
      <c r="M6" s="2713"/>
      <c r="N6" s="2713"/>
      <c r="O6" s="2713"/>
      <c r="P6" s="3697"/>
      <c r="Q6" s="3698"/>
      <c r="R6" s="3681"/>
      <c r="S6" s="3682"/>
      <c r="T6" s="3683"/>
      <c r="U6" s="3684"/>
      <c r="V6" s="3685"/>
      <c r="W6" s="3685"/>
      <c r="X6" s="1354"/>
      <c r="Y6" s="3683"/>
      <c r="Z6" s="3684"/>
      <c r="AA6" s="3688"/>
      <c r="AB6" s="3688"/>
      <c r="AC6" s="3688"/>
    </row>
    <row r="7" spans="1:30" s="108" customFormat="1" ht="15" thickBot="1">
      <c r="A7" s="362" t="s">
        <v>1679</v>
      </c>
      <c r="B7" s="363"/>
      <c r="C7" s="364">
        <f>'数据-取费表'!B2</f>
        <v>45622</v>
      </c>
      <c r="D7" s="365">
        <v>100</v>
      </c>
      <c r="E7" s="366"/>
      <c r="F7" s="367">
        <f>SUMIF(69:69,YEAR(E7)&amp;"-"&amp;INT((MONTH(E7)+2)/3),70:70)</f>
        <v>0</v>
      </c>
      <c r="G7" s="1973"/>
      <c r="H7" s="365">
        <f>SUMIF(69:69,YEAR(G7)&amp;"-"&amp;INT((MONTH(G7)+2)/3),70:70)</f>
        <v>0</v>
      </c>
      <c r="I7" s="1973"/>
      <c r="J7" s="365">
        <f>SUMIF(69:69,YEAR(I7)&amp;"-"&amp;INT((MONTH(I7)+2)/3),70:70)</f>
        <v>0</v>
      </c>
      <c r="K7" s="560"/>
      <c r="L7" s="2714"/>
      <c r="M7" s="2715"/>
      <c r="N7" s="2715"/>
      <c r="O7" s="2715"/>
      <c r="P7" s="3675" t="s">
        <v>1680</v>
      </c>
      <c r="Q7" s="3676"/>
      <c r="R7" s="701" t="s">
        <v>14</v>
      </c>
      <c r="S7" s="702">
        <f t="shared" ref="S7:S15" si="0">F7</f>
        <v>0</v>
      </c>
      <c r="T7" s="701" t="s">
        <v>14</v>
      </c>
      <c r="U7" s="702">
        <f t="shared" ref="U7:U15" si="1">H7</f>
        <v>0</v>
      </c>
      <c r="V7" s="701" t="s">
        <v>14</v>
      </c>
      <c r="W7" s="702">
        <f t="shared" ref="W7:W15" si="2">J7</f>
        <v>0</v>
      </c>
      <c r="X7" s="703"/>
      <c r="Y7" s="3675" t="s">
        <v>1680</v>
      </c>
      <c r="Z7" s="3677"/>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75" t="s">
        <v>1683</v>
      </c>
      <c r="Q8" s="3677"/>
      <c r="R8" s="701" t="s">
        <v>14</v>
      </c>
      <c r="S8" s="702">
        <f t="shared" si="0"/>
        <v>0</v>
      </c>
      <c r="T8" s="701" t="s">
        <v>14</v>
      </c>
      <c r="U8" s="702">
        <f t="shared" si="1"/>
        <v>0</v>
      </c>
      <c r="V8" s="701" t="s">
        <v>14</v>
      </c>
      <c r="W8" s="702">
        <f t="shared" si="2"/>
        <v>0</v>
      </c>
      <c r="X8" s="703"/>
      <c r="Y8" s="3675" t="s">
        <v>1683</v>
      </c>
      <c r="Z8" s="3677"/>
      <c r="AA8" s="704" t="e">
        <f t="shared" ref="AA8:AA45" si="3">D8/F8</f>
        <v>#DIV/0!</v>
      </c>
      <c r="AB8" s="704" t="e">
        <f t="shared" ref="AB8:AB45" si="4">D8/H8</f>
        <v>#DIV/0!</v>
      </c>
      <c r="AC8" s="704" t="e">
        <f t="shared" ref="AC8:AC45" si="5">D8/J8</f>
        <v>#DIV/0!</v>
      </c>
    </row>
    <row r="9" spans="1:30" s="108" customFormat="1" ht="14.4">
      <c r="A9" s="369" t="s">
        <v>1684</v>
      </c>
      <c r="B9" s="63" t="s">
        <v>1685</v>
      </c>
      <c r="C9" s="1976"/>
      <c r="D9" s="126">
        <v>100</v>
      </c>
      <c r="E9" s="1976"/>
      <c r="F9" s="126">
        <f>SUMIF(74:74,E9,75:75)-SUMIF(74:74,C9,75:75)+100</f>
        <v>100</v>
      </c>
      <c r="G9" s="1976"/>
      <c r="H9" s="126">
        <f>SUMIF(74:74,G9,75:75)-SUMIF(74:74,C9,75:75)+100</f>
        <v>100</v>
      </c>
      <c r="I9" s="1976"/>
      <c r="J9" s="126">
        <f>SUMIF(74:74,I9,75:75)-SUMIF(74:74,C9,75:75)+100</f>
        <v>100</v>
      </c>
      <c r="K9" s="560"/>
      <c r="L9" s="2714"/>
      <c r="M9" s="2715"/>
      <c r="N9" s="2715"/>
      <c r="O9" s="2769"/>
      <c r="P9" s="3661" t="s">
        <v>1686</v>
      </c>
      <c r="Q9" s="1342"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112</v>
      </c>
      <c r="G10" s="414"/>
      <c r="H10" s="127">
        <f>ROUND(100/'数据-取费表'!G16,0)</f>
        <v>112</v>
      </c>
      <c r="I10" s="414"/>
      <c r="J10" s="127">
        <f>ROUND(100/'数据-取费表'!G16,0)</f>
        <v>112</v>
      </c>
      <c r="K10" s="620"/>
      <c r="L10" s="2716"/>
      <c r="M10" s="2717"/>
      <c r="N10" s="2717"/>
      <c r="O10" s="2770"/>
      <c r="P10" s="3661"/>
      <c r="Q10" s="1342" t="str">
        <f t="shared" si="6"/>
        <v>土地使用年限（年）</v>
      </c>
      <c r="R10" s="701" t="s">
        <v>14</v>
      </c>
      <c r="S10" s="702">
        <f t="shared" si="0"/>
        <v>112</v>
      </c>
      <c r="T10" s="701" t="s">
        <v>14</v>
      </c>
      <c r="U10" s="702">
        <f t="shared" si="1"/>
        <v>112</v>
      </c>
      <c r="V10" s="701" t="s">
        <v>14</v>
      </c>
      <c r="W10" s="702">
        <f t="shared" si="2"/>
        <v>112</v>
      </c>
      <c r="X10" s="703"/>
      <c r="Y10" s="3565"/>
      <c r="Z10" s="52" t="str">
        <f t="shared" si="7"/>
        <v>土地使用年限（年）</v>
      </c>
      <c r="AA10" s="704">
        <f t="shared" si="3"/>
        <v>0.8928571428571429</v>
      </c>
      <c r="AB10" s="704">
        <f t="shared" si="4"/>
        <v>0.8928571428571429</v>
      </c>
      <c r="AC10" s="704">
        <f t="shared" si="5"/>
        <v>0.8928571428571429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61"/>
      <c r="Q11" s="1342" t="str">
        <f t="shared" si="6"/>
        <v>容积率</v>
      </c>
      <c r="R11" s="701" t="s">
        <v>14</v>
      </c>
      <c r="S11" s="702" t="e">
        <f t="shared" si="0"/>
        <v>#N/A</v>
      </c>
      <c r="T11" s="701" t="s">
        <v>14</v>
      </c>
      <c r="U11" s="702" t="e">
        <f t="shared" si="1"/>
        <v>#N/A</v>
      </c>
      <c r="V11" s="701" t="s">
        <v>14</v>
      </c>
      <c r="W11" s="702" t="e">
        <f t="shared" si="2"/>
        <v>#N/A</v>
      </c>
      <c r="X11" s="703"/>
      <c r="Y11" s="3565"/>
      <c r="Z11" s="52" t="str">
        <f t="shared" si="7"/>
        <v>容积率</v>
      </c>
      <c r="AA11" s="704" t="e">
        <f t="shared" si="3"/>
        <v>#N/A</v>
      </c>
      <c r="AB11" s="704" t="e">
        <f t="shared" si="4"/>
        <v>#N/A</v>
      </c>
      <c r="AC11" s="704" t="e">
        <f t="shared" si="5"/>
        <v>#N/A</v>
      </c>
    </row>
    <row r="12" spans="1:30" s="108" customFormat="1" ht="15">
      <c r="A12" s="382"/>
      <c r="B12" s="1892"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61"/>
      <c r="Q12" s="1342" t="str">
        <f t="shared" si="6"/>
        <v>配建</v>
      </c>
      <c r="R12" s="701" t="s">
        <v>14</v>
      </c>
      <c r="S12" s="702">
        <f t="shared" si="0"/>
        <v>100</v>
      </c>
      <c r="T12" s="701" t="s">
        <v>14</v>
      </c>
      <c r="U12" s="702">
        <f t="shared" si="1"/>
        <v>100</v>
      </c>
      <c r="V12" s="701" t="s">
        <v>14</v>
      </c>
      <c r="W12" s="702">
        <f t="shared" si="2"/>
        <v>100</v>
      </c>
      <c r="X12" s="703"/>
      <c r="Y12" s="3565"/>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61"/>
      <c r="Q13" s="1342">
        <f t="shared" si="6"/>
        <v>111</v>
      </c>
      <c r="R13" s="701" t="s">
        <v>14</v>
      </c>
      <c r="S13" s="702">
        <f t="shared" si="0"/>
        <v>100</v>
      </c>
      <c r="T13" s="701" t="s">
        <v>14</v>
      </c>
      <c r="U13" s="702">
        <f t="shared" si="1"/>
        <v>100</v>
      </c>
      <c r="V13" s="701" t="s">
        <v>14</v>
      </c>
      <c r="W13" s="702">
        <f t="shared" si="2"/>
        <v>100</v>
      </c>
      <c r="X13" s="703"/>
      <c r="Y13" s="3565"/>
      <c r="Z13" s="52">
        <f t="shared" si="7"/>
        <v>111</v>
      </c>
      <c r="AA13" s="704">
        <f>D13/F13</f>
        <v>1</v>
      </c>
      <c r="AB13" s="704">
        <f>D13/H13</f>
        <v>1</v>
      </c>
      <c r="AC13" s="704">
        <f>D13/J13</f>
        <v>1</v>
      </c>
    </row>
    <row r="14" spans="1:30" ht="15.6"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61"/>
      <c r="Q14" s="1342">
        <f t="shared" si="6"/>
        <v>111</v>
      </c>
      <c r="R14" s="701" t="s">
        <v>14</v>
      </c>
      <c r="S14" s="702">
        <f t="shared" si="0"/>
        <v>100</v>
      </c>
      <c r="T14" s="701" t="s">
        <v>14</v>
      </c>
      <c r="U14" s="702">
        <f t="shared" si="1"/>
        <v>100</v>
      </c>
      <c r="V14" s="701" t="s">
        <v>14</v>
      </c>
      <c r="W14" s="702">
        <f t="shared" si="2"/>
        <v>100</v>
      </c>
      <c r="X14" s="703"/>
      <c r="Y14" s="3565"/>
      <c r="Z14" s="52">
        <f t="shared" si="7"/>
        <v>111</v>
      </c>
      <c r="AA14" s="704">
        <f>D14/F14</f>
        <v>1</v>
      </c>
      <c r="AB14" s="704">
        <f>D14/H14</f>
        <v>1</v>
      </c>
      <c r="AC14" s="704">
        <f>D14/J14</f>
        <v>1</v>
      </c>
    </row>
    <row r="15" spans="1:30" ht="110.4">
      <c r="A15" s="391" t="s">
        <v>1690</v>
      </c>
      <c r="B15" s="61" t="s">
        <v>1257</v>
      </c>
      <c r="C15" s="1895" t="str">
        <f>估价对象房地状况!C15</f>
        <v>估价对象周边有梵悦108、使馆壹号院、海晟名苑、万国城MOMA等住宅小区，综合评价居住社区成熟度较好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68" t="s">
        <v>1691</v>
      </c>
      <c r="Q15" s="1351" t="str">
        <f t="shared" si="6"/>
        <v>居住社区成熟度</v>
      </c>
      <c r="R15" s="705" t="s">
        <v>14</v>
      </c>
      <c r="S15" s="706">
        <f t="shared" si="0"/>
        <v>100</v>
      </c>
      <c r="T15" s="705" t="s">
        <v>14</v>
      </c>
      <c r="U15" s="706">
        <f t="shared" si="1"/>
        <v>100</v>
      </c>
      <c r="V15" s="705" t="s">
        <v>14</v>
      </c>
      <c r="W15" s="706">
        <f t="shared" si="2"/>
        <v>100</v>
      </c>
      <c r="X15" s="1354"/>
      <c r="Y15" s="3668" t="s">
        <v>1691</v>
      </c>
      <c r="Z15" s="1355" t="str">
        <f t="shared" si="7"/>
        <v>居住社区成熟度</v>
      </c>
      <c r="AA15" s="1352">
        <f t="shared" si="3"/>
        <v>1</v>
      </c>
      <c r="AB15" s="1352">
        <f t="shared" si="4"/>
        <v>1</v>
      </c>
      <c r="AC15" s="1352">
        <f t="shared" si="5"/>
        <v>1</v>
      </c>
    </row>
    <row r="16" spans="1:30" ht="15">
      <c r="A16" s="379"/>
      <c r="B16" s="397"/>
      <c r="C16" s="398"/>
      <c r="D16" s="399"/>
      <c r="E16" s="1897"/>
      <c r="F16" s="399"/>
      <c r="G16" s="1897"/>
      <c r="H16" s="401"/>
      <c r="I16" s="1896"/>
      <c r="J16" s="399"/>
      <c r="K16" s="620"/>
      <c r="L16" s="2719"/>
      <c r="M16" s="2713"/>
      <c r="N16" s="2713"/>
      <c r="O16" s="2771"/>
      <c r="P16" s="3669"/>
      <c r="Q16" s="1351"/>
      <c r="R16" s="705"/>
      <c r="S16" s="706"/>
      <c r="T16" s="705"/>
      <c r="U16" s="706"/>
      <c r="V16" s="705"/>
      <c r="W16" s="706"/>
      <c r="X16" s="1354"/>
      <c r="Y16" s="3669"/>
      <c r="Z16" s="1355"/>
      <c r="AA16" s="1352">
        <v>1</v>
      </c>
      <c r="AB16" s="1352">
        <v>1</v>
      </c>
      <c r="AC16" s="1352">
        <v>1</v>
      </c>
    </row>
    <row r="17" spans="1:29" ht="82.8">
      <c r="A17" s="379"/>
      <c r="B17" s="402" t="s">
        <v>1777</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69"/>
      <c r="Q17" s="1351" t="str">
        <f>B17</f>
        <v>商业繁华度</v>
      </c>
      <c r="R17" s="705" t="s">
        <v>14</v>
      </c>
      <c r="S17" s="706">
        <f>F17</f>
        <v>100</v>
      </c>
      <c r="T17" s="705" t="s">
        <v>14</v>
      </c>
      <c r="U17" s="706">
        <f>H17</f>
        <v>100</v>
      </c>
      <c r="V17" s="705" t="s">
        <v>14</v>
      </c>
      <c r="W17" s="706">
        <f>J17</f>
        <v>100</v>
      </c>
      <c r="X17" s="1354"/>
      <c r="Y17" s="3669"/>
      <c r="Z17" s="1355" t="str">
        <f>Q17</f>
        <v>商业繁华度</v>
      </c>
      <c r="AA17" s="1352">
        <f t="shared" si="3"/>
        <v>1</v>
      </c>
      <c r="AB17" s="1352">
        <f t="shared" si="4"/>
        <v>1</v>
      </c>
      <c r="AC17" s="1352">
        <f t="shared" si="5"/>
        <v>1</v>
      </c>
    </row>
    <row r="18" spans="1:29" ht="15">
      <c r="A18" s="379"/>
      <c r="B18" s="407"/>
      <c r="C18" s="1900"/>
      <c r="D18" s="401"/>
      <c r="E18" s="1902"/>
      <c r="F18" s="401"/>
      <c r="G18" s="1902"/>
      <c r="H18" s="399"/>
      <c r="I18" s="1901"/>
      <c r="J18" s="399"/>
      <c r="K18" s="620"/>
      <c r="L18" s="2719"/>
      <c r="M18" s="2713"/>
      <c r="N18" s="2713"/>
      <c r="O18" s="2771"/>
      <c r="P18" s="3669"/>
      <c r="Q18" s="1351"/>
      <c r="R18" s="705"/>
      <c r="S18" s="706"/>
      <c r="T18" s="705"/>
      <c r="U18" s="706"/>
      <c r="V18" s="705"/>
      <c r="W18" s="706"/>
      <c r="X18" s="1354"/>
      <c r="Y18" s="3669"/>
      <c r="Z18" s="1355"/>
      <c r="AA18" s="1352">
        <v>1</v>
      </c>
      <c r="AB18" s="1352">
        <v>1</v>
      </c>
      <c r="AC18" s="1352">
        <v>1</v>
      </c>
    </row>
    <row r="19" spans="1:29" ht="82.8">
      <c r="A19" s="379"/>
      <c r="B19" s="402" t="s">
        <v>1811</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69"/>
      <c r="Q19" s="1351" t="str">
        <f>B19</f>
        <v>办公集聚程度</v>
      </c>
      <c r="R19" s="705" t="s">
        <v>14</v>
      </c>
      <c r="S19" s="706">
        <f>F19</f>
        <v>100</v>
      </c>
      <c r="T19" s="705" t="s">
        <v>14</v>
      </c>
      <c r="U19" s="706">
        <f>H19</f>
        <v>100</v>
      </c>
      <c r="V19" s="705" t="s">
        <v>14</v>
      </c>
      <c r="W19" s="706">
        <f>J19</f>
        <v>100</v>
      </c>
      <c r="X19" s="1354"/>
      <c r="Y19" s="3669"/>
      <c r="Z19" s="1355" t="str">
        <f>Q19</f>
        <v>办公集聚程度</v>
      </c>
      <c r="AA19" s="1352">
        <f t="shared" si="3"/>
        <v>1</v>
      </c>
      <c r="AB19" s="1352">
        <f t="shared" si="4"/>
        <v>1</v>
      </c>
      <c r="AC19" s="1352">
        <f t="shared" si="5"/>
        <v>1</v>
      </c>
    </row>
    <row r="20" spans="1:29" ht="15">
      <c r="A20" s="379"/>
      <c r="B20" s="407"/>
      <c r="C20" s="398"/>
      <c r="D20" s="399"/>
      <c r="E20" s="1897"/>
      <c r="F20" s="399"/>
      <c r="G20" s="1897"/>
      <c r="H20" s="399"/>
      <c r="I20" s="1896"/>
      <c r="J20" s="399"/>
      <c r="K20" s="620"/>
      <c r="L20" s="2719"/>
      <c r="M20" s="2713"/>
      <c r="N20" s="2713"/>
      <c r="O20" s="2771"/>
      <c r="P20" s="3669"/>
      <c r="Q20" s="1351"/>
      <c r="R20" s="705"/>
      <c r="S20" s="706"/>
      <c r="T20" s="705"/>
      <c r="U20" s="706"/>
      <c r="V20" s="705"/>
      <c r="W20" s="706"/>
      <c r="X20" s="1354"/>
      <c r="Y20" s="3669"/>
      <c r="Z20" s="1355"/>
      <c r="AA20" s="1352">
        <v>1</v>
      </c>
      <c r="AB20" s="1352">
        <v>1</v>
      </c>
      <c r="AC20" s="1352">
        <v>1</v>
      </c>
    </row>
    <row r="21" spans="1:29" ht="193.2">
      <c r="A21" s="379"/>
      <c r="B21" s="402" t="s">
        <v>1833</v>
      </c>
      <c r="C21" s="1899" t="str">
        <f>估价对象房地状况!C18</f>
        <v>估价对象周边有24路、117路、123路、132路、135路、413路、515路等多条公交线路，地铁2号线及13号线换乘站（东直门站），东直门长途汽车站等，综合评价交通便捷度较好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69"/>
      <c r="Q21" s="1351" t="str">
        <f>B21</f>
        <v>交通便捷度</v>
      </c>
      <c r="R21" s="705" t="s">
        <v>14</v>
      </c>
      <c r="S21" s="706">
        <f>F21</f>
        <v>100</v>
      </c>
      <c r="T21" s="705" t="s">
        <v>14</v>
      </c>
      <c r="U21" s="706">
        <f>H21</f>
        <v>100</v>
      </c>
      <c r="V21" s="705" t="s">
        <v>14</v>
      </c>
      <c r="W21" s="706">
        <f>J21</f>
        <v>100</v>
      </c>
      <c r="X21" s="1354"/>
      <c r="Y21" s="3669"/>
      <c r="Z21" s="1355" t="str">
        <f>Q21</f>
        <v>交通便捷度</v>
      </c>
      <c r="AA21" s="1352">
        <f t="shared" si="3"/>
        <v>1</v>
      </c>
      <c r="AB21" s="1352">
        <f t="shared" si="4"/>
        <v>1</v>
      </c>
      <c r="AC21" s="1352">
        <f t="shared" si="5"/>
        <v>1</v>
      </c>
    </row>
    <row r="22" spans="1:29" ht="15">
      <c r="A22" s="379"/>
      <c r="B22" s="1131"/>
      <c r="C22" s="398"/>
      <c r="D22" s="401"/>
      <c r="E22" s="1897"/>
      <c r="F22" s="399"/>
      <c r="G22" s="1897"/>
      <c r="H22" s="399"/>
      <c r="I22" s="1896"/>
      <c r="J22" s="399"/>
      <c r="K22" s="620"/>
      <c r="L22" s="2719"/>
      <c r="M22" s="2713"/>
      <c r="N22" s="2713"/>
      <c r="O22" s="2771"/>
      <c r="P22" s="3669"/>
      <c r="Q22" s="1351"/>
      <c r="R22" s="705"/>
      <c r="S22" s="706"/>
      <c r="T22" s="705"/>
      <c r="U22" s="706"/>
      <c r="V22" s="705"/>
      <c r="W22" s="706"/>
      <c r="X22" s="1354"/>
      <c r="Y22" s="3669"/>
      <c r="Z22" s="1355"/>
      <c r="AA22" s="1352">
        <v>1</v>
      </c>
      <c r="AB22" s="1352">
        <v>1</v>
      </c>
      <c r="AC22" s="1352">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69"/>
      <c r="Q23" s="1351" t="str">
        <f t="shared" ref="Q23:Q37" si="8">B23</f>
        <v>区域土地利用方向</v>
      </c>
      <c r="R23" s="705" t="s">
        <v>14</v>
      </c>
      <c r="S23" s="706">
        <f>F23</f>
        <v>100</v>
      </c>
      <c r="T23" s="705" t="s">
        <v>14</v>
      </c>
      <c r="U23" s="706">
        <f>H23</f>
        <v>100</v>
      </c>
      <c r="V23" s="705" t="s">
        <v>14</v>
      </c>
      <c r="W23" s="706">
        <f>J23</f>
        <v>100</v>
      </c>
      <c r="X23" s="1354"/>
      <c r="Y23" s="3669"/>
      <c r="Z23" s="1355" t="str">
        <f>Q23</f>
        <v>区域土地利用方向</v>
      </c>
      <c r="AA23" s="1352">
        <f t="shared" si="3"/>
        <v>1</v>
      </c>
      <c r="AB23" s="1352">
        <f t="shared" si="4"/>
        <v>1</v>
      </c>
      <c r="AC23" s="1352">
        <f t="shared" si="5"/>
        <v>1</v>
      </c>
    </row>
    <row r="24" spans="1:29" ht="15">
      <c r="A24" s="358"/>
      <c r="B24" s="407"/>
      <c r="C24" s="565"/>
      <c r="D24" s="399"/>
      <c r="E24" s="1897"/>
      <c r="F24" s="399"/>
      <c r="G24" s="1896"/>
      <c r="H24" s="399"/>
      <c r="I24" s="1896"/>
      <c r="J24" s="399"/>
      <c r="K24" s="740"/>
      <c r="L24" s="2719"/>
      <c r="M24" s="2713"/>
      <c r="N24" s="2713"/>
      <c r="O24" s="2771"/>
      <c r="P24" s="3669"/>
      <c r="Q24" s="1351"/>
      <c r="R24" s="705"/>
      <c r="S24" s="706"/>
      <c r="T24" s="705"/>
      <c r="U24" s="706"/>
      <c r="V24" s="705"/>
      <c r="W24" s="706"/>
      <c r="X24" s="1354"/>
      <c r="Y24" s="3669"/>
      <c r="Z24" s="1355"/>
      <c r="AA24" s="1352"/>
      <c r="AB24" s="1352"/>
      <c r="AC24" s="1352"/>
    </row>
    <row r="25" spans="1:29" ht="124.2">
      <c r="A25" s="358"/>
      <c r="B25" s="1131" t="s">
        <v>1872</v>
      </c>
      <c r="C25" s="1954" t="str">
        <f>估价对象房地状况!C20</f>
        <v>区域自然环境：亮马河、东城区亮马河公园；人文环境：工人体育场、东直门外清真寺；综合评价环境状况较好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69"/>
      <c r="Q25" s="1351" t="str">
        <f t="shared" si="8"/>
        <v>自然及人文环境状况</v>
      </c>
      <c r="R25" s="705" t="s">
        <v>14</v>
      </c>
      <c r="S25" s="706">
        <f>F25</f>
        <v>100</v>
      </c>
      <c r="T25" s="705" t="s">
        <v>14</v>
      </c>
      <c r="U25" s="706">
        <f>H25</f>
        <v>100</v>
      </c>
      <c r="V25" s="705" t="s">
        <v>14</v>
      </c>
      <c r="W25" s="706">
        <f>J25</f>
        <v>100</v>
      </c>
      <c r="X25" s="1354"/>
      <c r="Y25" s="3669"/>
      <c r="Z25" s="1355" t="str">
        <f>Q25</f>
        <v>自然及人文环境状况</v>
      </c>
      <c r="AA25" s="1352">
        <f t="shared" si="3"/>
        <v>1</v>
      </c>
      <c r="AB25" s="1352">
        <f t="shared" si="4"/>
        <v>1</v>
      </c>
      <c r="AC25" s="1352">
        <f t="shared" si="5"/>
        <v>1</v>
      </c>
    </row>
    <row r="26" spans="1:29" ht="15">
      <c r="A26" s="358"/>
      <c r="B26" s="407"/>
      <c r="C26" s="398"/>
      <c r="D26" s="399"/>
      <c r="E26" s="1903"/>
      <c r="F26" s="399"/>
      <c r="G26" s="1903"/>
      <c r="H26" s="399"/>
      <c r="I26" s="398"/>
      <c r="J26" s="399"/>
      <c r="K26" s="620"/>
      <c r="L26" s="2719"/>
      <c r="M26" s="2713"/>
      <c r="N26" s="2713"/>
      <c r="O26" s="2771"/>
      <c r="P26" s="3669"/>
      <c r="Q26" s="1351"/>
      <c r="R26" s="705"/>
      <c r="S26" s="706"/>
      <c r="T26" s="705"/>
      <c r="U26" s="706"/>
      <c r="V26" s="705"/>
      <c r="W26" s="706"/>
      <c r="X26" s="1354"/>
      <c r="Y26" s="3669"/>
      <c r="Z26" s="1355"/>
      <c r="AA26" s="1352">
        <v>1</v>
      </c>
      <c r="AB26" s="1352">
        <v>1</v>
      </c>
      <c r="AC26" s="1352">
        <v>1</v>
      </c>
    </row>
    <row r="27" spans="1:29" s="108" customFormat="1" ht="41.4">
      <c r="A27" s="597"/>
      <c r="B27" s="1131" t="s">
        <v>1778</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69"/>
      <c r="Q27" s="1342" t="str">
        <f t="shared" si="8"/>
        <v>公共配套设施</v>
      </c>
      <c r="R27" s="701" t="s">
        <v>14</v>
      </c>
      <c r="S27" s="702">
        <f>F27</f>
        <v>100</v>
      </c>
      <c r="T27" s="701" t="s">
        <v>14</v>
      </c>
      <c r="U27" s="702">
        <f>H27</f>
        <v>100</v>
      </c>
      <c r="V27" s="701" t="s">
        <v>14</v>
      </c>
      <c r="W27" s="702">
        <f>J27</f>
        <v>100</v>
      </c>
      <c r="X27" s="703"/>
      <c r="Y27" s="3669"/>
      <c r="Z27" s="52" t="str">
        <f>Q27</f>
        <v>公共配套设施</v>
      </c>
      <c r="AA27" s="1352">
        <f>D27/F27</f>
        <v>1</v>
      </c>
      <c r="AB27" s="1352">
        <f>D27/H27</f>
        <v>1</v>
      </c>
      <c r="AC27" s="1352">
        <f>D27/J27</f>
        <v>1</v>
      </c>
    </row>
    <row r="28" spans="1:29" s="108" customFormat="1" ht="15">
      <c r="A28" s="597"/>
      <c r="B28" s="407"/>
      <c r="C28" s="1977"/>
      <c r="D28" s="399"/>
      <c r="E28" s="1903"/>
      <c r="F28" s="399"/>
      <c r="G28" s="1903"/>
      <c r="H28" s="399"/>
      <c r="I28" s="398"/>
      <c r="J28" s="399"/>
      <c r="K28" s="620"/>
      <c r="L28" s="2714"/>
      <c r="M28" s="2715"/>
      <c r="N28" s="2715"/>
      <c r="O28" s="2769"/>
      <c r="P28" s="3669"/>
      <c r="Q28" s="1342"/>
      <c r="R28" s="701"/>
      <c r="S28" s="702"/>
      <c r="T28" s="701"/>
      <c r="U28" s="702"/>
      <c r="V28" s="701"/>
      <c r="W28" s="702"/>
      <c r="X28" s="703"/>
      <c r="Y28" s="3669"/>
      <c r="Z28" s="52"/>
      <c r="AA28" s="1352">
        <v>1</v>
      </c>
      <c r="AB28" s="1352">
        <v>1</v>
      </c>
      <c r="AC28" s="1352">
        <v>1</v>
      </c>
    </row>
    <row r="29" spans="1:29" s="108" customFormat="1" ht="15">
      <c r="A29" s="597"/>
      <c r="B29" s="1131" t="s">
        <v>1779</v>
      </c>
      <c r="C29" s="1899"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69"/>
      <c r="Q29" s="1342"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2">
        <f>D29/F29</f>
        <v>1</v>
      </c>
      <c r="AB29" s="1352">
        <f>D29/H29</f>
        <v>1</v>
      </c>
      <c r="AC29" s="1352">
        <f>D29/J29</f>
        <v>1</v>
      </c>
    </row>
    <row r="30" spans="1:29" s="108" customFormat="1" ht="15">
      <c r="A30" s="597"/>
      <c r="B30" s="407"/>
      <c r="C30" s="1977"/>
      <c r="D30" s="399"/>
      <c r="E30" s="1978"/>
      <c r="F30" s="399"/>
      <c r="G30" s="1978"/>
      <c r="H30" s="399"/>
      <c r="I30" s="1978"/>
      <c r="J30" s="399"/>
      <c r="K30" s="620"/>
      <c r="L30" s="2714"/>
      <c r="M30" s="2715"/>
      <c r="N30" s="2715"/>
      <c r="O30" s="2769"/>
      <c r="P30" s="3669"/>
      <c r="Q30" s="1342"/>
      <c r="R30" s="701"/>
      <c r="S30" s="702"/>
      <c r="T30" s="701"/>
      <c r="U30" s="702"/>
      <c r="V30" s="701"/>
      <c r="W30" s="702"/>
      <c r="X30" s="703"/>
      <c r="Y30" s="3669"/>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69"/>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669"/>
      <c r="Z31" s="1355" t="str">
        <f t="shared" ref="Z31:Z45" si="13">Q31</f>
        <v>临街状况</v>
      </c>
      <c r="AA31" s="1352">
        <f t="shared" si="3"/>
        <v>1</v>
      </c>
      <c r="AB31" s="1352">
        <f t="shared" si="4"/>
        <v>1</v>
      </c>
      <c r="AC31" s="1352">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69"/>
      <c r="Q32" s="1351" t="str">
        <f t="shared" si="8"/>
        <v>毗邻道路的类型与等级</v>
      </c>
      <c r="R32" s="705" t="s">
        <v>14</v>
      </c>
      <c r="S32" s="706">
        <f t="shared" si="10"/>
        <v>100</v>
      </c>
      <c r="T32" s="705" t="s">
        <v>14</v>
      </c>
      <c r="U32" s="706">
        <f t="shared" si="11"/>
        <v>100</v>
      </c>
      <c r="V32" s="705" t="s">
        <v>14</v>
      </c>
      <c r="W32" s="706">
        <f t="shared" si="12"/>
        <v>100</v>
      </c>
      <c r="X32" s="1354"/>
      <c r="Y32" s="3669"/>
      <c r="Z32" s="1355" t="str">
        <f t="shared" si="13"/>
        <v>毗邻道路的类型与等级</v>
      </c>
      <c r="AA32" s="1352">
        <f t="shared" si="3"/>
        <v>1</v>
      </c>
      <c r="AB32" s="1352">
        <f t="shared" si="4"/>
        <v>1</v>
      </c>
      <c r="AC32" s="1352">
        <f t="shared" si="5"/>
        <v>1</v>
      </c>
    </row>
    <row r="33" spans="1:29" ht="15">
      <c r="A33" s="379"/>
      <c r="B33" s="407"/>
      <c r="C33" s="398"/>
      <c r="D33" s="399"/>
      <c r="E33" s="1903"/>
      <c r="F33" s="399"/>
      <c r="G33" s="1903"/>
      <c r="H33" s="399"/>
      <c r="I33" s="398"/>
      <c r="J33" s="399"/>
      <c r="K33" s="562"/>
      <c r="L33" s="2719"/>
      <c r="M33" s="2713"/>
      <c r="N33" s="2713"/>
      <c r="O33" s="2771"/>
      <c r="P33" s="3669"/>
      <c r="Q33" s="1351"/>
      <c r="R33" s="705"/>
      <c r="S33" s="706"/>
      <c r="T33" s="705"/>
      <c r="U33" s="706"/>
      <c r="V33" s="705"/>
      <c r="W33" s="706"/>
      <c r="X33" s="1354"/>
      <c r="Y33" s="3669"/>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69"/>
      <c r="Q34" s="1351" t="str">
        <f t="shared" si="8"/>
        <v>土地级别</v>
      </c>
      <c r="R34" s="705" t="s">
        <v>14</v>
      </c>
      <c r="S34" s="706">
        <f t="shared" si="10"/>
        <v>100</v>
      </c>
      <c r="T34" s="705" t="s">
        <v>14</v>
      </c>
      <c r="U34" s="706">
        <f t="shared" si="11"/>
        <v>100</v>
      </c>
      <c r="V34" s="705" t="s">
        <v>14</v>
      </c>
      <c r="W34" s="706">
        <f t="shared" si="12"/>
        <v>100</v>
      </c>
      <c r="X34" s="1354"/>
      <c r="Y34" s="3669"/>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69"/>
      <c r="Q35" s="1351">
        <f t="shared" si="8"/>
        <v>111</v>
      </c>
      <c r="R35" s="705" t="s">
        <v>14</v>
      </c>
      <c r="S35" s="706">
        <f t="shared" si="10"/>
        <v>100</v>
      </c>
      <c r="T35" s="705" t="s">
        <v>14</v>
      </c>
      <c r="U35" s="706">
        <f t="shared" si="11"/>
        <v>100</v>
      </c>
      <c r="V35" s="705" t="s">
        <v>14</v>
      </c>
      <c r="W35" s="706">
        <f t="shared" si="12"/>
        <v>100</v>
      </c>
      <c r="X35" s="1354"/>
      <c r="Y35" s="3669"/>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50" t="s">
        <v>1696</v>
      </c>
      <c r="Q36" s="1351">
        <f t="shared" si="8"/>
        <v>111</v>
      </c>
      <c r="R36" s="705" t="s">
        <v>14</v>
      </c>
      <c r="S36" s="706">
        <f t="shared" si="10"/>
        <v>100</v>
      </c>
      <c r="T36" s="705" t="s">
        <v>14</v>
      </c>
      <c r="U36" s="706">
        <f t="shared" si="11"/>
        <v>100</v>
      </c>
      <c r="V36" s="705" t="s">
        <v>14</v>
      </c>
      <c r="W36" s="706">
        <f t="shared" si="12"/>
        <v>100</v>
      </c>
      <c r="X36" s="1354"/>
      <c r="Y36" s="3673" t="s">
        <v>1696</v>
      </c>
      <c r="Z36" s="1355">
        <f t="shared" si="13"/>
        <v>111</v>
      </c>
      <c r="AA36" s="1352">
        <f t="shared" si="3"/>
        <v>1</v>
      </c>
      <c r="AB36" s="1352">
        <f t="shared" si="4"/>
        <v>1</v>
      </c>
      <c r="AC36" s="1352">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73"/>
      <c r="Q37" s="1351">
        <f t="shared" si="8"/>
        <v>111</v>
      </c>
      <c r="R37" s="708" t="s">
        <v>14</v>
      </c>
      <c r="S37" s="709">
        <f t="shared" si="10"/>
        <v>100</v>
      </c>
      <c r="T37" s="708" t="s">
        <v>14</v>
      </c>
      <c r="U37" s="709">
        <f t="shared" si="11"/>
        <v>100</v>
      </c>
      <c r="V37" s="708" t="s">
        <v>14</v>
      </c>
      <c r="W37" s="709">
        <f t="shared" si="12"/>
        <v>100</v>
      </c>
      <c r="X37" s="710"/>
      <c r="Y37" s="3673"/>
      <c r="Z37" s="711">
        <f t="shared" si="13"/>
        <v>111</v>
      </c>
      <c r="AA37" s="1352">
        <f t="shared" si="3"/>
        <v>1</v>
      </c>
      <c r="AB37" s="1352">
        <f t="shared" si="4"/>
        <v>1</v>
      </c>
      <c r="AC37" s="1352">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73"/>
      <c r="Q38" s="1351" t="str">
        <f>B38</f>
        <v>宗地面积</v>
      </c>
      <c r="R38" s="705" t="s">
        <v>14</v>
      </c>
      <c r="S38" s="706" t="e">
        <f t="shared" si="10"/>
        <v>#N/A</v>
      </c>
      <c r="T38" s="705" t="s">
        <v>14</v>
      </c>
      <c r="U38" s="706" t="e">
        <f t="shared" si="11"/>
        <v>#N/A</v>
      </c>
      <c r="V38" s="705" t="s">
        <v>14</v>
      </c>
      <c r="W38" s="706" t="e">
        <f t="shared" si="12"/>
        <v>#N/A</v>
      </c>
      <c r="X38" s="1354"/>
      <c r="Y38" s="3673"/>
      <c r="Z38" s="1355" t="str">
        <f t="shared" si="13"/>
        <v>宗地面积</v>
      </c>
      <c r="AA38" s="1352" t="e">
        <f t="shared" si="3"/>
        <v>#N/A</v>
      </c>
      <c r="AB38" s="1352" t="e">
        <f t="shared" si="4"/>
        <v>#N/A</v>
      </c>
      <c r="AC38" s="1352" t="e">
        <f t="shared" si="5"/>
        <v>#N/A</v>
      </c>
    </row>
    <row r="39" spans="1:29" ht="15">
      <c r="A39" s="423"/>
      <c r="B39" s="375" t="s">
        <v>1875</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19"/>
      <c r="M39" s="2713"/>
      <c r="N39" s="2713"/>
      <c r="O39" s="2771"/>
      <c r="P39" s="3673"/>
      <c r="Q39" s="1351" t="str">
        <f t="shared" ref="Q39:Q45" si="14">B39</f>
        <v>宗地形状</v>
      </c>
      <c r="R39" s="705" t="s">
        <v>14</v>
      </c>
      <c r="S39" s="706">
        <f t="shared" si="10"/>
        <v>100</v>
      </c>
      <c r="T39" s="705" t="s">
        <v>14</v>
      </c>
      <c r="U39" s="706">
        <f t="shared" si="11"/>
        <v>100</v>
      </c>
      <c r="V39" s="705" t="s">
        <v>14</v>
      </c>
      <c r="W39" s="706">
        <f t="shared" si="12"/>
        <v>100</v>
      </c>
      <c r="X39" s="1354"/>
      <c r="Y39" s="3673"/>
      <c r="Z39" s="1355" t="str">
        <f t="shared" si="13"/>
        <v>宗地形状</v>
      </c>
      <c r="AA39" s="1352">
        <f t="shared" si="3"/>
        <v>1</v>
      </c>
      <c r="AB39" s="1352">
        <f t="shared" si="4"/>
        <v>1</v>
      </c>
      <c r="AC39" s="1352">
        <f t="shared" si="5"/>
        <v>1</v>
      </c>
    </row>
    <row r="40" spans="1:29" ht="15">
      <c r="A40" s="423"/>
      <c r="B40" s="375" t="s">
        <v>1876</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19"/>
      <c r="M40" s="2713"/>
      <c r="N40" s="2713"/>
      <c r="O40" s="2771"/>
      <c r="P40" s="3673"/>
      <c r="Q40" s="1351" t="str">
        <f t="shared" si="14"/>
        <v>临街宽度及深度</v>
      </c>
      <c r="R40" s="705" t="s">
        <v>14</v>
      </c>
      <c r="S40" s="706">
        <f t="shared" si="10"/>
        <v>100</v>
      </c>
      <c r="T40" s="705" t="s">
        <v>14</v>
      </c>
      <c r="U40" s="706">
        <f t="shared" si="11"/>
        <v>100</v>
      </c>
      <c r="V40" s="705" t="s">
        <v>14</v>
      </c>
      <c r="W40" s="706">
        <f t="shared" si="12"/>
        <v>100</v>
      </c>
      <c r="X40" s="1354"/>
      <c r="Y40" s="3673"/>
      <c r="Z40" s="1355" t="str">
        <f t="shared" si="13"/>
        <v>临街宽度及深度</v>
      </c>
      <c r="AA40" s="1352">
        <f t="shared" si="3"/>
        <v>1</v>
      </c>
      <c r="AB40" s="1352">
        <f t="shared" si="4"/>
        <v>1</v>
      </c>
      <c r="AC40" s="1352">
        <f t="shared" si="5"/>
        <v>1</v>
      </c>
    </row>
    <row r="41" spans="1:29" s="108" customFormat="1" ht="15">
      <c r="A41" s="424"/>
      <c r="B41" s="375" t="s">
        <v>1877</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4"/>
      <c r="M41" s="2715"/>
      <c r="N41" s="2715"/>
      <c r="O41" s="2769"/>
      <c r="P41" s="3673"/>
      <c r="Q41" s="1351"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19"/>
      <c r="M42" s="2713"/>
      <c r="N42" s="2713"/>
      <c r="O42" s="2771"/>
      <c r="P42" s="3673" t="s">
        <v>1696</v>
      </c>
      <c r="Q42" s="1351" t="str">
        <f t="shared" si="14"/>
        <v>工程地质条件</v>
      </c>
      <c r="R42" s="705" t="s">
        <v>14</v>
      </c>
      <c r="S42" s="706">
        <f t="shared" si="10"/>
        <v>100</v>
      </c>
      <c r="T42" s="705" t="s">
        <v>14</v>
      </c>
      <c r="U42" s="706">
        <f t="shared" si="11"/>
        <v>100</v>
      </c>
      <c r="V42" s="705" t="s">
        <v>14</v>
      </c>
      <c r="W42" s="706">
        <f t="shared" si="12"/>
        <v>100</v>
      </c>
      <c r="X42" s="1354"/>
      <c r="Y42" s="3673"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73"/>
      <c r="Q43" s="1351">
        <f t="shared" si="14"/>
        <v>111</v>
      </c>
      <c r="R43" s="705" t="s">
        <v>14</v>
      </c>
      <c r="S43" s="706">
        <f t="shared" si="10"/>
        <v>100</v>
      </c>
      <c r="T43" s="705" t="s">
        <v>14</v>
      </c>
      <c r="U43" s="706">
        <f t="shared" si="11"/>
        <v>100</v>
      </c>
      <c r="V43" s="705" t="s">
        <v>14</v>
      </c>
      <c r="W43" s="706">
        <f t="shared" si="12"/>
        <v>100</v>
      </c>
      <c r="X43" s="1354"/>
      <c r="Y43" s="3673"/>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73"/>
      <c r="Q44" s="1351">
        <f t="shared" si="14"/>
        <v>111</v>
      </c>
      <c r="R44" s="705" t="s">
        <v>14</v>
      </c>
      <c r="S44" s="706">
        <f t="shared" si="10"/>
        <v>100</v>
      </c>
      <c r="T44" s="705" t="s">
        <v>14</v>
      </c>
      <c r="U44" s="706">
        <f t="shared" si="11"/>
        <v>100</v>
      </c>
      <c r="V44" s="705" t="s">
        <v>14</v>
      </c>
      <c r="W44" s="706">
        <f t="shared" si="12"/>
        <v>100</v>
      </c>
      <c r="X44" s="1354"/>
      <c r="Y44" s="3673"/>
      <c r="Z44" s="1355">
        <f t="shared" si="13"/>
        <v>111</v>
      </c>
      <c r="AA44" s="1352">
        <f t="shared" si="3"/>
        <v>1</v>
      </c>
      <c r="AB44" s="1352">
        <f t="shared" si="4"/>
        <v>1</v>
      </c>
      <c r="AC44" s="1352">
        <f t="shared" si="5"/>
        <v>1</v>
      </c>
    </row>
    <row r="45" spans="1:29" s="422" customFormat="1" ht="15.6"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73"/>
      <c r="Q45" s="1351">
        <f t="shared" si="14"/>
        <v>111</v>
      </c>
      <c r="R45" s="708" t="s">
        <v>14</v>
      </c>
      <c r="S45" s="709">
        <f t="shared" si="10"/>
        <v>100</v>
      </c>
      <c r="T45" s="708" t="s">
        <v>14</v>
      </c>
      <c r="U45" s="709">
        <f t="shared" si="11"/>
        <v>100</v>
      </c>
      <c r="V45" s="708" t="s">
        <v>14</v>
      </c>
      <c r="W45" s="709">
        <f t="shared" si="12"/>
        <v>100</v>
      </c>
      <c r="X45" s="710"/>
      <c r="Y45" s="3673"/>
      <c r="Z45" s="711">
        <f t="shared" si="13"/>
        <v>111</v>
      </c>
      <c r="AA45" s="1352">
        <f t="shared" si="3"/>
        <v>1</v>
      </c>
      <c r="AB45" s="1352">
        <f t="shared" si="4"/>
        <v>1</v>
      </c>
      <c r="AC45" s="1352">
        <f t="shared" si="5"/>
        <v>1</v>
      </c>
    </row>
    <row r="46" spans="1:29" ht="14.4">
      <c r="A46" s="430" t="s">
        <v>1844</v>
      </c>
      <c r="B46" s="1981" t="s">
        <v>1879</v>
      </c>
      <c r="C46" s="630" t="s">
        <v>0</v>
      </c>
      <c r="D46" s="432"/>
      <c r="E46" s="433"/>
      <c r="F46" s="434"/>
      <c r="G46" s="435"/>
      <c r="H46" s="436"/>
      <c r="I46" s="433"/>
      <c r="J46" s="436"/>
      <c r="K46" s="714"/>
      <c r="L46" s="2721"/>
      <c r="M46" s="2722"/>
      <c r="N46" s="2713"/>
      <c r="O46" s="2722"/>
      <c r="P46" s="3661" t="str">
        <f>A46</f>
        <v>成交单价</v>
      </c>
      <c r="Q46" s="3661"/>
      <c r="R46" s="3685">
        <f>E46</f>
        <v>0</v>
      </c>
      <c r="S46" s="3685"/>
      <c r="T46" s="3685">
        <f>G46</f>
        <v>0</v>
      </c>
      <c r="U46" s="3685"/>
      <c r="V46" s="3685">
        <f>I46</f>
        <v>0</v>
      </c>
      <c r="W46" s="3685"/>
      <c r="X46" s="690"/>
      <c r="Y46" s="712"/>
      <c r="Z46" s="690"/>
      <c r="AA46" s="690"/>
      <c r="AB46" s="690"/>
      <c r="AC46" s="690"/>
    </row>
    <row r="47" spans="1:29" ht="15" thickBot="1">
      <c r="A47" s="437" t="s">
        <v>1793</v>
      </c>
      <c r="B47" s="631"/>
      <c r="C47" s="440" t="e">
        <f>R48</f>
        <v>#DIV/0!</v>
      </c>
      <c r="D47" s="2316" t="s">
        <v>2136</v>
      </c>
      <c r="E47" s="440" t="e">
        <f>R47</f>
        <v>#DIV/0!</v>
      </c>
      <c r="F47" s="2317"/>
      <c r="G47" s="439" t="e">
        <f>T47</f>
        <v>#DIV/0!</v>
      </c>
      <c r="H47" s="2317"/>
      <c r="I47" s="440" t="e">
        <f>V47</f>
        <v>#DIV/0!</v>
      </c>
      <c r="J47" s="2317"/>
      <c r="K47" s="2319">
        <f>F47+H47+J47</f>
        <v>0</v>
      </c>
      <c r="L47" s="2721"/>
      <c r="M47" s="2722"/>
      <c r="N47" s="2722"/>
      <c r="O47" s="2722"/>
      <c r="P47" s="3661" t="str">
        <f>A47</f>
        <v>比较价值（元/平方米）</v>
      </c>
      <c r="Q47" s="3661"/>
      <c r="R47" s="3752" t="e">
        <f>ROUND(PRODUCT(R46,AA7:AA45),0)</f>
        <v>#DIV/0!</v>
      </c>
      <c r="S47" s="3752"/>
      <c r="T47" s="3752" t="e">
        <f>ROUND(PRODUCT(T46,AB7:AB45),0)</f>
        <v>#DIV/0!</v>
      </c>
      <c r="U47" s="3752"/>
      <c r="V47" s="3752" t="e">
        <f>ROUND(PRODUCT(V46,AC7:AC45),0)</f>
        <v>#DIV/0!</v>
      </c>
      <c r="W47" s="3752"/>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1"/>
      <c r="M48" s="2722"/>
      <c r="N48" s="2722"/>
      <c r="O48" s="2722"/>
      <c r="P48" s="3663" t="str">
        <f>A48</f>
        <v>估价对象XX用房的比较价值（楼面单价，元/平方米）</v>
      </c>
      <c r="Q48" s="3664"/>
      <c r="R48" s="3753" t="e">
        <f>ROUND(IF(D47="简单平均",AVERAGE(R47:W47),R47*F47+T47*H47+V47*J47),0)</f>
        <v>#DIV/0!</v>
      </c>
      <c r="S48" s="3753"/>
      <c r="T48" s="3753"/>
      <c r="U48" s="3753"/>
      <c r="V48" s="3753"/>
      <c r="W48" s="3753"/>
      <c r="X48" s="690"/>
      <c r="Y48" s="690"/>
      <c r="Z48" s="690"/>
      <c r="AA48" s="690"/>
      <c r="AB48" s="690"/>
      <c r="AC48" s="690"/>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4.4" thickBot="1">
      <c r="A54" s="2725"/>
      <c r="B54" s="2728"/>
      <c r="C54" s="693"/>
      <c r="D54" s="691"/>
      <c r="E54" s="691"/>
      <c r="F54" s="691"/>
      <c r="G54" s="691"/>
      <c r="H54" s="691"/>
      <c r="I54" s="691"/>
      <c r="J54" s="691"/>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2" t="s">
        <v>1883</v>
      </c>
      <c r="D55" s="1983" t="s">
        <v>1884</v>
      </c>
      <c r="E55" s="634" t="s">
        <v>1885</v>
      </c>
      <c r="F55" s="890" t="s">
        <v>1886</v>
      </c>
      <c r="G55" s="3689" t="s">
        <v>1887</v>
      </c>
      <c r="H55" s="3754"/>
      <c r="I55" s="135" t="s">
        <v>1888</v>
      </c>
      <c r="J55" s="1984">
        <f>项目基本情况!F35</f>
        <v>0</v>
      </c>
      <c r="K55" s="1985"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4">
        <v>1</v>
      </c>
      <c r="E56" s="638">
        <f>'数据-汇总表'!E8+'数据-汇总表'!E9</f>
        <v>375.87</v>
      </c>
      <c r="F56" s="886" t="e">
        <f t="shared" ref="F56:F64" si="15">ROUND(B56*E56/10000,0)</f>
        <v>#DIV/0!</v>
      </c>
      <c r="G56" s="3678"/>
      <c r="H56" s="3661"/>
      <c r="I56" s="891">
        <v>1</v>
      </c>
      <c r="J56" s="894">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v>
      </c>
      <c r="D57" s="945">
        <v>0.25</v>
      </c>
      <c r="E57" s="642"/>
      <c r="F57" s="886" t="e">
        <f t="shared" si="15"/>
        <v>#DIV/0!</v>
      </c>
      <c r="G57" s="3003" t="s">
        <v>1892</v>
      </c>
      <c r="H57" s="887">
        <f>项目基本情况!B37</f>
        <v>0</v>
      </c>
      <c r="I57" s="891">
        <f>SUMIF(修正!A57:A68,H57,修正!B57:B68)</f>
        <v>0</v>
      </c>
      <c r="J57" s="895"/>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v>
      </c>
      <c r="D58" s="945">
        <v>0.25</v>
      </c>
      <c r="E58" s="642"/>
      <c r="F58" s="886" t="e">
        <f t="shared" si="15"/>
        <v>#DIV/0!</v>
      </c>
      <c r="G58" s="3004"/>
      <c r="H58" s="887">
        <f>项目基本情况!B37</f>
        <v>0</v>
      </c>
      <c r="I58" s="891">
        <f>SUMIF(修正!A57:A68,H58,修正!C57:C68)</f>
        <v>0</v>
      </c>
      <c r="J58" s="895"/>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v>
      </c>
      <c r="D59" s="945">
        <v>0.25</v>
      </c>
      <c r="E59" s="642"/>
      <c r="F59" s="886" t="e">
        <f t="shared" si="15"/>
        <v>#DIV/0!</v>
      </c>
      <c r="G59" s="3004"/>
      <c r="H59" s="887">
        <f>项目基本情况!B37</f>
        <v>0</v>
      </c>
      <c r="I59" s="891">
        <f>SUMIF(修正!A57:A68,H59,修正!D57:D68)</f>
        <v>0</v>
      </c>
      <c r="J59" s="895"/>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5">
        <v>0.25</v>
      </c>
      <c r="E60" s="217">
        <f>'数据-汇总表'!E11</f>
        <v>0</v>
      </c>
      <c r="F60" s="886" t="e">
        <f t="shared" si="15"/>
        <v>#DIV/0!</v>
      </c>
      <c r="G60" s="1986" t="s">
        <v>1896</v>
      </c>
      <c r="H60" s="887">
        <f>项目基本情况!C37</f>
        <v>0</v>
      </c>
      <c r="I60" s="891">
        <f>SUMIF(修正!A57:A68,H60,修正!E57:E68)</f>
        <v>0</v>
      </c>
      <c r="J60" s="895"/>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0.2</v>
      </c>
      <c r="D62" s="945">
        <v>0.25</v>
      </c>
      <c r="E62" s="217">
        <f>'数据-汇总表'!E13</f>
        <v>0</v>
      </c>
      <c r="F62" s="886" t="e">
        <f t="shared" si="15"/>
        <v>#DIV/0!</v>
      </c>
      <c r="G62" s="892" t="s">
        <v>1900</v>
      </c>
      <c r="H62" s="887" t="str">
        <f>IF(G62="商业",项目基本情况!B37,IF(G62="办公",项目基本情况!C37,IF(G62="住宅",项目基本情况!D37,项目基本情况!E37)))</f>
        <v>二级</v>
      </c>
      <c r="I62" s="891">
        <f>SUMIF(修正!A57:A68,H62,修正!G57:G68)</f>
        <v>0.2</v>
      </c>
      <c r="J62" s="895"/>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v>
      </c>
      <c r="D63" s="945">
        <v>0.25</v>
      </c>
      <c r="E63" s="217">
        <f>'数据-汇总表'!E14</f>
        <v>0</v>
      </c>
      <c r="F63" s="886" t="e">
        <f t="shared" si="15"/>
        <v>#DIV/0!</v>
      </c>
      <c r="G63" s="1986" t="s">
        <v>1892</v>
      </c>
      <c r="H63" s="887">
        <f>项目基本情况!B37</f>
        <v>0</v>
      </c>
      <c r="I63" s="891">
        <f>SUMIF(修正!A57:A68,H63,修正!G57:G68)</f>
        <v>0</v>
      </c>
      <c r="J63" s="895"/>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4.4" thickBot="1">
      <c r="A64" s="641" t="s">
        <v>1902</v>
      </c>
      <c r="B64" s="218" t="e">
        <f t="shared" si="17"/>
        <v>#DIV/0!</v>
      </c>
      <c r="C64" s="171">
        <f t="shared" si="16"/>
        <v>0</v>
      </c>
      <c r="D64" s="945">
        <v>0.25</v>
      </c>
      <c r="E64" s="217">
        <f>'数据-汇总表'!E15</f>
        <v>0</v>
      </c>
      <c r="F64" s="886" t="e">
        <f t="shared" si="15"/>
        <v>#DIV/0!</v>
      </c>
      <c r="G64" s="1987" t="s">
        <v>1896</v>
      </c>
      <c r="H64" s="897">
        <f>项目基本情况!C37</f>
        <v>0</v>
      </c>
      <c r="I64" s="893">
        <f>SUMIF(修正!A57:A68,H64,修正!G57:G68)</f>
        <v>0</v>
      </c>
      <c r="J64" s="896"/>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thickBot="1">
      <c r="A65" s="643" t="s">
        <v>1903</v>
      </c>
      <c r="B65" s="644" t="s">
        <v>22</v>
      </c>
      <c r="C65" s="644" t="s">
        <v>23</v>
      </c>
      <c r="D65" s="644" t="s">
        <v>392</v>
      </c>
      <c r="E65" s="644">
        <f>IF(B46="楼面地价",SUM(E56:E64),'数据-汇总表'!D3)</f>
        <v>375.87</v>
      </c>
      <c r="F65" s="645" t="e">
        <f>IF(B46="楼面地价",SUM(F56:F64),ROUND(C48*E65/10000,0))</f>
        <v>#DIV/0!</v>
      </c>
      <c r="G65" s="717"/>
      <c r="H65" s="717"/>
      <c r="I65" s="717"/>
      <c r="J65" s="717"/>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90"/>
      <c r="B66" s="692"/>
      <c r="C66" s="693"/>
      <c r="D66" s="690"/>
      <c r="E66" s="690"/>
      <c r="F66" s="690"/>
      <c r="G66" s="690"/>
      <c r="H66" s="690"/>
      <c r="I66" s="690"/>
      <c r="J66" s="927"/>
      <c r="K66" s="888"/>
      <c r="L66" s="889"/>
      <c r="M66" s="927"/>
      <c r="N66" s="927"/>
      <c r="O66" s="927"/>
      <c r="P66" s="2722"/>
      <c r="Q66" s="2722"/>
      <c r="R66" s="2722"/>
      <c r="S66" s="2722"/>
      <c r="T66" s="2722"/>
      <c r="U66" s="2722"/>
      <c r="V66" s="2722"/>
      <c r="W66" s="2722"/>
      <c r="X66" s="2722"/>
      <c r="Y66" s="2722"/>
      <c r="Z66" s="2722"/>
      <c r="AA66" s="2722"/>
      <c r="AB66" s="2722"/>
      <c r="AC66" s="2722"/>
    </row>
    <row r="67" spans="1:29">
      <c r="A67" s="690"/>
      <c r="B67" s="692"/>
      <c r="C67" s="692" t="str">
        <f>YEAR(C7)&amp;"-"&amp;MONTH(C7)&amp;"-1"</f>
        <v>2024-11-1</v>
      </c>
      <c r="D67" s="692">
        <f>EDATE(C67,-3)</f>
        <v>45505</v>
      </c>
      <c r="E67" s="692">
        <f>EDATE(D67,-3)</f>
        <v>45413</v>
      </c>
      <c r="F67" s="692">
        <f t="shared" ref="F67:O67" si="18">EDATE(E67,-3)</f>
        <v>45323</v>
      </c>
      <c r="G67" s="692">
        <f t="shared" si="18"/>
        <v>45231</v>
      </c>
      <c r="H67" s="692">
        <f t="shared" si="18"/>
        <v>45139</v>
      </c>
      <c r="I67" s="692">
        <f t="shared" si="18"/>
        <v>45047</v>
      </c>
      <c r="J67" s="692">
        <f t="shared" si="18"/>
        <v>44958</v>
      </c>
      <c r="K67" s="692">
        <f t="shared" si="18"/>
        <v>44866</v>
      </c>
      <c r="L67" s="692">
        <f t="shared" si="18"/>
        <v>44774</v>
      </c>
      <c r="M67" s="692">
        <f t="shared" si="18"/>
        <v>44682</v>
      </c>
      <c r="N67" s="692">
        <f t="shared" si="18"/>
        <v>44593</v>
      </c>
      <c r="O67" s="692">
        <f t="shared" si="18"/>
        <v>44501</v>
      </c>
      <c r="P67" s="2722"/>
      <c r="Q67" s="2722"/>
      <c r="R67" s="2722"/>
      <c r="S67" s="2722"/>
      <c r="T67" s="2722"/>
      <c r="U67" s="2722"/>
      <c r="V67" s="2722"/>
      <c r="W67" s="2722"/>
      <c r="X67" s="2722"/>
      <c r="Y67" s="2722"/>
      <c r="Z67" s="2722"/>
      <c r="AA67" s="2722"/>
      <c r="AB67" s="2722"/>
      <c r="AC67" s="2722"/>
    </row>
    <row r="68" spans="1:29" ht="22.2" thickBot="1">
      <c r="A68" s="694" t="s">
        <v>1798</v>
      </c>
      <c r="B68" s="690"/>
      <c r="C68" s="695"/>
      <c r="D68" s="695"/>
      <c r="E68" s="695"/>
      <c r="F68" s="696"/>
      <c r="G68" s="696"/>
      <c r="H68" s="695"/>
      <c r="I68" s="695"/>
      <c r="J68" s="940"/>
      <c r="K68" s="941"/>
      <c r="L68" s="942"/>
      <c r="M68" s="940"/>
      <c r="N68" s="2766"/>
      <c r="O68" s="2766"/>
      <c r="P68" s="2766"/>
      <c r="Q68" s="2736"/>
      <c r="R68" s="2722"/>
      <c r="S68" s="2722"/>
      <c r="T68" s="2722"/>
      <c r="U68" s="2722"/>
      <c r="V68" s="2722"/>
      <c r="W68" s="2722"/>
      <c r="X68" s="2722"/>
      <c r="Y68" s="2722"/>
      <c r="Z68" s="2722"/>
      <c r="AA68" s="2722"/>
      <c r="AB68" s="2722"/>
      <c r="AC68" s="2722"/>
    </row>
    <row r="69" spans="1:29" s="457" customFormat="1" ht="14.4">
      <c r="A69" s="1988" t="s">
        <v>1904</v>
      </c>
      <c r="B69" s="1109"/>
      <c r="C69" s="1181" t="str">
        <f>YEAR(C67)&amp;"-"&amp;ROUNDUP(MONTH(C67)/3,0)</f>
        <v>2024-4</v>
      </c>
      <c r="D69" s="1181" t="str">
        <f>YEAR(D67)&amp;"-"&amp;ROUNDUP(MONTH(D67)/3,0)</f>
        <v>2024-3</v>
      </c>
      <c r="E69" s="1181" t="str">
        <f t="shared" ref="E69:O69" si="19">YEAR(E67)&amp;"-"&amp;ROUNDUP(MONTH(E67)/3,0)</f>
        <v>2024-2</v>
      </c>
      <c r="F69" s="1181" t="str">
        <f t="shared" si="19"/>
        <v>2024-1</v>
      </c>
      <c r="G69" s="1181" t="str">
        <f t="shared" si="19"/>
        <v>2023-4</v>
      </c>
      <c r="H69" s="1181" t="str">
        <f t="shared" si="19"/>
        <v>2023-3</v>
      </c>
      <c r="I69" s="1181" t="str">
        <f t="shared" si="19"/>
        <v>2023-2</v>
      </c>
      <c r="J69" s="1181" t="str">
        <f t="shared" si="19"/>
        <v>2023-1</v>
      </c>
      <c r="K69" s="1181" t="str">
        <f t="shared" si="19"/>
        <v>2022-4</v>
      </c>
      <c r="L69" s="1181" t="str">
        <f t="shared" si="19"/>
        <v>2022-3</v>
      </c>
      <c r="M69" s="1181" t="str">
        <f t="shared" si="19"/>
        <v>2022-2</v>
      </c>
      <c r="N69" s="1181" t="str">
        <f t="shared" si="19"/>
        <v>2022-1</v>
      </c>
      <c r="O69" s="1181" t="str">
        <f t="shared" si="19"/>
        <v>2021-4</v>
      </c>
      <c r="P69" s="2773"/>
      <c r="Q69" s="2738"/>
      <c r="R69" s="2738"/>
      <c r="S69" s="2738"/>
      <c r="T69" s="2738"/>
      <c r="U69" s="2738"/>
      <c r="V69" s="2738"/>
      <c r="W69" s="2738"/>
      <c r="X69" s="2738"/>
      <c r="Y69" s="2738"/>
      <c r="Z69" s="2738"/>
      <c r="AA69" s="2738"/>
      <c r="AB69" s="2738"/>
      <c r="AC69" s="2738"/>
    </row>
    <row r="70" spans="1:29" s="108" customFormat="1" ht="30" customHeight="1">
      <c r="A70" s="1989"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6"/>
      <c r="Q70" s="2658"/>
      <c r="R70" s="2658"/>
      <c r="S70" s="2658"/>
      <c r="T70" s="2658"/>
      <c r="U70" s="2658"/>
      <c r="V70" s="2658"/>
      <c r="W70" s="2658"/>
      <c r="X70" s="2658"/>
      <c r="Y70" s="2658"/>
      <c r="Z70" s="2658"/>
      <c r="AA70" s="2658"/>
      <c r="AB70" s="2658"/>
      <c r="AC70" s="2658"/>
    </row>
    <row r="71" spans="1:29" s="108" customFormat="1" ht="15" thickBot="1">
      <c r="A71" s="464" t="s">
        <v>1716</v>
      </c>
      <c r="B71" s="465"/>
      <c r="C71" s="466"/>
      <c r="D71" s="467"/>
      <c r="E71" s="467"/>
      <c r="F71" s="467"/>
      <c r="G71" s="467"/>
      <c r="H71" s="467"/>
      <c r="I71" s="467"/>
      <c r="J71" s="467"/>
      <c r="K71" s="467"/>
      <c r="L71" s="467"/>
      <c r="M71" s="468"/>
      <c r="N71" s="467"/>
      <c r="O71" s="943"/>
      <c r="P71" s="2736"/>
      <c r="Q71" s="2736"/>
      <c r="R71" s="2658"/>
      <c r="S71" s="2658"/>
      <c r="T71" s="2658"/>
      <c r="U71" s="2658"/>
      <c r="V71" s="2658"/>
      <c r="W71" s="2658"/>
      <c r="X71" s="2658"/>
      <c r="Y71" s="2658"/>
      <c r="Z71" s="2658"/>
      <c r="AA71" s="2658"/>
      <c r="AB71" s="2658"/>
      <c r="AC71" s="2658"/>
    </row>
    <row r="72" spans="1:29" s="108" customFormat="1" ht="14.4">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4.4"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ht="14.4">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4.4"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9.4"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4.4"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4.4"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4.4"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4.4"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4.4"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4.4"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4.4"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ht="14.4">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2"/>
      <c r="O101" s="2752"/>
      <c r="P101" s="2776"/>
      <c r="Q101" s="2743"/>
      <c r="R101" s="2744"/>
      <c r="S101" s="2744"/>
      <c r="T101" s="2744"/>
      <c r="U101" s="2744"/>
      <c r="V101" s="2744"/>
      <c r="W101" s="2744"/>
      <c r="X101" s="2744"/>
      <c r="Y101" s="2744"/>
      <c r="Z101" s="2744"/>
      <c r="AA101" s="2744"/>
      <c r="AB101" s="2744"/>
      <c r="AC101" s="2744"/>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2"/>
      <c r="O102" s="2752"/>
      <c r="P102" s="2776"/>
      <c r="Q102" s="2743"/>
      <c r="R102" s="2744"/>
      <c r="S102" s="2744"/>
      <c r="T102" s="2744"/>
      <c r="U102" s="2744"/>
      <c r="V102" s="2744"/>
      <c r="W102" s="2744"/>
      <c r="X102" s="2744"/>
      <c r="Y102" s="2744"/>
      <c r="Z102" s="2744"/>
      <c r="AA102" s="2744"/>
      <c r="AB102" s="2744"/>
      <c r="AC102" s="2744"/>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9.4"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4.4"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4.4"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4.4"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4.4"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4.4"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4.4"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4.4"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4.4"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4.4"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4.4"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4.4"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4.4"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4.4"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1"/>
      <c r="M2" s="2732"/>
      <c r="N2" s="2732"/>
      <c r="O2" s="2732"/>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31"/>
      <c r="M3" s="2732"/>
      <c r="N3" s="2732"/>
      <c r="O3" s="2732"/>
      <c r="P3" s="699"/>
      <c r="Q3" s="699"/>
      <c r="R3" s="699"/>
      <c r="S3" s="699"/>
      <c r="T3" s="699"/>
      <c r="U3" s="699"/>
      <c r="V3" s="699"/>
      <c r="W3" s="699"/>
      <c r="X3" s="699"/>
      <c r="Y3" s="699"/>
      <c r="Z3" s="699"/>
      <c r="AA3" s="699"/>
      <c r="AB3" s="716"/>
      <c r="AC3" s="713"/>
    </row>
    <row r="4" spans="1:29" ht="14.4">
      <c r="A4" s="355" t="s">
        <v>1769</v>
      </c>
      <c r="B4" s="356"/>
      <c r="C4" s="3689" t="s">
        <v>1770</v>
      </c>
      <c r="D4" s="3690"/>
      <c r="E4" s="3691" t="s">
        <v>1771</v>
      </c>
      <c r="F4" s="3692"/>
      <c r="G4" s="3689" t="s">
        <v>1772</v>
      </c>
      <c r="H4" s="3690"/>
      <c r="I4" s="3689" t="s">
        <v>1773</v>
      </c>
      <c r="J4" s="3690"/>
      <c r="K4" s="559" t="s">
        <v>1774</v>
      </c>
      <c r="L4" s="2712"/>
      <c r="M4" s="2713"/>
      <c r="N4" s="2713"/>
      <c r="O4" s="2713"/>
      <c r="P4" s="3693" t="s">
        <v>1775</v>
      </c>
      <c r="Q4" s="3694"/>
      <c r="R4" s="3679" t="s">
        <v>1771</v>
      </c>
      <c r="S4" s="3680"/>
      <c r="T4" s="3679" t="s">
        <v>1772</v>
      </c>
      <c r="U4" s="3680"/>
      <c r="V4" s="3685" t="s">
        <v>1773</v>
      </c>
      <c r="W4" s="3685"/>
      <c r="X4" s="1354"/>
      <c r="Y4" s="3679" t="s">
        <v>1775</v>
      </c>
      <c r="Z4" s="3680"/>
      <c r="AA4" s="3686" t="s">
        <v>1771</v>
      </c>
      <c r="AB4" s="3687" t="s">
        <v>1772</v>
      </c>
      <c r="AC4" s="3686" t="s">
        <v>1773</v>
      </c>
    </row>
    <row r="5" spans="1:29">
      <c r="A5" s="358"/>
      <c r="B5" s="359"/>
      <c r="C5" s="3707" t="s">
        <v>1673</v>
      </c>
      <c r="D5" s="3700"/>
      <c r="E5" s="3734" t="s">
        <v>1674</v>
      </c>
      <c r="F5" s="3702"/>
      <c r="G5" s="3707" t="s">
        <v>1675</v>
      </c>
      <c r="H5" s="3700"/>
      <c r="I5" s="3707" t="s">
        <v>1676</v>
      </c>
      <c r="J5" s="3700"/>
      <c r="K5" s="559"/>
      <c r="L5" s="2712"/>
      <c r="M5" s="2713"/>
      <c r="N5" s="2713"/>
      <c r="O5" s="2713"/>
      <c r="P5" s="3695"/>
      <c r="Q5" s="3696"/>
      <c r="R5" s="3681"/>
      <c r="S5" s="3682"/>
      <c r="T5" s="3681"/>
      <c r="U5" s="3682"/>
      <c r="V5" s="3685"/>
      <c r="W5" s="3685"/>
      <c r="X5" s="1354"/>
      <c r="Y5" s="3681"/>
      <c r="Z5" s="3682"/>
      <c r="AA5" s="3687"/>
      <c r="AB5" s="3687"/>
      <c r="AC5" s="3687"/>
    </row>
    <row r="6" spans="1:29" ht="15" thickBot="1">
      <c r="A6" s="360"/>
      <c r="B6" s="361"/>
      <c r="C6" s="3755" t="s">
        <v>1919</v>
      </c>
      <c r="D6" s="3756"/>
      <c r="E6" s="3757" t="s">
        <v>1919</v>
      </c>
      <c r="F6" s="3758"/>
      <c r="G6" s="3755" t="s">
        <v>1919</v>
      </c>
      <c r="H6" s="3756"/>
      <c r="I6" s="3755" t="s">
        <v>1919</v>
      </c>
      <c r="J6" s="3756"/>
      <c r="K6" s="559" t="s">
        <v>1678</v>
      </c>
      <c r="L6" s="2712"/>
      <c r="M6" s="2713"/>
      <c r="N6" s="2713"/>
      <c r="O6" s="2713"/>
      <c r="P6" s="3697"/>
      <c r="Q6" s="3698"/>
      <c r="R6" s="3681"/>
      <c r="S6" s="3682"/>
      <c r="T6" s="3683"/>
      <c r="U6" s="3684"/>
      <c r="V6" s="3685"/>
      <c r="W6" s="3685"/>
      <c r="X6" s="1354"/>
      <c r="Y6" s="3683"/>
      <c r="Z6" s="3684"/>
      <c r="AA6" s="3688"/>
      <c r="AB6" s="3688"/>
      <c r="AC6" s="3688"/>
    </row>
    <row r="7" spans="1:29" s="108" customFormat="1" ht="15" thickBot="1">
      <c r="A7" s="362" t="s">
        <v>1679</v>
      </c>
      <c r="B7" s="363"/>
      <c r="C7" s="364">
        <f>'数据-取费表'!B2</f>
        <v>45622</v>
      </c>
      <c r="D7" s="365">
        <v>100</v>
      </c>
      <c r="E7" s="366"/>
      <c r="F7" s="367">
        <f>SUMIF(65:65,YEAR(E7)&amp;"-"&amp;INT((MONTH(E7)+2)/3),66:66)</f>
        <v>0</v>
      </c>
      <c r="G7" s="1973"/>
      <c r="H7" s="365">
        <f>SUMIF(65:65,YEAR(G7)&amp;"-"&amp;INT((MONTH(G7)+2)/3),66:66)</f>
        <v>0</v>
      </c>
      <c r="I7" s="1973"/>
      <c r="J7" s="365">
        <f>SUMIF(65:65,YEAR(I7)&amp;"-"&amp;INT((MONTH(I7)+2)/3),66:66)</f>
        <v>0</v>
      </c>
      <c r="K7" s="560"/>
      <c r="L7" s="2714"/>
      <c r="M7" s="2715"/>
      <c r="N7" s="2715"/>
      <c r="O7" s="2715"/>
      <c r="P7" s="3675" t="s">
        <v>1680</v>
      </c>
      <c r="Q7" s="3676"/>
      <c r="R7" s="701" t="s">
        <v>14</v>
      </c>
      <c r="S7" s="702">
        <f t="shared" ref="S7:S15" si="0">F7</f>
        <v>0</v>
      </c>
      <c r="T7" s="701" t="s">
        <v>14</v>
      </c>
      <c r="U7" s="702">
        <f t="shared" ref="U7:U15" si="1">H7</f>
        <v>0</v>
      </c>
      <c r="V7" s="701" t="s">
        <v>14</v>
      </c>
      <c r="W7" s="702">
        <f t="shared" ref="W7:W15" si="2">J7</f>
        <v>0</v>
      </c>
      <c r="X7" s="703"/>
      <c r="Y7" s="3675" t="s">
        <v>1680</v>
      </c>
      <c r="Z7" s="3677"/>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75" t="s">
        <v>1683</v>
      </c>
      <c r="Q8" s="3677"/>
      <c r="R8" s="701" t="s">
        <v>14</v>
      </c>
      <c r="S8" s="702">
        <f t="shared" si="0"/>
        <v>0</v>
      </c>
      <c r="T8" s="701" t="s">
        <v>14</v>
      </c>
      <c r="U8" s="702">
        <f t="shared" si="1"/>
        <v>0</v>
      </c>
      <c r="V8" s="701" t="s">
        <v>14</v>
      </c>
      <c r="W8" s="702">
        <f t="shared" si="2"/>
        <v>0</v>
      </c>
      <c r="X8" s="703"/>
      <c r="Y8" s="3675" t="s">
        <v>1683</v>
      </c>
      <c r="Z8" s="3677"/>
      <c r="AA8" s="704" t="e">
        <f t="shared" ref="AA8:AA40" si="3">D8/F8</f>
        <v>#DIV/0!</v>
      </c>
      <c r="AB8" s="704" t="e">
        <f t="shared" ref="AB8:AB40" si="4">D8/H8</f>
        <v>#DIV/0!</v>
      </c>
      <c r="AC8" s="704" t="e">
        <f t="shared" ref="AC8:AC40" si="5">D8/J8</f>
        <v>#DIV/0!</v>
      </c>
    </row>
    <row r="9" spans="1:29" s="108" customFormat="1" ht="14.4">
      <c r="A9" s="369" t="s">
        <v>1684</v>
      </c>
      <c r="B9" s="63" t="s">
        <v>1685</v>
      </c>
      <c r="C9" s="1976"/>
      <c r="D9" s="126">
        <v>100</v>
      </c>
      <c r="E9" s="1976"/>
      <c r="F9" s="126">
        <f>SUMIF(70:70,E9,71:71)-SUMIF(70:70,C9,71:71)+100</f>
        <v>100</v>
      </c>
      <c r="G9" s="1976"/>
      <c r="H9" s="126">
        <f>SUMIF(70:70,G9,71:71)-SUMIF(70:70,C9,71:71)+100</f>
        <v>100</v>
      </c>
      <c r="I9" s="1976"/>
      <c r="J9" s="126">
        <f>SUMIF(70:70,I9,71:71)-SUMIF(70:70,C9,71:71)+100</f>
        <v>100</v>
      </c>
      <c r="K9" s="560"/>
      <c r="L9" s="2714"/>
      <c r="M9" s="2715"/>
      <c r="N9" s="2715"/>
      <c r="O9" s="2769"/>
      <c r="P9" s="3661" t="s">
        <v>1686</v>
      </c>
      <c r="Q9" s="1342" t="str">
        <f t="shared" ref="Q9:Q15" si="6">B9</f>
        <v>用途</v>
      </c>
      <c r="R9" s="701" t="s">
        <v>14</v>
      </c>
      <c r="S9" s="702">
        <f t="shared" si="0"/>
        <v>100</v>
      </c>
      <c r="T9" s="701" t="s">
        <v>14</v>
      </c>
      <c r="U9" s="702">
        <f t="shared" si="1"/>
        <v>100</v>
      </c>
      <c r="V9" s="701" t="s">
        <v>14</v>
      </c>
      <c r="W9" s="702">
        <f t="shared" si="2"/>
        <v>100</v>
      </c>
      <c r="X9" s="703"/>
      <c r="Y9" s="3565"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112</v>
      </c>
      <c r="G10" s="383"/>
      <c r="H10" s="127">
        <f>ROUND(100/'数据-取费表'!G16,0)</f>
        <v>112</v>
      </c>
      <c r="I10" s="383"/>
      <c r="J10" s="127">
        <f>ROUND(100/'数据-取费表'!G16,0)</f>
        <v>112</v>
      </c>
      <c r="K10" s="620"/>
      <c r="L10" s="2716"/>
      <c r="M10" s="2717"/>
      <c r="N10" s="2717"/>
      <c r="O10" s="2770"/>
      <c r="P10" s="3661"/>
      <c r="Q10" s="1342" t="str">
        <f t="shared" si="6"/>
        <v>土地使用年限（年）</v>
      </c>
      <c r="R10" s="701" t="s">
        <v>14</v>
      </c>
      <c r="S10" s="702">
        <f t="shared" si="0"/>
        <v>112</v>
      </c>
      <c r="T10" s="701" t="s">
        <v>14</v>
      </c>
      <c r="U10" s="702">
        <f t="shared" si="1"/>
        <v>112</v>
      </c>
      <c r="V10" s="701" t="s">
        <v>14</v>
      </c>
      <c r="W10" s="702">
        <f t="shared" si="2"/>
        <v>112</v>
      </c>
      <c r="X10" s="703"/>
      <c r="Y10" s="3565"/>
      <c r="Z10" s="52" t="str">
        <f t="shared" si="7"/>
        <v>土地使用年限（年）</v>
      </c>
      <c r="AA10" s="704">
        <f t="shared" si="3"/>
        <v>0.8928571428571429</v>
      </c>
      <c r="AB10" s="704">
        <f t="shared" si="4"/>
        <v>0.8928571428571429</v>
      </c>
      <c r="AC10" s="704">
        <f t="shared" si="5"/>
        <v>0.8928571428571429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61"/>
      <c r="Q11" s="1342" t="str">
        <f t="shared" si="6"/>
        <v>容积率</v>
      </c>
      <c r="R11" s="701" t="s">
        <v>14</v>
      </c>
      <c r="S11" s="702" t="e">
        <f t="shared" si="0"/>
        <v>#N/A</v>
      </c>
      <c r="T11" s="701" t="s">
        <v>14</v>
      </c>
      <c r="U11" s="702" t="e">
        <f t="shared" si="1"/>
        <v>#N/A</v>
      </c>
      <c r="V11" s="701" t="s">
        <v>14</v>
      </c>
      <c r="W11" s="702" t="e">
        <f t="shared" si="2"/>
        <v>#N/A</v>
      </c>
      <c r="X11" s="703"/>
      <c r="Y11" s="3565"/>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61"/>
      <c r="Q12" s="1342">
        <f t="shared" si="6"/>
        <v>111</v>
      </c>
      <c r="R12" s="701" t="s">
        <v>14</v>
      </c>
      <c r="S12" s="702">
        <f t="shared" si="0"/>
        <v>100</v>
      </c>
      <c r="T12" s="701" t="s">
        <v>14</v>
      </c>
      <c r="U12" s="702">
        <f t="shared" si="1"/>
        <v>100</v>
      </c>
      <c r="V12" s="701" t="s">
        <v>14</v>
      </c>
      <c r="W12" s="702">
        <f t="shared" si="2"/>
        <v>100</v>
      </c>
      <c r="X12" s="703"/>
      <c r="Y12" s="3565"/>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61"/>
      <c r="Q13" s="1342">
        <f t="shared" si="6"/>
        <v>111</v>
      </c>
      <c r="R13" s="701" t="s">
        <v>14</v>
      </c>
      <c r="S13" s="702">
        <f t="shared" si="0"/>
        <v>100</v>
      </c>
      <c r="T13" s="701" t="s">
        <v>14</v>
      </c>
      <c r="U13" s="702">
        <f t="shared" si="1"/>
        <v>100</v>
      </c>
      <c r="V13" s="701" t="s">
        <v>14</v>
      </c>
      <c r="W13" s="702">
        <f t="shared" si="2"/>
        <v>100</v>
      </c>
      <c r="X13" s="703"/>
      <c r="Y13" s="3565"/>
      <c r="Z13" s="52">
        <f t="shared" si="7"/>
        <v>111</v>
      </c>
      <c r="AA13" s="704">
        <f t="shared" si="3"/>
        <v>1</v>
      </c>
      <c r="AB13" s="704">
        <f t="shared" si="4"/>
        <v>1</v>
      </c>
      <c r="AC13" s="704">
        <f t="shared" si="5"/>
        <v>1</v>
      </c>
    </row>
    <row r="14" spans="1:29" ht="15.6"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61"/>
      <c r="Q14" s="1342">
        <f t="shared" si="6"/>
        <v>111</v>
      </c>
      <c r="R14" s="701" t="s">
        <v>14</v>
      </c>
      <c r="S14" s="702">
        <f t="shared" si="0"/>
        <v>100</v>
      </c>
      <c r="T14" s="701" t="s">
        <v>14</v>
      </c>
      <c r="U14" s="702">
        <f t="shared" si="1"/>
        <v>100</v>
      </c>
      <c r="V14" s="701" t="s">
        <v>14</v>
      </c>
      <c r="W14" s="702">
        <f t="shared" si="2"/>
        <v>100</v>
      </c>
      <c r="X14" s="703"/>
      <c r="Y14" s="3565"/>
      <c r="Z14" s="52">
        <f t="shared" si="7"/>
        <v>111</v>
      </c>
      <c r="AA14" s="704">
        <f t="shared" si="3"/>
        <v>1</v>
      </c>
      <c r="AB14" s="704">
        <f t="shared" si="4"/>
        <v>1</v>
      </c>
      <c r="AC14" s="704">
        <f t="shared" si="5"/>
        <v>1</v>
      </c>
    </row>
    <row r="15" spans="1:29" ht="69">
      <c r="A15" s="391" t="s">
        <v>1690</v>
      </c>
      <c r="B15" s="577" t="s">
        <v>1920</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68" t="s">
        <v>1691</v>
      </c>
      <c r="Q15" s="1351" t="str">
        <f t="shared" si="6"/>
        <v>产业集聚程度</v>
      </c>
      <c r="R15" s="705" t="s">
        <v>14</v>
      </c>
      <c r="S15" s="706">
        <f t="shared" si="0"/>
        <v>100</v>
      </c>
      <c r="T15" s="705" t="s">
        <v>14</v>
      </c>
      <c r="U15" s="706">
        <f t="shared" si="1"/>
        <v>100</v>
      </c>
      <c r="V15" s="705" t="s">
        <v>14</v>
      </c>
      <c r="W15" s="706">
        <f t="shared" si="2"/>
        <v>100</v>
      </c>
      <c r="X15" s="1354"/>
      <c r="Y15" s="3668" t="s">
        <v>1691</v>
      </c>
      <c r="Z15" s="1355" t="str">
        <f t="shared" si="7"/>
        <v>产业集聚程度</v>
      </c>
      <c r="AA15" s="1352">
        <f t="shared" si="3"/>
        <v>1</v>
      </c>
      <c r="AB15" s="1352">
        <f t="shared" si="4"/>
        <v>1</v>
      </c>
      <c r="AC15" s="1352">
        <f t="shared" si="5"/>
        <v>1</v>
      </c>
    </row>
    <row r="16" spans="1:29" ht="15">
      <c r="A16" s="379"/>
      <c r="B16" s="578"/>
      <c r="C16" s="398"/>
      <c r="D16" s="399"/>
      <c r="E16" s="1903"/>
      <c r="F16" s="399"/>
      <c r="G16" s="1903"/>
      <c r="H16" s="401"/>
      <c r="I16" s="1903"/>
      <c r="J16" s="399"/>
      <c r="K16" s="620"/>
      <c r="L16" s="2719"/>
      <c r="M16" s="2713"/>
      <c r="N16" s="2713"/>
      <c r="O16" s="2771"/>
      <c r="P16" s="3669"/>
      <c r="Q16" s="1351"/>
      <c r="R16" s="705"/>
      <c r="S16" s="706"/>
      <c r="T16" s="705"/>
      <c r="U16" s="706"/>
      <c r="V16" s="705"/>
      <c r="W16" s="706"/>
      <c r="X16" s="1354"/>
      <c r="Y16" s="3669"/>
      <c r="Z16" s="1355"/>
      <c r="AA16" s="1352">
        <v>1</v>
      </c>
      <c r="AB16" s="1352">
        <v>1</v>
      </c>
      <c r="AC16" s="1352">
        <v>1</v>
      </c>
    </row>
    <row r="17" spans="1:29" ht="96.6">
      <c r="A17" s="379"/>
      <c r="B17" s="579" t="s">
        <v>1833</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69"/>
      <c r="Q17" s="1351" t="str">
        <f>B17</f>
        <v>交通便捷度</v>
      </c>
      <c r="R17" s="705" t="s">
        <v>14</v>
      </c>
      <c r="S17" s="706">
        <f>F17</f>
        <v>100</v>
      </c>
      <c r="T17" s="705" t="s">
        <v>14</v>
      </c>
      <c r="U17" s="706">
        <f>H17</f>
        <v>100</v>
      </c>
      <c r="V17" s="705" t="s">
        <v>14</v>
      </c>
      <c r="W17" s="706">
        <f>J17</f>
        <v>100</v>
      </c>
      <c r="X17" s="1354"/>
      <c r="Y17" s="3669"/>
      <c r="Z17" s="1355" t="str">
        <f>Q17</f>
        <v>交通便捷度</v>
      </c>
      <c r="AA17" s="1352">
        <f t="shared" si="3"/>
        <v>1</v>
      </c>
      <c r="AB17" s="1352">
        <f t="shared" si="4"/>
        <v>1</v>
      </c>
      <c r="AC17" s="1352">
        <f t="shared" si="5"/>
        <v>1</v>
      </c>
    </row>
    <row r="18" spans="1:29" ht="15">
      <c r="A18" s="379"/>
      <c r="B18" s="580"/>
      <c r="C18" s="398"/>
      <c r="D18" s="399"/>
      <c r="E18" s="1897"/>
      <c r="F18" s="399"/>
      <c r="G18" s="1897"/>
      <c r="H18" s="399"/>
      <c r="I18" s="1896"/>
      <c r="J18" s="399"/>
      <c r="K18" s="620"/>
      <c r="L18" s="2719"/>
      <c r="M18" s="2713"/>
      <c r="N18" s="2713"/>
      <c r="O18" s="2771"/>
      <c r="P18" s="3669"/>
      <c r="Q18" s="1351"/>
      <c r="R18" s="705"/>
      <c r="S18" s="706"/>
      <c r="T18" s="705"/>
      <c r="U18" s="706"/>
      <c r="V18" s="705"/>
      <c r="W18" s="706"/>
      <c r="X18" s="1354"/>
      <c r="Y18" s="3669"/>
      <c r="Z18" s="1355"/>
      <c r="AA18" s="1352">
        <v>1</v>
      </c>
      <c r="AB18" s="1352">
        <v>1</v>
      </c>
      <c r="AC18" s="1352">
        <v>1</v>
      </c>
    </row>
    <row r="19" spans="1:29" ht="28.8">
      <c r="A19" s="379"/>
      <c r="B19" s="579" t="s">
        <v>1871</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69"/>
      <c r="Q19" s="1351" t="str">
        <f t="shared" ref="Q19:Q33" si="8">B19</f>
        <v>区域土地利用方向</v>
      </c>
      <c r="R19" s="705" t="s">
        <v>14</v>
      </c>
      <c r="S19" s="706">
        <f>F19</f>
        <v>100</v>
      </c>
      <c r="T19" s="705" t="s">
        <v>14</v>
      </c>
      <c r="U19" s="706">
        <f>H19</f>
        <v>100</v>
      </c>
      <c r="V19" s="705" t="s">
        <v>14</v>
      </c>
      <c r="W19" s="706">
        <f>J19</f>
        <v>100</v>
      </c>
      <c r="X19" s="1354"/>
      <c r="Y19" s="3669"/>
      <c r="Z19" s="1355" t="str">
        <f>Q19</f>
        <v>区域土地利用方向</v>
      </c>
      <c r="AA19" s="1352">
        <f t="shared" si="3"/>
        <v>1</v>
      </c>
      <c r="AB19" s="1352">
        <f t="shared" si="4"/>
        <v>1</v>
      </c>
      <c r="AC19" s="1352">
        <f t="shared" si="5"/>
        <v>1</v>
      </c>
    </row>
    <row r="20" spans="1:29" ht="15">
      <c r="A20" s="358"/>
      <c r="B20" s="580"/>
      <c r="C20" s="398"/>
      <c r="D20" s="399"/>
      <c r="E20" s="1897"/>
      <c r="F20" s="399"/>
      <c r="G20" s="1897"/>
      <c r="H20" s="399"/>
      <c r="I20" s="1897"/>
      <c r="J20" s="399"/>
      <c r="K20" s="740"/>
      <c r="L20" s="2719"/>
      <c r="M20" s="2713"/>
      <c r="N20" s="2713"/>
      <c r="O20" s="2771"/>
      <c r="P20" s="3669"/>
      <c r="Q20" s="1351"/>
      <c r="R20" s="705"/>
      <c r="S20" s="706"/>
      <c r="T20" s="705"/>
      <c r="U20" s="706"/>
      <c r="V20" s="705"/>
      <c r="W20" s="706"/>
      <c r="X20" s="1354"/>
      <c r="Y20" s="3669"/>
      <c r="Z20" s="1355"/>
      <c r="AA20" s="1352"/>
      <c r="AB20" s="1352"/>
      <c r="AC20" s="1352"/>
    </row>
    <row r="21" spans="1:29" ht="82.8">
      <c r="A21" s="358"/>
      <c r="B21" s="579" t="s">
        <v>1921</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69"/>
      <c r="Q21" s="1351" t="str">
        <f t="shared" si="8"/>
        <v>环境状况</v>
      </c>
      <c r="R21" s="705" t="s">
        <v>14</v>
      </c>
      <c r="S21" s="706">
        <f>F21</f>
        <v>100</v>
      </c>
      <c r="T21" s="705" t="s">
        <v>14</v>
      </c>
      <c r="U21" s="706">
        <f>H21</f>
        <v>100</v>
      </c>
      <c r="V21" s="705" t="s">
        <v>14</v>
      </c>
      <c r="W21" s="706">
        <f>J21</f>
        <v>100</v>
      </c>
      <c r="X21" s="1354"/>
      <c r="Y21" s="3669"/>
      <c r="Z21" s="1355" t="str">
        <f>Q21</f>
        <v>环境状况</v>
      </c>
      <c r="AA21" s="1352">
        <f t="shared" si="3"/>
        <v>1</v>
      </c>
      <c r="AB21" s="1352">
        <f t="shared" si="4"/>
        <v>1</v>
      </c>
      <c r="AC21" s="1352">
        <f t="shared" si="5"/>
        <v>1</v>
      </c>
    </row>
    <row r="22" spans="1:29" ht="15">
      <c r="A22" s="358"/>
      <c r="B22" s="580"/>
      <c r="C22" s="398"/>
      <c r="D22" s="399"/>
      <c r="E22" s="1903"/>
      <c r="F22" s="399"/>
      <c r="G22" s="1903"/>
      <c r="H22" s="399"/>
      <c r="I22" s="398"/>
      <c r="J22" s="399"/>
      <c r="K22" s="620"/>
      <c r="L22" s="2719"/>
      <c r="M22" s="2713"/>
      <c r="N22" s="2713"/>
      <c r="O22" s="2771"/>
      <c r="P22" s="3669"/>
      <c r="Q22" s="1351"/>
      <c r="R22" s="705"/>
      <c r="S22" s="706"/>
      <c r="T22" s="705"/>
      <c r="U22" s="706"/>
      <c r="V22" s="705"/>
      <c r="W22" s="706"/>
      <c r="X22" s="1354"/>
      <c r="Y22" s="3669"/>
      <c r="Z22" s="1355"/>
      <c r="AA22" s="1352">
        <v>1</v>
      </c>
      <c r="AB22" s="1352">
        <v>1</v>
      </c>
      <c r="AC22" s="1352">
        <v>1</v>
      </c>
    </row>
    <row r="23" spans="1:29" s="108" customFormat="1" ht="41.4">
      <c r="A23" s="597"/>
      <c r="B23" s="581" t="s">
        <v>1778</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69"/>
      <c r="Q23" s="1342" t="str">
        <f t="shared" si="8"/>
        <v>公共配套设施</v>
      </c>
      <c r="R23" s="701" t="s">
        <v>14</v>
      </c>
      <c r="S23" s="702">
        <f>F23</f>
        <v>100</v>
      </c>
      <c r="T23" s="701" t="s">
        <v>14</v>
      </c>
      <c r="U23" s="702">
        <f>H23</f>
        <v>100</v>
      </c>
      <c r="V23" s="701" t="s">
        <v>14</v>
      </c>
      <c r="W23" s="702">
        <f>J23</f>
        <v>100</v>
      </c>
      <c r="X23" s="703"/>
      <c r="Y23" s="3669"/>
      <c r="Z23" s="52" t="str">
        <f>Q23</f>
        <v>公共配套设施</v>
      </c>
      <c r="AA23" s="1352">
        <f>D23/F23</f>
        <v>1</v>
      </c>
      <c r="AB23" s="1352">
        <f>D23/H23</f>
        <v>1</v>
      </c>
      <c r="AC23" s="1352">
        <f>D23/J23</f>
        <v>1</v>
      </c>
    </row>
    <row r="24" spans="1:29" s="108" customFormat="1" ht="15">
      <c r="A24" s="597"/>
      <c r="B24" s="580"/>
      <c r="C24" s="1977"/>
      <c r="D24" s="399"/>
      <c r="E24" s="1903"/>
      <c r="F24" s="399"/>
      <c r="G24" s="1903"/>
      <c r="H24" s="399"/>
      <c r="I24" s="398"/>
      <c r="J24" s="399"/>
      <c r="K24" s="620"/>
      <c r="L24" s="2714"/>
      <c r="M24" s="2715"/>
      <c r="N24" s="2715"/>
      <c r="O24" s="2769"/>
      <c r="P24" s="3669"/>
      <c r="Q24" s="1342"/>
      <c r="R24" s="701"/>
      <c r="S24" s="702"/>
      <c r="T24" s="701"/>
      <c r="U24" s="702"/>
      <c r="V24" s="701"/>
      <c r="W24" s="702"/>
      <c r="X24" s="703"/>
      <c r="Y24" s="3669"/>
      <c r="Z24" s="52"/>
      <c r="AA24" s="704">
        <v>1</v>
      </c>
      <c r="AB24" s="704">
        <v>1</v>
      </c>
      <c r="AC24" s="704">
        <v>1</v>
      </c>
    </row>
    <row r="25" spans="1:29" s="108" customFormat="1" ht="41.4">
      <c r="A25" s="597"/>
      <c r="B25" s="581" t="s">
        <v>1779</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69"/>
      <c r="Q25" s="1342"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2">
        <f>D25/F25</f>
        <v>1</v>
      </c>
      <c r="AB25" s="1352">
        <f>D25/H25</f>
        <v>1</v>
      </c>
      <c r="AC25" s="1352">
        <f>D25/J25</f>
        <v>1</v>
      </c>
    </row>
    <row r="26" spans="1:29" s="108" customFormat="1" ht="15">
      <c r="A26" s="597"/>
      <c r="B26" s="580"/>
      <c r="C26" s="1977"/>
      <c r="D26" s="399"/>
      <c r="E26" s="1978"/>
      <c r="F26" s="399"/>
      <c r="G26" s="1978"/>
      <c r="H26" s="399"/>
      <c r="I26" s="1978"/>
      <c r="J26" s="399"/>
      <c r="K26" s="620"/>
      <c r="L26" s="2714"/>
      <c r="M26" s="2715"/>
      <c r="N26" s="2715"/>
      <c r="O26" s="2769"/>
      <c r="P26" s="3669"/>
      <c r="Q26" s="1342"/>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69"/>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669"/>
      <c r="Z27" s="1355" t="str">
        <f t="shared" ref="Z27:Z40" si="13">Q27</f>
        <v>临街状况</v>
      </c>
      <c r="AA27" s="1352">
        <f t="shared" si="3"/>
        <v>1</v>
      </c>
      <c r="AB27" s="1352">
        <f t="shared" si="4"/>
        <v>1</v>
      </c>
      <c r="AC27" s="1352">
        <f t="shared" si="5"/>
        <v>1</v>
      </c>
    </row>
    <row r="28" spans="1:29" ht="28.8">
      <c r="A28" s="379"/>
      <c r="B28" s="581" t="s">
        <v>1815</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69"/>
      <c r="Q28" s="1351" t="str">
        <f t="shared" si="8"/>
        <v>毗邻道路的类型与等级</v>
      </c>
      <c r="R28" s="705" t="s">
        <v>14</v>
      </c>
      <c r="S28" s="706">
        <f t="shared" si="10"/>
        <v>100</v>
      </c>
      <c r="T28" s="705" t="s">
        <v>14</v>
      </c>
      <c r="U28" s="706">
        <f t="shared" si="11"/>
        <v>100</v>
      </c>
      <c r="V28" s="705" t="s">
        <v>14</v>
      </c>
      <c r="W28" s="706">
        <f t="shared" si="12"/>
        <v>100</v>
      </c>
      <c r="X28" s="1354"/>
      <c r="Y28" s="3669"/>
      <c r="Z28" s="1355" t="str">
        <f t="shared" si="13"/>
        <v>毗邻道路的类型与等级</v>
      </c>
      <c r="AA28" s="1352">
        <f t="shared" si="3"/>
        <v>1</v>
      </c>
      <c r="AB28" s="1352">
        <f t="shared" si="4"/>
        <v>1</v>
      </c>
      <c r="AC28" s="1352">
        <f t="shared" si="5"/>
        <v>1</v>
      </c>
    </row>
    <row r="29" spans="1:29" ht="15">
      <c r="A29" s="379"/>
      <c r="B29" s="580"/>
      <c r="C29" s="398"/>
      <c r="D29" s="399"/>
      <c r="E29" s="1903"/>
      <c r="F29" s="399"/>
      <c r="G29" s="1903"/>
      <c r="H29" s="399"/>
      <c r="I29" s="1903"/>
      <c r="J29" s="399"/>
      <c r="K29" s="562"/>
      <c r="L29" s="2719"/>
      <c r="M29" s="2713"/>
      <c r="N29" s="2713"/>
      <c r="O29" s="2771"/>
      <c r="P29" s="3669"/>
      <c r="Q29" s="1351"/>
      <c r="R29" s="705"/>
      <c r="S29" s="706"/>
      <c r="T29" s="705"/>
      <c r="U29" s="706"/>
      <c r="V29" s="705"/>
      <c r="W29" s="706"/>
      <c r="X29" s="1354"/>
      <c r="Y29" s="3669"/>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69"/>
      <c r="Q30" s="1351" t="str">
        <f t="shared" si="8"/>
        <v>土地级别</v>
      </c>
      <c r="R30" s="705" t="s">
        <v>14</v>
      </c>
      <c r="S30" s="706">
        <f t="shared" si="10"/>
        <v>100</v>
      </c>
      <c r="T30" s="705" t="s">
        <v>14</v>
      </c>
      <c r="U30" s="706">
        <f t="shared" si="11"/>
        <v>100</v>
      </c>
      <c r="V30" s="705" t="s">
        <v>14</v>
      </c>
      <c r="W30" s="706">
        <f t="shared" si="12"/>
        <v>100</v>
      </c>
      <c r="X30" s="1354"/>
      <c r="Y30" s="3669"/>
      <c r="Z30" s="1355" t="str">
        <f t="shared" si="13"/>
        <v>土地级别</v>
      </c>
      <c r="AA30" s="1352">
        <f t="shared" si="3"/>
        <v>1</v>
      </c>
      <c r="AB30" s="1352">
        <f t="shared" si="4"/>
        <v>1</v>
      </c>
      <c r="AC30" s="1352">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69"/>
      <c r="Q31" s="1351">
        <f t="shared" si="8"/>
        <v>111</v>
      </c>
      <c r="R31" s="705" t="s">
        <v>14</v>
      </c>
      <c r="S31" s="706">
        <f t="shared" si="10"/>
        <v>100</v>
      </c>
      <c r="T31" s="705" t="s">
        <v>14</v>
      </c>
      <c r="U31" s="706">
        <f t="shared" si="11"/>
        <v>100</v>
      </c>
      <c r="V31" s="705" t="s">
        <v>14</v>
      </c>
      <c r="W31" s="706">
        <f t="shared" si="12"/>
        <v>100</v>
      </c>
      <c r="X31" s="1354"/>
      <c r="Y31" s="3669"/>
      <c r="Z31" s="1355">
        <f t="shared" si="13"/>
        <v>111</v>
      </c>
      <c r="AA31" s="1352">
        <f t="shared" si="3"/>
        <v>1</v>
      </c>
      <c r="AB31" s="1352">
        <f t="shared" si="4"/>
        <v>1</v>
      </c>
      <c r="AC31" s="1352">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50" t="s">
        <v>1696</v>
      </c>
      <c r="Q32" s="1351">
        <f t="shared" si="8"/>
        <v>111</v>
      </c>
      <c r="R32" s="705" t="s">
        <v>14</v>
      </c>
      <c r="S32" s="706">
        <f t="shared" si="10"/>
        <v>100</v>
      </c>
      <c r="T32" s="705" t="s">
        <v>14</v>
      </c>
      <c r="U32" s="706">
        <f t="shared" si="11"/>
        <v>100</v>
      </c>
      <c r="V32" s="705" t="s">
        <v>14</v>
      </c>
      <c r="W32" s="706">
        <f t="shared" si="12"/>
        <v>100</v>
      </c>
      <c r="X32" s="1354"/>
      <c r="Y32" s="3673" t="s">
        <v>1696</v>
      </c>
      <c r="Z32" s="1355">
        <f t="shared" si="13"/>
        <v>111</v>
      </c>
      <c r="AA32" s="1352">
        <f t="shared" si="3"/>
        <v>1</v>
      </c>
      <c r="AB32" s="1352">
        <f t="shared" si="4"/>
        <v>1</v>
      </c>
      <c r="AC32" s="1352">
        <f t="shared" si="5"/>
        <v>1</v>
      </c>
    </row>
    <row r="33" spans="1:31" s="422" customFormat="1" ht="15.6"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73"/>
      <c r="Q33" s="1351">
        <f t="shared" si="8"/>
        <v>111</v>
      </c>
      <c r="R33" s="708" t="s">
        <v>14</v>
      </c>
      <c r="S33" s="709">
        <f t="shared" si="10"/>
        <v>100</v>
      </c>
      <c r="T33" s="708" t="s">
        <v>14</v>
      </c>
      <c r="U33" s="709">
        <f t="shared" si="11"/>
        <v>100</v>
      </c>
      <c r="V33" s="708" t="s">
        <v>14</v>
      </c>
      <c r="W33" s="709">
        <f t="shared" si="12"/>
        <v>100</v>
      </c>
      <c r="X33" s="710"/>
      <c r="Y33" s="3673"/>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73"/>
      <c r="Q34" s="1351" t="str">
        <f>B34</f>
        <v>宗地面积</v>
      </c>
      <c r="R34" s="705" t="s">
        <v>14</v>
      </c>
      <c r="S34" s="706" t="e">
        <f t="shared" si="10"/>
        <v>#N/A</v>
      </c>
      <c r="T34" s="705" t="s">
        <v>14</v>
      </c>
      <c r="U34" s="706" t="e">
        <f t="shared" si="11"/>
        <v>#N/A</v>
      </c>
      <c r="V34" s="705" t="s">
        <v>14</v>
      </c>
      <c r="W34" s="706" t="e">
        <f t="shared" si="12"/>
        <v>#N/A</v>
      </c>
      <c r="X34" s="1354"/>
      <c r="Y34" s="3673"/>
      <c r="Z34" s="1355" t="str">
        <f t="shared" si="13"/>
        <v>宗地面积</v>
      </c>
      <c r="AA34" s="1352" t="e">
        <f t="shared" si="3"/>
        <v>#N/A</v>
      </c>
      <c r="AB34" s="1352" t="e">
        <f t="shared" si="4"/>
        <v>#N/A</v>
      </c>
      <c r="AC34" s="1352" t="e">
        <f t="shared" si="5"/>
        <v>#N/A</v>
      </c>
    </row>
    <row r="35" spans="1:31" ht="15">
      <c r="A35" s="423"/>
      <c r="B35" s="375" t="s">
        <v>1875</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19"/>
      <c r="M35" s="2713"/>
      <c r="N35" s="2713"/>
      <c r="O35" s="2771"/>
      <c r="P35" s="3673"/>
      <c r="Q35" s="1351" t="str">
        <f t="shared" ref="Q35:Q40" si="14">B35</f>
        <v>宗地形状</v>
      </c>
      <c r="R35" s="705" t="s">
        <v>14</v>
      </c>
      <c r="S35" s="706">
        <f t="shared" si="10"/>
        <v>100</v>
      </c>
      <c r="T35" s="705" t="s">
        <v>14</v>
      </c>
      <c r="U35" s="706">
        <f t="shared" si="11"/>
        <v>100</v>
      </c>
      <c r="V35" s="705" t="s">
        <v>14</v>
      </c>
      <c r="W35" s="706">
        <f t="shared" si="12"/>
        <v>100</v>
      </c>
      <c r="X35" s="1354"/>
      <c r="Y35" s="3673"/>
      <c r="Z35" s="1355" t="str">
        <f t="shared" si="13"/>
        <v>宗地形状</v>
      </c>
      <c r="AA35" s="1352">
        <f t="shared" si="3"/>
        <v>1</v>
      </c>
      <c r="AB35" s="1352">
        <f t="shared" si="4"/>
        <v>1</v>
      </c>
      <c r="AC35" s="1352">
        <f t="shared" si="5"/>
        <v>1</v>
      </c>
    </row>
    <row r="36" spans="1:31" s="108" customFormat="1" ht="15">
      <c r="A36" s="424"/>
      <c r="B36" s="375" t="s">
        <v>1877</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4"/>
      <c r="M36" s="2715"/>
      <c r="N36" s="2715"/>
      <c r="O36" s="2769"/>
      <c r="P36" s="3673"/>
      <c r="Q36" s="1351"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19"/>
      <c r="M37" s="2713"/>
      <c r="N37" s="2713"/>
      <c r="O37" s="2771"/>
      <c r="P37" s="3673" t="s">
        <v>1696</v>
      </c>
      <c r="Q37" s="1351" t="str">
        <f t="shared" si="14"/>
        <v>工程地质条件</v>
      </c>
      <c r="R37" s="705" t="s">
        <v>14</v>
      </c>
      <c r="S37" s="706">
        <f t="shared" si="10"/>
        <v>100</v>
      </c>
      <c r="T37" s="705" t="s">
        <v>14</v>
      </c>
      <c r="U37" s="706">
        <f t="shared" si="11"/>
        <v>100</v>
      </c>
      <c r="V37" s="705" t="s">
        <v>14</v>
      </c>
      <c r="W37" s="706">
        <f t="shared" si="12"/>
        <v>100</v>
      </c>
      <c r="X37" s="1354"/>
      <c r="Y37" s="3673"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73"/>
      <c r="Q38" s="1351">
        <f t="shared" si="14"/>
        <v>111</v>
      </c>
      <c r="R38" s="705" t="s">
        <v>14</v>
      </c>
      <c r="S38" s="706">
        <f t="shared" si="10"/>
        <v>100</v>
      </c>
      <c r="T38" s="705" t="s">
        <v>14</v>
      </c>
      <c r="U38" s="706">
        <f t="shared" si="11"/>
        <v>100</v>
      </c>
      <c r="V38" s="705" t="s">
        <v>14</v>
      </c>
      <c r="W38" s="706">
        <f t="shared" si="12"/>
        <v>100</v>
      </c>
      <c r="X38" s="1354"/>
      <c r="Y38" s="3673"/>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73"/>
      <c r="Q39" s="1351">
        <f t="shared" si="14"/>
        <v>111</v>
      </c>
      <c r="R39" s="705" t="s">
        <v>14</v>
      </c>
      <c r="S39" s="706">
        <f t="shared" si="10"/>
        <v>100</v>
      </c>
      <c r="T39" s="705" t="s">
        <v>14</v>
      </c>
      <c r="U39" s="706">
        <f t="shared" si="11"/>
        <v>100</v>
      </c>
      <c r="V39" s="705" t="s">
        <v>14</v>
      </c>
      <c r="W39" s="706">
        <f t="shared" si="12"/>
        <v>100</v>
      </c>
      <c r="X39" s="1354"/>
      <c r="Y39" s="3673"/>
      <c r="Z39" s="1355">
        <f t="shared" si="13"/>
        <v>111</v>
      </c>
      <c r="AA39" s="1352">
        <f t="shared" si="3"/>
        <v>1</v>
      </c>
      <c r="AB39" s="1352">
        <f t="shared" si="4"/>
        <v>1</v>
      </c>
      <c r="AC39" s="1352">
        <f t="shared" si="5"/>
        <v>1</v>
      </c>
    </row>
    <row r="40" spans="1:31" s="422" customFormat="1" ht="15.6"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73"/>
      <c r="Q40" s="1351">
        <f t="shared" si="14"/>
        <v>111</v>
      </c>
      <c r="R40" s="708" t="s">
        <v>14</v>
      </c>
      <c r="S40" s="709">
        <f t="shared" si="10"/>
        <v>100</v>
      </c>
      <c r="T40" s="708" t="s">
        <v>14</v>
      </c>
      <c r="U40" s="709">
        <f t="shared" si="11"/>
        <v>100</v>
      </c>
      <c r="V40" s="708" t="s">
        <v>14</v>
      </c>
      <c r="W40" s="709">
        <f t="shared" si="12"/>
        <v>100</v>
      </c>
      <c r="X40" s="710"/>
      <c r="Y40" s="3673"/>
      <c r="Z40" s="711">
        <f t="shared" si="13"/>
        <v>111</v>
      </c>
      <c r="AA40" s="1352">
        <f t="shared" si="3"/>
        <v>1</v>
      </c>
      <c r="AB40" s="1352">
        <f t="shared" si="4"/>
        <v>1</v>
      </c>
      <c r="AC40" s="1352">
        <f t="shared" si="5"/>
        <v>1</v>
      </c>
    </row>
    <row r="41" spans="1:31" ht="14.4">
      <c r="A41" s="430" t="s">
        <v>1844</v>
      </c>
      <c r="B41" s="1981" t="s">
        <v>1922</v>
      </c>
      <c r="C41" s="630" t="s">
        <v>0</v>
      </c>
      <c r="D41" s="432"/>
      <c r="E41" s="433"/>
      <c r="F41" s="434"/>
      <c r="G41" s="435"/>
      <c r="H41" s="436"/>
      <c r="I41" s="433"/>
      <c r="J41" s="436"/>
      <c r="K41" s="714"/>
      <c r="L41" s="2721"/>
      <c r="M41" s="2713"/>
      <c r="N41" s="2713"/>
      <c r="O41" s="2722"/>
      <c r="P41" s="3661" t="str">
        <f>A41</f>
        <v>成交单价</v>
      </c>
      <c r="Q41" s="3661"/>
      <c r="R41" s="3685">
        <f>E41</f>
        <v>0</v>
      </c>
      <c r="S41" s="3685"/>
      <c r="T41" s="3685">
        <f>G41</f>
        <v>0</v>
      </c>
      <c r="U41" s="3685"/>
      <c r="V41" s="3685">
        <f>I41</f>
        <v>0</v>
      </c>
      <c r="W41" s="3685"/>
      <c r="X41" s="690"/>
      <c r="Y41" s="712"/>
      <c r="Z41" s="690"/>
      <c r="AA41" s="690"/>
      <c r="AB41" s="690"/>
      <c r="AC41" s="690"/>
    </row>
    <row r="42" spans="1:31" ht="15" thickBot="1">
      <c r="A42" s="437" t="s">
        <v>1793</v>
      </c>
      <c r="B42" s="631"/>
      <c r="C42" s="440" t="e">
        <f>R43</f>
        <v>#DIV/0!</v>
      </c>
      <c r="D42" s="2316" t="s">
        <v>2136</v>
      </c>
      <c r="E42" s="440" t="e">
        <f>R42</f>
        <v>#DIV/0!</v>
      </c>
      <c r="F42" s="2317"/>
      <c r="G42" s="439" t="e">
        <f>T42</f>
        <v>#DIV/0!</v>
      </c>
      <c r="H42" s="2317"/>
      <c r="I42" s="440" t="e">
        <f>V42</f>
        <v>#DIV/0!</v>
      </c>
      <c r="J42" s="2317"/>
      <c r="K42" s="2319">
        <f>F42+H42+J42</f>
        <v>0</v>
      </c>
      <c r="L42" s="2721"/>
      <c r="M42" s="2713"/>
      <c r="N42" s="2713"/>
      <c r="O42" s="2722"/>
      <c r="P42" s="3661" t="str">
        <f>A42</f>
        <v>比较价值（元/平方米）</v>
      </c>
      <c r="Q42" s="3661"/>
      <c r="R42" s="3752" t="e">
        <f>ROUND(PRODUCT(R41,AA7:AA40),0)</f>
        <v>#DIV/0!</v>
      </c>
      <c r="S42" s="3752"/>
      <c r="T42" s="3752" t="e">
        <f>ROUND(PRODUCT(T41,AB7:AB40),0)</f>
        <v>#DIV/0!</v>
      </c>
      <c r="U42" s="3752"/>
      <c r="V42" s="3752" t="e">
        <f>ROUND(PRODUCT(V41,AC7:AC40),0)</f>
        <v>#DIV/0!</v>
      </c>
      <c r="W42" s="3752"/>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1"/>
      <c r="M43" s="2713"/>
      <c r="N43" s="2713"/>
      <c r="O43" s="2722"/>
      <c r="P43" s="3663" t="str">
        <f>A43</f>
        <v>估价对象XX用房的比较价值（楼面单价，元/平方米）</v>
      </c>
      <c r="Q43" s="3664"/>
      <c r="R43" s="3753" t="e">
        <f>ROUND(IF(D42="简单平均",AVERAGE(R42:W42),R42*F42+T42*H42+V42*J42),0)</f>
        <v>#DIV/0!</v>
      </c>
      <c r="S43" s="3753"/>
      <c r="T43" s="3753"/>
      <c r="U43" s="3753"/>
      <c r="V43" s="3753"/>
      <c r="W43" s="3753"/>
      <c r="X43" s="690"/>
      <c r="Y43" s="690"/>
      <c r="Z43" s="690"/>
      <c r="AA43" s="690"/>
      <c r="AB43" s="690"/>
      <c r="AC43" s="690"/>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4.4" thickBot="1">
      <c r="A49" s="2725"/>
      <c r="B49" s="2728"/>
      <c r="C49" s="693"/>
      <c r="D49" s="691"/>
      <c r="E49" s="691"/>
      <c r="F49" s="691"/>
      <c r="G49" s="691"/>
      <c r="H49" s="691"/>
      <c r="I49" s="691"/>
      <c r="J49" s="691"/>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8.8">
      <c r="A50" s="632" t="s">
        <v>1881</v>
      </c>
      <c r="B50" s="633" t="s">
        <v>1882</v>
      </c>
      <c r="C50" s="1982" t="s">
        <v>1883</v>
      </c>
      <c r="D50" s="1983" t="s">
        <v>1884</v>
      </c>
      <c r="E50" s="634" t="s">
        <v>1885</v>
      </c>
      <c r="F50" s="635" t="s">
        <v>1886</v>
      </c>
      <c r="G50" s="3689" t="s">
        <v>1887</v>
      </c>
      <c r="H50" s="3754"/>
      <c r="I50" s="1355" t="s">
        <v>1923</v>
      </c>
      <c r="J50" s="1355">
        <f>项目基本情况!F35</f>
        <v>0</v>
      </c>
      <c r="K50" s="1985"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4">
        <v>1</v>
      </c>
      <c r="E51" s="638">
        <f>'数据-汇总表'!E8+'数据-汇总表'!E9</f>
        <v>375.87</v>
      </c>
      <c r="F51" s="639" t="e">
        <f t="shared" ref="F51:F60" si="15">ROUND(B51*E51/10000,0)</f>
        <v>#DIV/0!</v>
      </c>
      <c r="G51" s="3678"/>
      <c r="H51" s="3661"/>
      <c r="I51" s="773">
        <v>1</v>
      </c>
      <c r="J51" s="773">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v>
      </c>
      <c r="D52" s="945">
        <v>0.25</v>
      </c>
      <c r="E52" s="642"/>
      <c r="F52" s="639" t="e">
        <f t="shared" si="15"/>
        <v>#DIV/0!</v>
      </c>
      <c r="G52" s="3003" t="s">
        <v>1892</v>
      </c>
      <c r="H52" s="887">
        <f>项目基本情况!B37</f>
        <v>0</v>
      </c>
      <c r="I52" s="773">
        <f>SUMIF(修正!A57:A68,H52,修正!B57:B68)</f>
        <v>0</v>
      </c>
      <c r="J52" s="774"/>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v>
      </c>
      <c r="D53" s="945">
        <v>0.25</v>
      </c>
      <c r="E53" s="642"/>
      <c r="F53" s="639" t="e">
        <f t="shared" si="15"/>
        <v>#DIV/0!</v>
      </c>
      <c r="G53" s="3004"/>
      <c r="H53" s="887">
        <f>项目基本情况!B37</f>
        <v>0</v>
      </c>
      <c r="I53" s="773">
        <f>SUMIF(修正!A57:A68,H53,修正!C57:C68)</f>
        <v>0</v>
      </c>
      <c r="J53" s="774"/>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v>
      </c>
      <c r="D54" s="945">
        <v>0.25</v>
      </c>
      <c r="E54" s="642"/>
      <c r="F54" s="639" t="e">
        <f t="shared" si="15"/>
        <v>#DIV/0!</v>
      </c>
      <c r="G54" s="3004"/>
      <c r="H54" s="887">
        <f>项目基本情况!B37</f>
        <v>0</v>
      </c>
      <c r="I54" s="773">
        <f>SUMIF(修正!A57:A68,H54,修正!D57:D68)</f>
        <v>0</v>
      </c>
      <c r="J54" s="774"/>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5"/>
      <c r="E55" s="642"/>
      <c r="F55" s="639"/>
      <c r="G55" s="3005"/>
      <c r="H55" s="887"/>
      <c r="I55" s="773"/>
      <c r="J55" s="774"/>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5">
        <v>0.25</v>
      </c>
      <c r="E56" s="217">
        <f>'数据-汇总表'!E11</f>
        <v>0</v>
      </c>
      <c r="F56" s="639" t="e">
        <f t="shared" si="15"/>
        <v>#DIV/0!</v>
      </c>
      <c r="G56" s="1986" t="s">
        <v>1896</v>
      </c>
      <c r="H56" s="887">
        <f>项目基本情况!C37</f>
        <v>0</v>
      </c>
      <c r="I56" s="773">
        <f>SUMIF(修正!A57:A68,H56,修正!E57:E68)</f>
        <v>0</v>
      </c>
      <c r="J56" s="774"/>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0.2</v>
      </c>
      <c r="D58" s="945">
        <v>0.25</v>
      </c>
      <c r="E58" s="217">
        <f>'数据-汇总表'!E13</f>
        <v>0</v>
      </c>
      <c r="F58" s="639" t="e">
        <f t="shared" si="15"/>
        <v>#DIV/0!</v>
      </c>
      <c r="G58" s="892" t="s">
        <v>1900</v>
      </c>
      <c r="H58" s="887" t="str">
        <f>IF(G58="商业",项目基本情况!B37,IF(G58="办公",项目基本情况!C37,IF(G58="住宅",项目基本情况!D37,项目基本情况!E37)))</f>
        <v>二级</v>
      </c>
      <c r="I58" s="773">
        <f>SUMIF(修正!A57:A68,H58,修正!G57:G68)</f>
        <v>0.2</v>
      </c>
      <c r="J58" s="774"/>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v>
      </c>
      <c r="D59" s="945">
        <v>0.25</v>
      </c>
      <c r="E59" s="217">
        <f>'数据-汇总表'!E14</f>
        <v>0</v>
      </c>
      <c r="F59" s="639" t="e">
        <f t="shared" si="15"/>
        <v>#DIV/0!</v>
      </c>
      <c r="G59" s="1986" t="s">
        <v>1892</v>
      </c>
      <c r="H59" s="887">
        <f>项目基本情况!B37</f>
        <v>0</v>
      </c>
      <c r="I59" s="773">
        <f>SUMIF(修正!A57:A68,H59,修正!G57:G68)</f>
        <v>0</v>
      </c>
      <c r="J59" s="774"/>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4.4" thickBot="1">
      <c r="A60" s="641" t="s">
        <v>1902</v>
      </c>
      <c r="B60" s="218" t="e">
        <f t="shared" si="17"/>
        <v>#DIV/0!</v>
      </c>
      <c r="C60" s="171">
        <f t="shared" si="16"/>
        <v>0</v>
      </c>
      <c r="D60" s="945">
        <v>0.25</v>
      </c>
      <c r="E60" s="217">
        <f>'数据-汇总表'!E15</f>
        <v>0</v>
      </c>
      <c r="F60" s="639" t="e">
        <f t="shared" si="15"/>
        <v>#DIV/0!</v>
      </c>
      <c r="G60" s="1987" t="s">
        <v>1896</v>
      </c>
      <c r="H60" s="897">
        <f>项目基本情况!C37</f>
        <v>0</v>
      </c>
      <c r="I60" s="773">
        <f>SUMIF(修正!A57:A68,H60,修正!G57:G68)</f>
        <v>0</v>
      </c>
      <c r="J60" s="774"/>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7"/>
      <c r="B62" s="929"/>
      <c r="C62" s="931"/>
      <c r="D62" s="927"/>
      <c r="E62" s="927"/>
      <c r="F62" s="927"/>
      <c r="G62" s="927"/>
      <c r="H62" s="927"/>
      <c r="I62" s="927"/>
      <c r="J62" s="927"/>
      <c r="K62" s="888"/>
      <c r="L62" s="889"/>
      <c r="M62" s="927"/>
      <c r="N62" s="927"/>
      <c r="O62" s="927"/>
      <c r="P62" s="2722"/>
      <c r="Q62" s="2722"/>
      <c r="R62" s="2722"/>
      <c r="S62" s="2722"/>
      <c r="T62" s="2722"/>
      <c r="U62" s="2722"/>
      <c r="V62" s="2722"/>
      <c r="W62" s="2722"/>
      <c r="X62" s="2722"/>
      <c r="Y62" s="2722"/>
      <c r="Z62" s="2722"/>
      <c r="AA62" s="2722"/>
      <c r="AB62" s="2722"/>
      <c r="AC62" s="2722"/>
      <c r="AD62" s="2722"/>
      <c r="AE62" s="2722"/>
    </row>
    <row r="63" spans="1:31">
      <c r="A63" s="927"/>
      <c r="B63" s="929"/>
      <c r="C63" s="692" t="str">
        <f>YEAR(C7)&amp;"-"&amp;MONTH(C7)&amp;"-1"</f>
        <v>2024-11-1</v>
      </c>
      <c r="D63" s="692">
        <f>EDATE(C63,-3)</f>
        <v>45505</v>
      </c>
      <c r="E63" s="692">
        <f>EDATE(D63,-3)</f>
        <v>45413</v>
      </c>
      <c r="F63" s="692">
        <f t="shared" ref="F63:O63" si="18">EDATE(E63,-3)</f>
        <v>45323</v>
      </c>
      <c r="G63" s="692">
        <f t="shared" si="18"/>
        <v>45231</v>
      </c>
      <c r="H63" s="692">
        <f t="shared" si="18"/>
        <v>45139</v>
      </c>
      <c r="I63" s="692">
        <f t="shared" si="18"/>
        <v>45047</v>
      </c>
      <c r="J63" s="692">
        <f t="shared" si="18"/>
        <v>44958</v>
      </c>
      <c r="K63" s="692">
        <f t="shared" si="18"/>
        <v>44866</v>
      </c>
      <c r="L63" s="692">
        <f t="shared" si="18"/>
        <v>44774</v>
      </c>
      <c r="M63" s="692">
        <f t="shared" si="18"/>
        <v>44682</v>
      </c>
      <c r="N63" s="692">
        <f t="shared" si="18"/>
        <v>44593</v>
      </c>
      <c r="O63" s="692">
        <f t="shared" si="18"/>
        <v>44501</v>
      </c>
      <c r="P63" s="2722"/>
      <c r="Q63" s="2722"/>
      <c r="R63" s="2722"/>
      <c r="S63" s="2722"/>
      <c r="T63" s="2722"/>
      <c r="U63" s="2722"/>
      <c r="V63" s="2722"/>
      <c r="W63" s="2722"/>
      <c r="X63" s="2722"/>
      <c r="Y63" s="2722"/>
      <c r="Z63" s="2722"/>
      <c r="AA63" s="2722"/>
      <c r="AB63" s="2722"/>
      <c r="AC63" s="2722"/>
      <c r="AD63" s="2722"/>
      <c r="AE63" s="2722"/>
    </row>
    <row r="64" spans="1:31" ht="22.2" thickBot="1">
      <c r="A64" s="694" t="s">
        <v>1798</v>
      </c>
      <c r="B64" s="690"/>
      <c r="C64" s="695"/>
      <c r="D64" s="695"/>
      <c r="E64" s="695"/>
      <c r="F64" s="696"/>
      <c r="G64" s="696"/>
      <c r="H64" s="695"/>
      <c r="I64" s="695"/>
      <c r="J64" s="695"/>
      <c r="K64" s="697"/>
      <c r="L64" s="698"/>
      <c r="M64" s="695"/>
      <c r="N64" s="695"/>
      <c r="O64" s="940"/>
      <c r="P64" s="2766"/>
      <c r="Q64" s="2736"/>
      <c r="R64" s="2722"/>
      <c r="S64" s="2722"/>
      <c r="T64" s="2722"/>
      <c r="U64" s="2722"/>
      <c r="V64" s="2722"/>
      <c r="W64" s="2722"/>
      <c r="X64" s="2722"/>
      <c r="Y64" s="2722"/>
      <c r="Z64" s="2722"/>
      <c r="AA64" s="2722"/>
      <c r="AB64" s="2722"/>
      <c r="AC64" s="2722"/>
      <c r="AD64" s="2722"/>
      <c r="AE64" s="2722"/>
    </row>
    <row r="65" spans="1:31" s="457" customFormat="1" ht="14.4">
      <c r="A65" s="1988" t="s">
        <v>1904</v>
      </c>
      <c r="B65" s="1109"/>
      <c r="C65" s="1181" t="str">
        <f>YEAR(C63)&amp;"-"&amp;ROUNDUP(MONTH(C63)/3,0)</f>
        <v>2024-4</v>
      </c>
      <c r="D65" s="1181" t="str">
        <f t="shared" ref="D65:O65" si="19">YEAR(D63)&amp;"-"&amp;ROUNDUP(MONTH(D63)/3,0)</f>
        <v>2024-3</v>
      </c>
      <c r="E65" s="1181" t="str">
        <f t="shared" si="19"/>
        <v>2024-2</v>
      </c>
      <c r="F65" s="1181" t="str">
        <f t="shared" si="19"/>
        <v>2024-1</v>
      </c>
      <c r="G65" s="1181" t="str">
        <f t="shared" si="19"/>
        <v>2023-4</v>
      </c>
      <c r="H65" s="1181" t="str">
        <f t="shared" si="19"/>
        <v>2023-3</v>
      </c>
      <c r="I65" s="1181" t="str">
        <f t="shared" si="19"/>
        <v>2023-2</v>
      </c>
      <c r="J65" s="1181" t="str">
        <f t="shared" si="19"/>
        <v>2023-1</v>
      </c>
      <c r="K65" s="1181" t="str">
        <f t="shared" si="19"/>
        <v>2022-4</v>
      </c>
      <c r="L65" s="1181" t="str">
        <f t="shared" si="19"/>
        <v>2022-3</v>
      </c>
      <c r="M65" s="1181" t="str">
        <f t="shared" si="19"/>
        <v>2022-2</v>
      </c>
      <c r="N65" s="1181" t="str">
        <f t="shared" si="19"/>
        <v>2022-1</v>
      </c>
      <c r="O65" s="1181" t="str">
        <f t="shared" si="19"/>
        <v>2021-4</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3"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6"/>
      <c r="Q66" s="2658"/>
      <c r="R66" s="2658"/>
      <c r="S66" s="2658"/>
      <c r="T66" s="2658"/>
      <c r="U66" s="2658"/>
      <c r="V66" s="2658"/>
      <c r="W66" s="2658"/>
      <c r="X66" s="2658"/>
      <c r="Y66" s="2658"/>
      <c r="Z66" s="2658"/>
      <c r="AA66" s="2658"/>
      <c r="AB66" s="2658"/>
      <c r="AC66" s="2658"/>
      <c r="AD66" s="2658"/>
      <c r="AE66" s="2658"/>
    </row>
    <row r="67" spans="1:31" s="108" customFormat="1" ht="1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4.4">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4.4"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ht="14.4">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4.4"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9.4"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4.4"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4.4"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4.4"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4.4"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4.4"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4.4"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4.4"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ht="14.4">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2"/>
      <c r="O94" s="2752"/>
      <c r="P94" s="2776"/>
      <c r="Q94" s="2743"/>
      <c r="R94" s="2744"/>
      <c r="S94" s="2744"/>
      <c r="T94" s="2744"/>
      <c r="U94" s="2744"/>
      <c r="V94" s="2744"/>
      <c r="W94" s="2744"/>
      <c r="X94" s="2744"/>
      <c r="Y94" s="2744"/>
      <c r="Z94" s="2744"/>
      <c r="AA94" s="2744"/>
      <c r="AB94" s="2744"/>
      <c r="AC94" s="2744"/>
      <c r="AD94" s="2744"/>
      <c r="AE94" s="2744"/>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9.4"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4.4"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4.4"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4.4"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4.4"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4.4"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4.4"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4.4"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4.4"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4.4"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4.4"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4.4"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4.4"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4.4"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72" sqref="Q72"/>
      <selection pane="bottomLeft" activeCell="T24" sqref="T24"/>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20" width="9" style="725"/>
    <col min="21" max="21" width="12.33203125" style="725" bestFit="1" customWidth="1"/>
    <col min="22" max="45" width="9" style="725"/>
    <col min="46" max="16384" width="9" style="130"/>
  </cols>
  <sheetData>
    <row r="1" spans="1:45" ht="14.25" customHeight="1" thickBot="1">
      <c r="A1" s="146"/>
      <c r="B1" s="983" t="s">
        <v>2083</v>
      </c>
      <c r="C1" s="3762" t="s">
        <v>2084</v>
      </c>
      <c r="D1" s="3763"/>
      <c r="E1" s="3763"/>
      <c r="F1" s="3763"/>
      <c r="G1" s="3763"/>
      <c r="H1" s="3763"/>
      <c r="I1" s="3763"/>
      <c r="J1" s="3763"/>
      <c r="K1" s="3763"/>
      <c r="L1" s="3763"/>
      <c r="M1" s="3763"/>
      <c r="N1" s="3763"/>
      <c r="O1" s="3763"/>
      <c r="P1" s="3763"/>
      <c r="Q1" s="3763"/>
      <c r="R1" s="3763"/>
      <c r="S1" s="3764"/>
      <c r="T1" s="983" t="s">
        <v>2085</v>
      </c>
    </row>
    <row r="2" spans="1:45" s="655" customFormat="1" ht="26.4">
      <c r="A2" s="984"/>
      <c r="B2" s="651" t="s">
        <v>2086</v>
      </c>
      <c r="C2" s="652" t="str">
        <f t="shared" ref="C2:L2" si="0">C3&amp;"(含)"&amp;"-"&amp;D3</f>
        <v>0(含)-350</v>
      </c>
      <c r="D2" s="653" t="str">
        <f t="shared" si="0"/>
        <v>350(含)-400</v>
      </c>
      <c r="E2" s="653" t="str">
        <f t="shared" si="0"/>
        <v>400(含)-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350</v>
      </c>
      <c r="E3" s="658">
        <v>400</v>
      </c>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v>100</v>
      </c>
      <c r="D4" s="990">
        <v>99</v>
      </c>
      <c r="E4" s="990">
        <v>98</v>
      </c>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3471" t="s">
        <v>3545</v>
      </c>
      <c r="C5" s="3472" t="s">
        <v>3546</v>
      </c>
      <c r="D5" s="3473" t="s">
        <v>3547</v>
      </c>
      <c r="E5" s="996"/>
      <c r="F5" s="1311"/>
      <c r="G5" s="1311"/>
      <c r="H5" s="1311"/>
      <c r="I5" s="1311"/>
      <c r="J5" s="1311"/>
      <c r="K5" s="1311"/>
      <c r="L5" s="1312"/>
      <c r="M5" s="1313"/>
      <c r="N5" s="1313"/>
      <c r="O5" s="1311"/>
      <c r="P5" s="1311"/>
      <c r="Q5" s="1311"/>
      <c r="R5" s="1311"/>
      <c r="S5" s="1314"/>
      <c r="T5" s="998">
        <v>2</v>
      </c>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98</v>
      </c>
      <c r="E6" s="902">
        <f t="shared" ref="E6:S6" si="7">D6-$T5</f>
        <v>96</v>
      </c>
      <c r="F6" s="1315">
        <f t="shared" si="7"/>
        <v>94</v>
      </c>
      <c r="G6" s="1315">
        <f t="shared" si="7"/>
        <v>92</v>
      </c>
      <c r="H6" s="1315">
        <f t="shared" si="7"/>
        <v>90</v>
      </c>
      <c r="I6" s="1315">
        <f t="shared" si="7"/>
        <v>88</v>
      </c>
      <c r="J6" s="1315">
        <f t="shared" si="7"/>
        <v>86</v>
      </c>
      <c r="K6" s="1315">
        <f t="shared" si="7"/>
        <v>84</v>
      </c>
      <c r="L6" s="1315">
        <f t="shared" si="7"/>
        <v>82</v>
      </c>
      <c r="M6" s="1315">
        <f t="shared" si="7"/>
        <v>80</v>
      </c>
      <c r="N6" s="1315">
        <f t="shared" si="7"/>
        <v>78</v>
      </c>
      <c r="O6" s="1315">
        <f t="shared" si="7"/>
        <v>76</v>
      </c>
      <c r="P6" s="1315">
        <f t="shared" si="7"/>
        <v>74</v>
      </c>
      <c r="Q6" s="1315">
        <f t="shared" si="7"/>
        <v>72</v>
      </c>
      <c r="R6" s="1315">
        <f t="shared" si="7"/>
        <v>70</v>
      </c>
      <c r="S6" s="1315">
        <f t="shared" si="7"/>
        <v>68</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2087</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2088</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2092</v>
      </c>
      <c r="B17" s="2148"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2094</v>
      </c>
      <c r="E19" s="1339"/>
      <c r="F19" s="1339"/>
      <c r="G19" s="1339"/>
      <c r="H19" s="1059"/>
      <c r="I19" s="159"/>
      <c r="J19" s="159"/>
      <c r="K19" s="159"/>
      <c r="L19" s="159"/>
      <c r="M19" s="159"/>
      <c r="N19" s="159"/>
      <c r="O19" s="159"/>
      <c r="P19" s="159"/>
      <c r="Q19" s="159"/>
      <c r="R19" s="718"/>
      <c r="S19" s="129"/>
    </row>
    <row r="20" spans="1:45" ht="16.2" thickBot="1">
      <c r="A20" s="662" t="s">
        <v>2095</v>
      </c>
      <c r="B20" s="294" t="e">
        <f ca="1">IF(D20="——",S22,S22-F20)</f>
        <v>#REF!</v>
      </c>
      <c r="C20" s="159"/>
      <c r="D20" s="2150"/>
      <c r="E20" s="1340"/>
      <c r="F20" s="983" t="e">
        <f ca="1">SUMIF(INDIRECT("'"&amp;H20&amp;"'"&amp;"!A:A"),"承租人权益价值",INDIRECT("'"&amp;H20&amp;"'"&amp;"!c:c"))</f>
        <v>#REF!</v>
      </c>
      <c r="G20" s="983" t="s">
        <v>2096</v>
      </c>
      <c r="H20" s="2151"/>
      <c r="I20" s="159"/>
      <c r="J20" s="159"/>
      <c r="K20" s="159"/>
      <c r="L20" s="159"/>
      <c r="M20" s="159"/>
      <c r="N20" s="159"/>
      <c r="O20" s="159"/>
      <c r="P20" s="159"/>
      <c r="Q20" s="159"/>
      <c r="R20" s="718"/>
      <c r="S20" s="129"/>
      <c r="T20" s="3474" t="s">
        <v>3548</v>
      </c>
      <c r="U20" s="725">
        <f>12984937.95+11734612.05</f>
        <v>24719550</v>
      </c>
    </row>
    <row r="21" spans="1:45" ht="15.6">
      <c r="A21" s="662" t="s">
        <v>2097</v>
      </c>
      <c r="B21" s="294" t="e">
        <f ca="1">ROUND(B20*10000/B22,0)</f>
        <v>#REF!</v>
      </c>
      <c r="C21" s="159"/>
      <c r="D21" s="159"/>
      <c r="E21" s="159"/>
      <c r="F21" s="159"/>
      <c r="G21" s="159"/>
      <c r="H21" s="159"/>
      <c r="I21" s="159"/>
      <c r="J21" s="159"/>
      <c r="K21" s="159"/>
      <c r="L21" s="159"/>
      <c r="M21" s="159"/>
      <c r="N21" s="159"/>
      <c r="O21" s="159"/>
      <c r="P21" s="159"/>
      <c r="Q21" s="159"/>
      <c r="R21" s="718"/>
      <c r="S21" s="129"/>
      <c r="T21" s="3474" t="s">
        <v>3549</v>
      </c>
      <c r="U21" s="725">
        <v>0.95</v>
      </c>
    </row>
    <row r="22" spans="1:45">
      <c r="A22" s="316" t="s">
        <v>2098</v>
      </c>
      <c r="B22" s="21">
        <f>SUM(B24:B10000)</f>
        <v>719.43000000000006</v>
      </c>
      <c r="C22" s="3759" t="s">
        <v>27</v>
      </c>
      <c r="D22" s="3760"/>
      <c r="E22" s="3760"/>
      <c r="F22" s="3760"/>
      <c r="G22" s="3760"/>
      <c r="H22" s="3760"/>
      <c r="I22" s="3760"/>
      <c r="J22" s="3760"/>
      <c r="K22" s="3760"/>
      <c r="L22" s="3760"/>
      <c r="M22" s="3760"/>
      <c r="N22" s="3760"/>
      <c r="O22" s="3760"/>
      <c r="P22" s="3760"/>
      <c r="Q22" s="3761"/>
      <c r="R22" s="663">
        <f ca="1">ROUND(S22*10000/B22,0)</f>
        <v>103374</v>
      </c>
      <c r="S22" s="21">
        <f ca="1">SUM(S24:S10000)</f>
        <v>7437</v>
      </c>
      <c r="U22" s="725">
        <f>ROUND(U20*U21,0)</f>
        <v>23483573</v>
      </c>
    </row>
    <row r="23" spans="1:45" s="9" customFormat="1" ht="24">
      <c r="A23" s="8" t="s">
        <v>2099</v>
      </c>
      <c r="B23" s="8" t="s">
        <v>2100</v>
      </c>
      <c r="C23" s="8" t="s">
        <v>2101</v>
      </c>
      <c r="D23" s="8" t="str">
        <f>B5</f>
        <v>朝向</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f>ROUND(U22/(B24+B25),0)</f>
        <v>32642</v>
      </c>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v>3110</v>
      </c>
      <c r="B24" s="665">
        <f>'比较法-住宅（新）'!C33</f>
        <v>375.87</v>
      </c>
      <c r="C24" s="2807">
        <v>1</v>
      </c>
      <c r="D24" s="2808" t="s">
        <v>3536</v>
      </c>
      <c r="E24" s="2807">
        <v>1</v>
      </c>
      <c r="F24" s="2808"/>
      <c r="G24" s="2807">
        <v>1</v>
      </c>
      <c r="H24" s="2808"/>
      <c r="I24" s="2807">
        <v>1</v>
      </c>
      <c r="J24" s="2808"/>
      <c r="K24" s="2807">
        <v>1</v>
      </c>
      <c r="L24" s="2808"/>
      <c r="M24" s="2807">
        <v>1</v>
      </c>
      <c r="N24" s="2808"/>
      <c r="O24" s="2807">
        <v>1</v>
      </c>
      <c r="P24" s="2808"/>
      <c r="Q24" s="2807">
        <v>1</v>
      </c>
      <c r="R24" s="668">
        <f ca="1">结果表!G20</f>
        <v>101908</v>
      </c>
      <c r="S24" s="666">
        <f t="shared" ref="S24:S54" ca="1" si="11">ROUND(R24*B24/10000,0)</f>
        <v>3830</v>
      </c>
      <c r="T24" s="730">
        <f ca="1">R24+U23</f>
        <v>134550</v>
      </c>
      <c r="U24" s="730">
        <f ca="1">ROUND(T24*B24,0)</f>
        <v>50573309</v>
      </c>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v>3111</v>
      </c>
      <c r="B25" s="54">
        <v>343.56</v>
      </c>
      <c r="C25" s="21">
        <f>IF(B25="",1,(LOOKUP(B25,$3:$3,$4:$4)-LOOKUP($B$24,$3:$3,$4:$4)+100)/100)</f>
        <v>1.01</v>
      </c>
      <c r="D25" s="667" t="s">
        <v>3495</v>
      </c>
      <c r="E25" s="21">
        <f>(SUMIF($5:$5,D25,$6:$6)-SUMIF($5:$5,$D$24,$6:$6)+100)/100</f>
        <v>1.02</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104986</v>
      </c>
      <c r="S25" s="316">
        <f t="shared" ca="1" si="11"/>
        <v>3607</v>
      </c>
      <c r="T25" s="725">
        <f ca="1">R25+U23</f>
        <v>137628</v>
      </c>
      <c r="U25" s="730">
        <f ca="1">ROUND(T25*B25,0)</f>
        <v>47283476</v>
      </c>
    </row>
    <row r="26" spans="1:45">
      <c r="A26" s="150"/>
      <c r="B26" s="54"/>
      <c r="C26" s="21">
        <f t="shared" ref="C26:C89" si="12">IF(B26="",1,(LOOKUP(B26,$3:$3,$4:$4)-LOOKUP($B$24,$3:$3,$4:$4)+100)/100)</f>
        <v>1</v>
      </c>
      <c r="D26" s="667"/>
      <c r="E26" s="21">
        <f t="shared" ref="E26:E89" si="13">(SUMIF($5:$5,D26,$6:$6)-SUMIF($5:$5,$D$24,$6:$6)+100)/100</f>
        <v>0.02</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0.02</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0.02</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0.02</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0.02</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0.02</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0.02</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0.02</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0.02</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0.02</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0.02</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0.02</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0.02</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0.02</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0.02</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0.02</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0.02</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0.02</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0.02</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0.02</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0.02</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0.02</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0.02</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0.02</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0.02</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0.02</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0.02</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0.02</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0.02</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0.02</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0.02</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0.02</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0.02</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0.02</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0.02</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0.02</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0.02</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0.02</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0.02</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0.02</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0.02</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0.02</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0.02</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0.02</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0.02</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0.02</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0.02</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0.02</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0.02</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0.02</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0.02</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0.02</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0.02</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0.02</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0.02</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0.02</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0.02</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0.02</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0.02</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0.02</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0.02</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0.02</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0.02</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0.02</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0.02</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0.02</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0.02</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0.02</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0.02</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0.02</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0.02</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0.02</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0.02</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0.02</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0.02</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0.02</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0.02</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0.02</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0.02</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0.02</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0.02</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0.02</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0.02</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0.02</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0.02</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0.02</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0.02</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0.02</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0.02</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0.02</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0.02</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0.02</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0.02</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0.02</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0.02</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0.02</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0.02</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0.02</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0.02</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0.02</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0.02</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0.02</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0.02</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0.02</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0.02</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0.02</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0.02</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0.02</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0.02</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0.02</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0.02</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0.02</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0.02</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0.02</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0.02</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0.02</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0.02</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0.02</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0.02</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0.02</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0.02</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0.02</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0.02</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0.02</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0.02</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0.02</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0.02</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0.02</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0.02</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0.02</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0.02</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0.02</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0.02</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0.02</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0.02</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0.02</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0.02</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0.02</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0.02</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0.02</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0.02</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0.02</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0.02</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0.02</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0.02</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0.02</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0.02</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0.02</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0.02</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0.02</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0.02</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0.02</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0.02</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0.02</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0.02</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0.02</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0.02</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0.02</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0.02</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0.02</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0.02</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0.02</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0.02</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0.02</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0.02</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0.02</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0.02</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0.02</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0.02</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0.02</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0.02</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0.02</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0.02</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0.02</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0.02</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0.02</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0.02</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0.02</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0.02</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0.02</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0.02</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0.02</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0.02</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0.02</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0.02</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0.02</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0.02</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0.02</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0.02</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0.02</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0.02</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0.02</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0.02</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0.02</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0.02</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0.02</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0.02</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0.02</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0.02</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0.02</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0.02</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0.02</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0.02</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0.02</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0.02</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0.02</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0.02</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0.02</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0.02</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0.02</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0.02</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0.02</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0.02</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0.02</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0.02</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0.02</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0.02</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0.02</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0.02</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0.02</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0.02</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0.02</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0.02</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0.02</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0.02</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0.02</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0.02</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0.02</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0.02</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0.02</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0.02</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0.02</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0.02</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0.02</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0.02</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0.02</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0.02</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0.02</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0.02</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0.02</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0.02</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0.02</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0.02</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0.02</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0.02</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0.02</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0.02</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0.02</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0.02</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0.02</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0.02</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0.02</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0.02</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0.02</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0.02</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0.02</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0.02</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0.02</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0.02</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0.02</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0.02</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0.02</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0.02</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0.02</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0.02</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0.02</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0.02</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0.02</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0.02</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0.02</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0.02</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0.02</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0.02</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0.02</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0.02</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0.02</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0.02</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0.02</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0.02</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0.02</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0.02</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0.02</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0.02</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0.02</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0.02</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0.02</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0.02</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0.02</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0.02</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0.02</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0.02</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0.02</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0.02</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0.02</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0.02</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0.02</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0.02</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0.02</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0.02</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0.02</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0.02</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0.02</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0.02</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0.02</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0.02</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0.02</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0.02</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0.02</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0.02</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0.02</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0.02</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0.02</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0.02</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0.02</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0.02</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0.02</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0.02</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0.02</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0.02</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0.02</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0.02</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0.02</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0.02</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0.02</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0.02</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0.02</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0.02</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0.02</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0.02</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0.02</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0.02</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0.02</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0.02</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0.02</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0.02</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0.02</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0.02</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0.02</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0.02</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0.02</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0.02</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0.02</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0.02</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0.02</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0.02</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0.02</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0.02</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0.02</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0.02</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0.02</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0.02</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0.02</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0.02</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0.02</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0.02</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0.02</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0.02</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0.02</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0.02</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0.02</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0.02</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0.02</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0.02</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0.02</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0.02</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0.02</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0.02</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0.02</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0.02</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0.02</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0.02</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0.02</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0.02</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0.02</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0.02</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0.02</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0.02</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0.02</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0.02</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0.02</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0.02</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0.02</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0.02</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0.02</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0.02</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0.02</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0.02</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0.02</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0.02</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0.02</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0.02</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0.02</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0.02</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0.02</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0.02</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0.02</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0.02</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0.02</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0.02</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0.02</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0.02</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0.02</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0.02</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0.02</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0.02</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0.02</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0.02</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0.02</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0.02</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0.02</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0.02</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0.02</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0.02</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0.02</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0.02</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0.02</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0.02</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0.02</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0.02</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0.02</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0.02</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0.02</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0.02</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0.02</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0.02</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0.02</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0.02</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0.02</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0.02</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0.02</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0.02</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0.02</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0.02</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0.02</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0.02</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0.02</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0.02</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0.02</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0.02</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0.02</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0.02</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0.02</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0.02</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0.02</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0.02</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0.02</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0.02</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0.02</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0.02</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0.02</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0.02</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0.02</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0.02</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0.02</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0.02</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0.02</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0.02</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0.02</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0.02</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0.02</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0.02</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0.02</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0.02</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0.02</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0.02</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0.02</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0.02</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0.02</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0.02</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0.02</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0.02</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0.02</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0.02</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0.02</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0.02</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0.02</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0.02</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0.02</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0.02</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0.02</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0.02</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0.02</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0.02</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0.02</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0.02</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0.02</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0.02</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0.02</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0.02</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0.02</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0.02</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0.02</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0.02</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0.02</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0.02</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0.02</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0.02</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0.02</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0.02</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6" customWidth="1"/>
    <col min="2" max="2" width="12.44140625" style="1476" customWidth="1"/>
    <col min="3" max="3" width="12.109375" style="1476" customWidth="1"/>
    <col min="4" max="4" width="14.109375" style="1476" customWidth="1"/>
    <col min="5" max="5" width="12.44140625" style="1476" customWidth="1"/>
    <col min="6" max="16384" width="9" style="1476"/>
  </cols>
  <sheetData>
    <row r="1" spans="1:16" ht="21.6">
      <c r="A1" s="1866" t="s">
        <v>2081</v>
      </c>
      <c r="B1" s="2146"/>
      <c r="C1" s="2146"/>
      <c r="D1" s="2146"/>
      <c r="E1" s="2146"/>
      <c r="F1" s="2790"/>
      <c r="G1" s="2790"/>
      <c r="H1" s="2790"/>
      <c r="I1" s="2790"/>
      <c r="J1" s="2790"/>
      <c r="K1" s="2790"/>
      <c r="L1" s="2790"/>
      <c r="M1" s="2790"/>
      <c r="N1" s="2790"/>
      <c r="O1" s="2790"/>
      <c r="P1" s="2790"/>
    </row>
    <row r="2" spans="1:16" ht="15.6">
      <c r="A2" s="2144" t="s">
        <v>2073</v>
      </c>
      <c r="B2" s="2599">
        <f ca="1">SUMIF(B6:B13,"&lt;&gt;#ref!",B6:B13)</f>
        <v>804</v>
      </c>
      <c r="C2" s="2144" t="s">
        <v>2074</v>
      </c>
      <c r="D2" s="2144" t="s">
        <v>2075</v>
      </c>
      <c r="E2" s="2609">
        <f ca="1">SUMIF(E6:E13,"&lt;&gt;#ref!",E6:E13)</f>
        <v>375.87</v>
      </c>
      <c r="F2" s="2790"/>
      <c r="G2" s="2790"/>
      <c r="H2" s="2790"/>
      <c r="I2" s="2790"/>
      <c r="J2" s="2790"/>
      <c r="K2" s="2790"/>
      <c r="L2" s="2790"/>
      <c r="M2" s="2790"/>
      <c r="N2" s="2790"/>
      <c r="O2" s="2790"/>
      <c r="P2" s="2790"/>
    </row>
    <row r="3" spans="1:16" ht="15.6">
      <c r="A3" s="2144" t="s">
        <v>2076</v>
      </c>
      <c r="B3" s="2599">
        <f ca="1">ROUND(B2*10000/E2,0)</f>
        <v>21390</v>
      </c>
      <c r="C3" s="2144" t="s">
        <v>2082</v>
      </c>
      <c r="D3" s="2790"/>
      <c r="E3" s="2790"/>
      <c r="F3" s="2790"/>
      <c r="G3" s="2790"/>
      <c r="H3" s="2790"/>
      <c r="I3" s="2790"/>
      <c r="J3" s="2790"/>
      <c r="K3" s="2790"/>
      <c r="L3" s="2790"/>
      <c r="M3" s="2790"/>
      <c r="N3" s="2790"/>
      <c r="O3" s="2790"/>
      <c r="P3" s="2790"/>
    </row>
    <row r="4" spans="1:16" ht="15.6">
      <c r="A4" s="2791"/>
      <c r="B4" s="2790"/>
      <c r="C4" s="2790"/>
      <c r="D4" s="2790"/>
      <c r="E4" s="2790"/>
      <c r="F4" s="2790"/>
      <c r="G4" s="2790"/>
      <c r="H4" s="2790"/>
      <c r="I4" s="2790"/>
      <c r="J4" s="2790"/>
      <c r="K4" s="2790"/>
      <c r="L4" s="2790"/>
      <c r="M4" s="2790"/>
      <c r="N4" s="2790"/>
      <c r="O4" s="2790"/>
      <c r="P4" s="2790"/>
    </row>
    <row r="5" spans="1:16" ht="31.2">
      <c r="A5" s="2605" t="s">
        <v>2077</v>
      </c>
      <c r="B5" s="2607" t="s">
        <v>2078</v>
      </c>
      <c r="C5" s="2145"/>
      <c r="D5" s="2790"/>
      <c r="E5" s="2608" t="s">
        <v>2079</v>
      </c>
      <c r="F5" s="2790"/>
      <c r="G5" s="2790"/>
      <c r="H5" s="2790"/>
      <c r="I5" s="2790"/>
      <c r="J5" s="2790"/>
      <c r="K5" s="2790"/>
      <c r="L5" s="2790"/>
      <c r="M5" s="2790"/>
      <c r="N5" s="2790"/>
      <c r="O5" s="2790"/>
      <c r="P5" s="2790"/>
    </row>
    <row r="6" spans="1:16" ht="15.6">
      <c r="A6" s="2606" t="s">
        <v>2080</v>
      </c>
      <c r="B6" s="2599">
        <f ca="1">SUMIF(INDIRECT("'"&amp;A6&amp;"'"&amp;"!A:A"),"总价",INDIRECT("'"&amp;A6&amp;"'"&amp;"!B:B"))</f>
        <v>804</v>
      </c>
      <c r="C6" s="2144" t="s">
        <v>2074</v>
      </c>
      <c r="D6" s="2790"/>
      <c r="E6" s="2609">
        <f ca="1">SUMIF(INDIRECT("'"&amp;A6&amp;"'"&amp;"!C:C"),"建筑面积",INDIRECT("'"&amp;A6&amp;"'"&amp;"!D:D"))</f>
        <v>375.87</v>
      </c>
      <c r="F6" s="2790"/>
      <c r="G6" s="2790"/>
      <c r="H6" s="2790"/>
      <c r="I6" s="2790"/>
      <c r="J6" s="2790"/>
      <c r="K6" s="2790"/>
      <c r="L6" s="2790"/>
      <c r="M6" s="2790"/>
      <c r="N6" s="2790"/>
      <c r="O6" s="2790"/>
      <c r="P6" s="2790"/>
    </row>
    <row r="7" spans="1:16" ht="15.6">
      <c r="A7" s="2606"/>
      <c r="B7" s="2599" t="e">
        <f ca="1">SUMIF(INDIRECT("'"&amp;A7&amp;"'"&amp;"!A:A"),"总价",INDIRECT("'"&amp;A7&amp;"'"&amp;"!B:B"))</f>
        <v>#REF!</v>
      </c>
      <c r="C7" s="2144"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6">
      <c r="A8" s="2606"/>
      <c r="B8" s="2599" t="e">
        <f t="shared" ref="B8:B13" ca="1" si="1">SUMIF(INDIRECT("'"&amp;A8&amp;"'"&amp;"!A:A"),"总价",INDIRECT("'"&amp;A8&amp;"'"&amp;"!B:B"))</f>
        <v>#REF!</v>
      </c>
      <c r="C8" s="2144" t="s">
        <v>2074</v>
      </c>
      <c r="D8" s="2790"/>
      <c r="E8" s="2609" t="e">
        <f t="shared" ca="1" si="0"/>
        <v>#REF!</v>
      </c>
      <c r="F8" s="2790"/>
      <c r="G8" s="2790"/>
      <c r="H8" s="2790"/>
      <c r="I8" s="2790"/>
      <c r="J8" s="2790"/>
      <c r="K8" s="2790"/>
      <c r="L8" s="2790"/>
      <c r="M8" s="2790"/>
      <c r="N8" s="2790"/>
      <c r="O8" s="2790"/>
      <c r="P8" s="2790"/>
    </row>
    <row r="9" spans="1:16" ht="15.6">
      <c r="A9" s="2606"/>
      <c r="B9" s="2599" t="e">
        <f t="shared" ca="1" si="1"/>
        <v>#REF!</v>
      </c>
      <c r="C9" s="2144" t="s">
        <v>2074</v>
      </c>
      <c r="D9" s="2790"/>
      <c r="E9" s="2609" t="e">
        <f t="shared" ca="1" si="0"/>
        <v>#REF!</v>
      </c>
      <c r="F9" s="2790"/>
      <c r="G9" s="2790"/>
      <c r="H9" s="2790"/>
      <c r="I9" s="2790"/>
      <c r="J9" s="2790"/>
      <c r="K9" s="2790"/>
      <c r="L9" s="2790"/>
      <c r="M9" s="2790"/>
      <c r="N9" s="2790"/>
      <c r="O9" s="2790"/>
      <c r="P9" s="2790"/>
    </row>
    <row r="10" spans="1:16" ht="15.6">
      <c r="A10" s="2606"/>
      <c r="B10" s="2599" t="e">
        <f t="shared" ca="1" si="1"/>
        <v>#REF!</v>
      </c>
      <c r="C10" s="2144" t="s">
        <v>2074</v>
      </c>
      <c r="D10" s="2790"/>
      <c r="E10" s="2609" t="e">
        <f t="shared" ca="1" si="0"/>
        <v>#REF!</v>
      </c>
      <c r="F10" s="2790"/>
      <c r="G10" s="2790"/>
      <c r="H10" s="2790"/>
      <c r="I10" s="2790"/>
      <c r="J10" s="2790"/>
      <c r="K10" s="2790"/>
      <c r="L10" s="2790"/>
      <c r="M10" s="2790"/>
      <c r="N10" s="2790"/>
      <c r="O10" s="2790"/>
      <c r="P10" s="2790"/>
    </row>
    <row r="11" spans="1:16" ht="15.6">
      <c r="A11" s="2606"/>
      <c r="B11" s="2599" t="e">
        <f t="shared" ca="1" si="1"/>
        <v>#REF!</v>
      </c>
      <c r="C11" s="2144" t="s">
        <v>2074</v>
      </c>
      <c r="D11" s="2790"/>
      <c r="E11" s="2609" t="e">
        <f t="shared" ca="1" si="0"/>
        <v>#REF!</v>
      </c>
      <c r="F11" s="2790"/>
      <c r="G11" s="2790"/>
      <c r="H11" s="2790"/>
      <c r="I11" s="2790"/>
      <c r="J11" s="2790"/>
      <c r="K11" s="2790"/>
      <c r="L11" s="2790"/>
      <c r="M11" s="2790"/>
      <c r="N11" s="2790"/>
      <c r="O11" s="2790"/>
      <c r="P11" s="2790"/>
    </row>
    <row r="12" spans="1:16" ht="15.6">
      <c r="A12" s="2606"/>
      <c r="B12" s="2599" t="e">
        <f t="shared" ca="1" si="1"/>
        <v>#REF!</v>
      </c>
      <c r="C12" s="2144" t="s">
        <v>2074</v>
      </c>
      <c r="D12" s="2790"/>
      <c r="E12" s="2609" t="e">
        <f t="shared" ca="1" si="0"/>
        <v>#REF!</v>
      </c>
      <c r="F12" s="2790"/>
      <c r="G12" s="2790"/>
      <c r="H12" s="2790"/>
      <c r="I12" s="2790"/>
      <c r="J12" s="2790"/>
      <c r="K12" s="2790"/>
      <c r="L12" s="2790"/>
      <c r="M12" s="2790"/>
      <c r="N12" s="2790"/>
      <c r="O12" s="2790"/>
      <c r="P12" s="2790"/>
    </row>
    <row r="13" spans="1:16" ht="15.6">
      <c r="A13" s="2606"/>
      <c r="B13" s="2599" t="e">
        <f t="shared" ca="1" si="1"/>
        <v>#REF!</v>
      </c>
      <c r="C13" s="2144"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1" customWidth="1"/>
    <col min="2" max="2" width="37.21875" style="1491" customWidth="1"/>
    <col min="3" max="3" width="11.33203125" style="1491" customWidth="1"/>
    <col min="4" max="4" width="31.77734375" style="1491" customWidth="1"/>
    <col min="5" max="5" width="0.44140625" style="1491" customWidth="1"/>
    <col min="6" max="7" width="13" style="1491" customWidth="1"/>
    <col min="8" max="16384" width="9" style="1491"/>
  </cols>
  <sheetData>
    <row r="1" spans="1:5" ht="17.399999999999999">
      <c r="A1" s="1489" t="s">
        <v>908</v>
      </c>
      <c r="B1" s="1490"/>
      <c r="C1" s="1490"/>
      <c r="D1" s="1490"/>
      <c r="E1" s="1490"/>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80"/>
      <c r="C2" s="3480"/>
      <c r="D2" s="3480"/>
      <c r="E2" s="3480"/>
    </row>
    <row r="3" spans="1:5" ht="17.399999999999999">
      <c r="A3" s="3481" t="str">
        <f>IF(项目基本情况!B9="房地产市场价值","估价结果一览表（市场价值不需“结果表-1”）","估价结果一览表")</f>
        <v>估价结果一览表（市场价值不需“结果表-1”）</v>
      </c>
      <c r="B3" s="3481"/>
      <c r="C3" s="3481"/>
      <c r="D3" s="3481"/>
      <c r="E3" s="3481"/>
    </row>
    <row r="4" spans="1:5" ht="18" thickBot="1">
      <c r="A4" s="1492"/>
      <c r="B4" s="3479" t="s">
        <v>917</v>
      </c>
      <c r="C4" s="3479"/>
      <c r="D4" s="3479"/>
      <c r="E4" s="1492"/>
    </row>
    <row r="5" spans="1:5" ht="16.2" thickTop="1">
      <c r="A5" s="1490"/>
      <c r="B5" s="3477" t="s">
        <v>909</v>
      </c>
      <c r="C5" s="1493" t="s">
        <v>910</v>
      </c>
      <c r="D5" s="850" t="e">
        <f ca="1">结果表!H101</f>
        <v>#REF!</v>
      </c>
      <c r="E5" s="1490"/>
    </row>
    <row r="6" spans="1:5" ht="15.6">
      <c r="A6" s="1490"/>
      <c r="B6" s="3477"/>
      <c r="C6" s="1493" t="s">
        <v>911</v>
      </c>
      <c r="D6" s="850" t="e">
        <f ca="1">NUMBERSTRING(INT(D5*10000),2)&amp;"元整"</f>
        <v>#REF!</v>
      </c>
      <c r="E6" s="1490"/>
    </row>
    <row r="7" spans="1:5" ht="15.6">
      <c r="A7" s="1490"/>
      <c r="B7" s="3482"/>
      <c r="C7" s="1494" t="s">
        <v>912</v>
      </c>
      <c r="D7" s="851" t="e">
        <f ca="1">结果表!H102</f>
        <v>#REF!</v>
      </c>
      <c r="E7" s="1490"/>
    </row>
    <row r="8" spans="1:5" ht="15.6">
      <c r="A8" s="1490"/>
      <c r="B8" s="3483" t="str">
        <f>结果表!E103</f>
        <v>2.估价师知悉的法定优先受偿款</v>
      </c>
      <c r="C8" s="1495" t="s">
        <v>913</v>
      </c>
      <c r="D8" s="851">
        <f>结果表!H103</f>
        <v>0</v>
      </c>
      <c r="E8" s="1490"/>
    </row>
    <row r="9" spans="1:5" ht="15.6">
      <c r="A9" s="1490"/>
      <c r="B9" s="3485"/>
      <c r="C9" s="1493" t="s">
        <v>911</v>
      </c>
      <c r="D9" s="850" t="str">
        <f>NUMBERSTRING(INT(D8*10000),2)&amp;"元整"</f>
        <v>零元整</v>
      </c>
      <c r="E9" s="1490"/>
    </row>
    <row r="10" spans="1:5" ht="15.6">
      <c r="A10" s="1490"/>
      <c r="B10" s="1496" t="s">
        <v>916</v>
      </c>
      <c r="C10" s="1497" t="s">
        <v>914</v>
      </c>
      <c r="D10" s="852">
        <f>结果表!H104</f>
        <v>0</v>
      </c>
      <c r="E10" s="1490"/>
    </row>
    <row r="11" spans="1:5" ht="15.6">
      <c r="A11" s="1490"/>
      <c r="B11" s="1496" t="s">
        <v>918</v>
      </c>
      <c r="C11" s="1497" t="s">
        <v>919</v>
      </c>
      <c r="D11" s="852">
        <f>结果表!H105</f>
        <v>0</v>
      </c>
      <c r="E11" s="1490"/>
    </row>
    <row r="12" spans="1:5" ht="15.6">
      <c r="A12" s="1490"/>
      <c r="B12" s="1496" t="s">
        <v>920</v>
      </c>
      <c r="C12" s="1497" t="s">
        <v>919</v>
      </c>
      <c r="D12" s="852">
        <f>结果表!H106</f>
        <v>0</v>
      </c>
      <c r="E12" s="1490"/>
    </row>
    <row r="13" spans="1:5" ht="15.6">
      <c r="A13" s="1490"/>
      <c r="B13" s="3476" t="str">
        <f>结果表!E107</f>
        <v>3.房地产抵押价值</v>
      </c>
      <c r="C13" s="1498" t="s">
        <v>910</v>
      </c>
      <c r="D13" s="853" t="e">
        <f ca="1">结果表!H107</f>
        <v>#REF!</v>
      </c>
      <c r="E13" s="1490"/>
    </row>
    <row r="14" spans="1:5" ht="15.6">
      <c r="A14" s="1490"/>
      <c r="B14" s="3477"/>
      <c r="C14" s="1493" t="s">
        <v>911</v>
      </c>
      <c r="D14" s="850" t="e">
        <f ca="1">NUMBERSTRING(INT(D13*10000),2)&amp;"元整"</f>
        <v>#REF!</v>
      </c>
      <c r="E14" s="1490"/>
    </row>
    <row r="15" spans="1:5" ht="15.6">
      <c r="A15" s="1490"/>
      <c r="B15" s="3482"/>
      <c r="C15" s="1494" t="s">
        <v>921</v>
      </c>
      <c r="D15" s="859" t="e">
        <f ca="1">结果表!H108</f>
        <v>#REF!</v>
      </c>
      <c r="E15" s="1490"/>
    </row>
    <row r="16" spans="1:5" ht="15.6">
      <c r="A16" s="1490"/>
      <c r="B16" s="3483" t="str">
        <f>结果表!E109</f>
        <v>——</v>
      </c>
      <c r="C16" s="1498" t="s">
        <v>922</v>
      </c>
      <c r="D16" s="1499" t="str">
        <f>结果表!H109</f>
        <v>——</v>
      </c>
      <c r="E16" s="1490"/>
    </row>
    <row r="17" spans="1:5" ht="15.6">
      <c r="A17" s="1490"/>
      <c r="B17" s="3484"/>
      <c r="C17" s="1493" t="s">
        <v>923</v>
      </c>
      <c r="D17" s="850" t="e">
        <f>NUMBERSTRING(INT(D16*10000),2)&amp;"元整"</f>
        <v>#VALUE!</v>
      </c>
      <c r="E17" s="1490"/>
    </row>
    <row r="18" spans="1:5" ht="15.6">
      <c r="A18" s="1490"/>
      <c r="B18" s="3485"/>
      <c r="C18" s="1494" t="s">
        <v>912</v>
      </c>
      <c r="D18" s="859" t="str">
        <f>结果表!H110</f>
        <v>——</v>
      </c>
      <c r="E18" s="1490"/>
    </row>
    <row r="19" spans="1:5" ht="15.6">
      <c r="A19" s="1490"/>
      <c r="B19" s="3476" t="str">
        <f>结果表!E111</f>
        <v>——</v>
      </c>
      <c r="C19" s="1498" t="s">
        <v>910</v>
      </c>
      <c r="D19" s="851" t="str">
        <f>结果表!H111</f>
        <v>——</v>
      </c>
      <c r="E19" s="1490"/>
    </row>
    <row r="20" spans="1:5" ht="15.6">
      <c r="A20" s="1490"/>
      <c r="B20" s="3477"/>
      <c r="C20" s="1493" t="s">
        <v>923</v>
      </c>
      <c r="D20" s="850" t="e">
        <f>NUMBERSTRING(INT(D19*10000),2)&amp;"元整"</f>
        <v>#VALUE!</v>
      </c>
      <c r="E20" s="1490"/>
    </row>
    <row r="21" spans="1:5" ht="16.2" thickBot="1">
      <c r="A21" s="1490"/>
      <c r="B21" s="3478"/>
      <c r="C21" s="1500" t="s">
        <v>921</v>
      </c>
      <c r="D21" s="860" t="str">
        <f>结果表!H112</f>
        <v>——</v>
      </c>
      <c r="E21" s="1490"/>
    </row>
    <row r="22" spans="1:5" ht="14.4" thickTop="1">
      <c r="A22" s="1490"/>
      <c r="B22" s="1501" t="s">
        <v>924</v>
      </c>
      <c r="C22" s="1490"/>
      <c r="D22" s="1490"/>
      <c r="E22" s="1490"/>
    </row>
    <row r="23" spans="1:5">
      <c r="A23" s="1490"/>
      <c r="B23" s="1490"/>
      <c r="C23" s="1490"/>
      <c r="D23" s="1490"/>
      <c r="E23" s="1490"/>
    </row>
    <row r="24" spans="1:5" ht="17.399999999999999">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40" zoomScaleNormal="80" zoomScaleSheetLayoutView="100" workbookViewId="0">
      <selection activeCell="F73" sqref="F73"/>
    </sheetView>
  </sheetViews>
  <sheetFormatPr defaultColWidth="12" defaultRowHeight="13.2"/>
  <cols>
    <col min="1" max="1" width="9.77734375" style="2052" customWidth="1"/>
    <col min="2" max="2" width="22.44140625" style="2143" customWidth="1"/>
    <col min="3" max="3" width="12" style="1997"/>
    <col min="4" max="4" width="14.88671875" style="1997" customWidth="1"/>
    <col min="5" max="5" width="14.6640625" style="1997" customWidth="1"/>
    <col min="6" max="8" width="12" style="1997"/>
    <col min="9" max="9" width="12.21875" style="1997" bestFit="1" customWidth="1"/>
    <col min="10" max="10" width="12" style="1997"/>
    <col min="11" max="11" width="8.109375" style="2048" customWidth="1"/>
    <col min="12" max="12" width="19.44140625" style="1997" customWidth="1"/>
    <col min="13" max="13" width="8.44140625" style="1997" customWidth="1"/>
    <col min="14" max="14" width="9.77734375" style="1997" customWidth="1"/>
    <col min="15" max="25" width="12" style="1997"/>
    <col min="26" max="26" width="9.33203125" style="2052" customWidth="1"/>
    <col min="27" max="32" width="9.33203125" style="1121" customWidth="1"/>
    <col min="33" max="36" width="9.33203125" style="2052" customWidth="1"/>
    <col min="37" max="38" width="9.33203125" style="1997" customWidth="1"/>
    <col min="39" max="16384" width="12" style="1997"/>
  </cols>
  <sheetData>
    <row r="1" spans="1:36" ht="31.2">
      <c r="A1" s="196" t="s">
        <v>1926</v>
      </c>
      <c r="B1" s="197"/>
      <c r="C1" s="201" t="s">
        <v>1927</v>
      </c>
      <c r="D1" s="342">
        <f>SUM(D33:D34,D37:D42)</f>
        <v>375.87</v>
      </c>
      <c r="E1" s="1994"/>
      <c r="F1" s="1994"/>
      <c r="G1" s="1994"/>
      <c r="H1" s="1994"/>
      <c r="I1" s="1994"/>
      <c r="J1" s="1994"/>
      <c r="K1" s="1119"/>
      <c r="L1" s="1995" t="s">
        <v>1928</v>
      </c>
      <c r="M1" s="863">
        <f>SUMPRODUCT((区片价!B5:B9=I2)*(区片价!C3:G3=E2)*(区片价!C5:G9))</f>
        <v>0</v>
      </c>
      <c r="N1" s="866">
        <f>SUMPRODUCT((因素修正幅度!B5:B9=I2)*(因素修正幅度!C3:G3=E2)*(因素修正幅度!C5:G9))</f>
        <v>0</v>
      </c>
      <c r="O1" s="1996"/>
      <c r="P1" s="1996"/>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6">
      <c r="A2" s="201" t="s">
        <v>1934</v>
      </c>
      <c r="B2" s="204">
        <f>C30</f>
        <v>804</v>
      </c>
      <c r="C2" s="1998" t="s">
        <v>1935</v>
      </c>
      <c r="D2" s="1999" t="s">
        <v>1936</v>
      </c>
      <c r="E2" s="3419" t="s">
        <v>3392</v>
      </c>
      <c r="F2" s="1999" t="s">
        <v>1937</v>
      </c>
      <c r="G2" s="2000" t="str">
        <f>IF(E2="商业",项目基本情况!B37,IF(E2="办公",项目基本情况!C37,IF(E2="住宅",项目基本情况!D37,IF(E2="工业",项目基本情况!E37,项目基本情况!F37))))</f>
        <v>二级</v>
      </c>
      <c r="H2" s="1999" t="s">
        <v>1938</v>
      </c>
      <c r="I2" s="2000" t="str">
        <f>IF(E2="商业",项目基本情况!B38,IF(E2="办公",项目基本情况!C38,IF(E2="住宅",项目基本情况!D38,IF(E2="工业",项目基本情况!E38,项目基本情况!F38))))</f>
        <v>Ⅱ—18</v>
      </c>
      <c r="J2" s="2001"/>
      <c r="K2" s="1119"/>
      <c r="L2" s="2002" t="s">
        <v>1939</v>
      </c>
      <c r="M2" s="864">
        <f>SUMPRODUCT((区片价!B10:B29=I2)*(区片价!C3:G3=E2)*(区片价!C10:G29))</f>
        <v>28300</v>
      </c>
      <c r="N2" s="866">
        <f>SUMPRODUCT((因素修正幅度!B10:B29=I2)*(因素修正幅度!C3:G3=E2)*(因素修正幅度!C10:G29))</f>
        <v>6.4000000000000001E-2</v>
      </c>
      <c r="O2" s="1119"/>
      <c r="P2" s="1119"/>
      <c r="Q2" s="1119"/>
      <c r="R2" s="1211">
        <v>1</v>
      </c>
      <c r="S2" s="3358">
        <f>ROUND(SUMPRODUCT((B106:B110=R2)*(C105:N105=G2)*(C106:N110)),4)</f>
        <v>1.5206</v>
      </c>
      <c r="T2" s="3358">
        <f t="shared" ref="T2:T16" si="0">ROUND($C$5*$C$22*$C$23*$C$24*S2*$C$28,0)</f>
        <v>50558</v>
      </c>
      <c r="U2" s="1212"/>
      <c r="V2" s="3358">
        <f>ROUND(T2*U2/10000,0)</f>
        <v>0</v>
      </c>
      <c r="W2" s="1215"/>
      <c r="X2" s="1215"/>
      <c r="Y2" s="1215"/>
      <c r="Z2" s="1215"/>
      <c r="AA2" s="1215"/>
      <c r="AB2" s="1215"/>
      <c r="AC2" s="1216"/>
      <c r="AD2" s="1217"/>
      <c r="AE2" s="1217"/>
      <c r="AF2" s="1217"/>
      <c r="AG2" s="1217"/>
      <c r="AH2" s="1217"/>
      <c r="AI2" s="1217"/>
      <c r="AJ2" s="1218"/>
    </row>
    <row r="3" spans="1:36" ht="15.6">
      <c r="A3" s="203" t="s">
        <v>1940</v>
      </c>
      <c r="B3" s="204">
        <f>ROUND(B2*10000/D1,0)</f>
        <v>21390</v>
      </c>
      <c r="C3" s="1998" t="s">
        <v>1941</v>
      </c>
      <c r="D3" s="1999" t="s">
        <v>1942</v>
      </c>
      <c r="E3" s="3417" t="s">
        <v>3396</v>
      </c>
      <c r="F3" s="2003" t="s">
        <v>3397</v>
      </c>
      <c r="G3" s="752">
        <f>IF(F3="宗地容积率",'数据-汇总表'!I4,IF(F3="估价对象容积率",'数据-汇总表'!I6,'数据-汇总表'!I7))</f>
        <v>11.72</v>
      </c>
      <c r="H3" s="170" t="s">
        <v>1943</v>
      </c>
      <c r="I3" s="775"/>
      <c r="J3" s="2001" t="s">
        <v>1944</v>
      </c>
      <c r="K3" s="1119"/>
      <c r="L3" s="2002" t="s">
        <v>1945</v>
      </c>
      <c r="M3" s="864">
        <f>SUMPRODUCT((区片价!B30:B54=I2)*(区片价!C3:G3=E2)*(区片价!C30:G54))</f>
        <v>0</v>
      </c>
      <c r="N3" s="866">
        <f>SUMPRODUCT((因素修正幅度!B30:B54=I2)*(因素修正幅度!C3:G3=E2)*(因素修正幅度!C30:G54))</f>
        <v>0</v>
      </c>
      <c r="O3" s="1119"/>
      <c r="P3" s="1119"/>
      <c r="Q3" s="1119"/>
      <c r="R3" s="1211">
        <v>2</v>
      </c>
      <c r="S3" s="3358">
        <f>ROUND(SUMPRODUCT((B106:B110=R3)*(C105:N105=G2)*(C106:N110)),4)</f>
        <v>1.2072000000000001</v>
      </c>
      <c r="T3" s="3358">
        <f t="shared" si="0"/>
        <v>40138</v>
      </c>
      <c r="U3" s="1212"/>
      <c r="V3" s="3358">
        <f t="shared" ref="V3:V16" si="1">ROUND(T3*U3/10000,0)</f>
        <v>0</v>
      </c>
      <c r="W3" s="1215"/>
      <c r="X3" s="1215"/>
      <c r="Y3" s="1215"/>
      <c r="Z3" s="1215"/>
      <c r="AA3" s="1215"/>
      <c r="AB3" s="1215"/>
      <c r="AC3" s="1216"/>
      <c r="AD3" s="1217"/>
      <c r="AE3" s="1217"/>
      <c r="AF3" s="1217"/>
      <c r="AG3" s="1217"/>
      <c r="AH3" s="1217"/>
      <c r="AI3" s="1217"/>
      <c r="AJ3" s="1218"/>
    </row>
    <row r="4" spans="1:36" ht="15.6">
      <c r="A4" s="3772"/>
      <c r="B4" s="3773"/>
      <c r="C4" s="3773"/>
      <c r="D4" s="3774"/>
      <c r="E4" s="3774"/>
      <c r="F4" s="3774"/>
      <c r="G4" s="3774"/>
      <c r="H4" s="3774"/>
      <c r="I4" s="3774"/>
      <c r="J4" s="3775"/>
      <c r="K4" s="1119"/>
      <c r="L4" s="2002" t="s">
        <v>1946</v>
      </c>
      <c r="M4" s="864">
        <f>SUMPRODUCT((区片价!B55:B86=I2)*(区片价!C3:G3=E2)*(区片价!C55:G86))</f>
        <v>0</v>
      </c>
      <c r="N4" s="866">
        <f>SUMPRODUCT((因素修正幅度!B55:B86=I2)*(因素修正幅度!C3:G3=E2)*(因素修正幅度!C55:G86))</f>
        <v>0</v>
      </c>
      <c r="O4" s="1119"/>
      <c r="P4" s="1119"/>
      <c r="Q4" s="1119"/>
      <c r="R4" s="1211">
        <v>3</v>
      </c>
      <c r="S4" s="3358">
        <f>ROUND(SUMPRODUCT((B106:B110=R4)*(C105:N105=G2)*(C106:N110)),4)</f>
        <v>1.0430999999999999</v>
      </c>
      <c r="T4" s="3358">
        <f t="shared" si="0"/>
        <v>34682</v>
      </c>
      <c r="U4" s="1212"/>
      <c r="V4" s="3358">
        <f t="shared" si="1"/>
        <v>0</v>
      </c>
      <c r="W4" s="1215"/>
      <c r="X4" s="1215"/>
      <c r="Y4" s="1215"/>
      <c r="Z4" s="1215"/>
      <c r="AA4" s="1215"/>
      <c r="AB4" s="1215"/>
      <c r="AC4" s="1216"/>
      <c r="AD4" s="1217"/>
      <c r="AE4" s="1217"/>
      <c r="AF4" s="1217"/>
      <c r="AG4" s="1217"/>
      <c r="AH4" s="1217"/>
      <c r="AI4" s="1217"/>
      <c r="AJ4" s="1218"/>
    </row>
    <row r="5" spans="1:36" s="2013" customFormat="1" ht="15.6" thickBot="1">
      <c r="A5" s="2004" t="s">
        <v>362</v>
      </c>
      <c r="B5" s="2005" t="s">
        <v>1947</v>
      </c>
      <c r="C5" s="753">
        <f>ROUND(IF(E2="商业",C6*C7*C17+C20,(IF(E2="住宅",C6*C13*C17+C20,IF(E2="办公",C6*C12*C17+C20,C6+C20)))),0)</f>
        <v>32687</v>
      </c>
      <c r="D5" s="1338">
        <f>ROUND(C6*C17+C20,0)</f>
        <v>28300</v>
      </c>
      <c r="E5" s="1338"/>
      <c r="F5" s="2006"/>
      <c r="G5" s="2007"/>
      <c r="H5" s="2007"/>
      <c r="I5" s="2007"/>
      <c r="J5" s="2008"/>
      <c r="K5" s="2009"/>
      <c r="L5" s="2002" t="s">
        <v>1948</v>
      </c>
      <c r="M5" s="864">
        <f>SUMPRODUCT((区片价!B87:B126=I2)*(区片价!C3:G3=E2)*(区片价!C87:G126))</f>
        <v>0</v>
      </c>
      <c r="N5" s="866">
        <f>SUMPRODUCT((因素修正幅度!B87:B126=I2)*(因素修正幅度!C3:G3=E2)*(因素修正幅度!C87:G126))</f>
        <v>0</v>
      </c>
      <c r="O5" s="1119"/>
      <c r="P5" s="1119"/>
      <c r="Q5" s="1119"/>
      <c r="R5" s="1211">
        <v>4</v>
      </c>
      <c r="S5" s="3358">
        <f>ROUND(SUMPRODUCT((B106:B110=R5)*(C105:N105=G2)*(C106:N110)),4)</f>
        <v>0.94389999999999996</v>
      </c>
      <c r="T5" s="3358">
        <f t="shared" si="0"/>
        <v>31384</v>
      </c>
      <c r="U5" s="1212"/>
      <c r="V5" s="3358">
        <f t="shared" si="1"/>
        <v>0</v>
      </c>
      <c r="W5" s="1215"/>
      <c r="X5" s="1215"/>
      <c r="Y5" s="1215"/>
      <c r="Z5" s="1215"/>
      <c r="AA5" s="1215"/>
      <c r="AB5" s="1215"/>
      <c r="AC5" s="2010"/>
      <c r="AD5" s="2011"/>
      <c r="AE5" s="2011"/>
      <c r="AF5" s="2011"/>
      <c r="AG5" s="2011"/>
      <c r="AH5" s="2011"/>
      <c r="AI5" s="2011"/>
      <c r="AJ5" s="2012"/>
    </row>
    <row r="6" spans="1:36" ht="15.6" thickBot="1">
      <c r="A6" s="2014" t="s">
        <v>1949</v>
      </c>
      <c r="B6" s="2015" t="s">
        <v>1950</v>
      </c>
      <c r="C6" s="754">
        <f>SUMIF(L1:L12,G2,M1:M12)</f>
        <v>28300</v>
      </c>
      <c r="D6" s="2016"/>
      <c r="E6" s="2017"/>
      <c r="F6" s="2017"/>
      <c r="G6" s="2018"/>
      <c r="H6" s="2018"/>
      <c r="I6" s="2018"/>
      <c r="J6" s="2019"/>
      <c r="K6" s="1383"/>
      <c r="L6" s="2002" t="s">
        <v>1951</v>
      </c>
      <c r="M6" s="864">
        <f>SUMPRODUCT((区片价!B127:B189=I2)*(区片价!C3:G3=E2)*(区片价!C127:G189))</f>
        <v>0</v>
      </c>
      <c r="N6" s="866">
        <f>SUMPRODUCT((因素修正幅度!B127:B189=I2)*(因素修正幅度!C3:G3=E2)*(因素修正幅度!C127:G189))</f>
        <v>0</v>
      </c>
      <c r="O6" s="1119"/>
      <c r="P6" s="1119"/>
      <c r="Q6" s="1119"/>
      <c r="R6" s="1211">
        <v>5</v>
      </c>
      <c r="S6" s="3358">
        <f>ROUND(SUMPRODUCT((B106:B110=R6)*(C105:N105=G2)*(C106:N110)),4)</f>
        <v>0.89959999999999996</v>
      </c>
      <c r="T6" s="3358">
        <f t="shared" si="0"/>
        <v>29911</v>
      </c>
      <c r="U6" s="1212"/>
      <c r="V6" s="3358">
        <f t="shared" si="1"/>
        <v>0</v>
      </c>
      <c r="W6" s="1215"/>
      <c r="X6" s="1215"/>
      <c r="Y6" s="1215"/>
      <c r="Z6" s="1215"/>
      <c r="AA6" s="1215"/>
      <c r="AB6" s="1215"/>
      <c r="AC6" s="2010"/>
      <c r="AD6" s="2011"/>
      <c r="AE6" s="2011"/>
      <c r="AF6" s="2011"/>
      <c r="AG6" s="2011"/>
      <c r="AH6" s="2011"/>
      <c r="AI6" s="2011"/>
      <c r="AJ6" s="2012"/>
    </row>
    <row r="7" spans="1:36" ht="24.6" thickBot="1">
      <c r="A7" s="3301" t="s">
        <v>3234</v>
      </c>
      <c r="B7" s="2020" t="s">
        <v>1952</v>
      </c>
      <c r="C7" s="755">
        <f>IF(C8="不临65条商业街",1,ROUND(1+(1.6*E8+1.2*E9+0.8*E10+0.4*E11)*C9,4))</f>
        <v>1</v>
      </c>
      <c r="D7" s="2021" t="s">
        <v>1953</v>
      </c>
      <c r="E7" s="776"/>
      <c r="F7" s="2022"/>
      <c r="G7" s="2023"/>
      <c r="H7" s="2023"/>
      <c r="I7" s="2023"/>
      <c r="J7" s="2024"/>
      <c r="K7" s="1383"/>
      <c r="L7" s="2002" t="s">
        <v>1954</v>
      </c>
      <c r="M7" s="864">
        <f>SUMPRODUCT((区片价!B190:B233=I2)*(区片价!C3:G3=E2)*(区片价!C190:G233))</f>
        <v>0</v>
      </c>
      <c r="N7" s="866">
        <f>SUMPRODUCT((因素修正幅度!B190:B233=I2)*(因素修正幅度!C3:G3=E2)*(因素修正幅度!C190:G233))</f>
        <v>0</v>
      </c>
      <c r="O7" s="1119"/>
      <c r="P7" s="1119"/>
      <c r="Q7" s="1119"/>
      <c r="R7" s="1211">
        <v>6</v>
      </c>
      <c r="S7" s="3416"/>
      <c r="T7" s="3358">
        <f t="shared" si="0"/>
        <v>0</v>
      </c>
      <c r="U7" s="1212"/>
      <c r="V7" s="3358">
        <f t="shared" si="1"/>
        <v>0</v>
      </c>
      <c r="W7" s="1357" t="s">
        <v>1955</v>
      </c>
      <c r="X7" s="1213" t="str">
        <f>G2</f>
        <v>二级</v>
      </c>
      <c r="Y7" s="1213" t="s">
        <v>1956</v>
      </c>
      <c r="Z7" s="1214">
        <f>G3</f>
        <v>11.72</v>
      </c>
      <c r="AA7" s="1215"/>
      <c r="AB7" s="1215"/>
      <c r="AC7" s="1216"/>
      <c r="AD7" s="1217"/>
      <c r="AE7" s="1217"/>
      <c r="AF7" s="1217"/>
      <c r="AG7" s="1217"/>
      <c r="AH7" s="1217"/>
      <c r="AI7" s="1217"/>
      <c r="AJ7" s="1218"/>
    </row>
    <row r="8" spans="1:36" ht="26.4">
      <c r="A8" s="3296"/>
      <c r="B8" s="170" t="s">
        <v>1957</v>
      </c>
      <c r="C8" s="2025" t="s">
        <v>3477</v>
      </c>
      <c r="D8" s="756" t="s">
        <v>112</v>
      </c>
      <c r="E8" s="757" t="e">
        <f>ROUND(C11/E7,4)</f>
        <v>#DIV/0!</v>
      </c>
      <c r="F8" s="2026" t="s">
        <v>1958</v>
      </c>
      <c r="G8" s="2027"/>
      <c r="H8" s="2027"/>
      <c r="I8" s="2027"/>
      <c r="J8" s="2028"/>
      <c r="K8" s="1119"/>
      <c r="L8" s="2002" t="s">
        <v>1959</v>
      </c>
      <c r="M8" s="864">
        <f>SUMPRODUCT((区片价!B234:B276=I2)*(区片价!C3:G3=E2)*(区片价!C234:G276))</f>
        <v>0</v>
      </c>
      <c r="N8" s="866">
        <f>SUMPRODUCT((因素修正幅度!B234:B276=I2)*(因素修正幅度!C3:G3=E2)*(因素修正幅度!C234:G276))</f>
        <v>0</v>
      </c>
      <c r="O8" s="1119"/>
      <c r="P8" s="1119"/>
      <c r="Q8" s="1119"/>
      <c r="R8" s="1211">
        <v>7</v>
      </c>
      <c r="S8" s="1212"/>
      <c r="T8" s="3358">
        <f t="shared" si="0"/>
        <v>0</v>
      </c>
      <c r="U8" s="1212"/>
      <c r="V8" s="3358">
        <f t="shared" si="1"/>
        <v>0</v>
      </c>
      <c r="W8" s="3769" t="s">
        <v>1960</v>
      </c>
      <c r="X8" s="3770"/>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6"/>
      <c r="B9" s="170" t="s">
        <v>1973</v>
      </c>
      <c r="C9" s="758">
        <f>SUMIF(修正!C71:C138,C8,修正!E71:E138)</f>
        <v>0</v>
      </c>
      <c r="D9" s="171" t="s">
        <v>113</v>
      </c>
      <c r="E9" s="171" t="e">
        <f>ROUND(C11/E7,4)</f>
        <v>#DIV/0!</v>
      </c>
      <c r="F9" s="2026" t="s">
        <v>1974</v>
      </c>
      <c r="G9" s="2027"/>
      <c r="H9" s="2027"/>
      <c r="I9" s="2027"/>
      <c r="J9" s="2028"/>
      <c r="K9" s="1119"/>
      <c r="L9" s="2002" t="s">
        <v>1975</v>
      </c>
      <c r="M9" s="864">
        <f>SUMPRODUCT((区片价!B277:B326=I2)*(区片价!C3:G3=E2)*(区片价!C277:G326))</f>
        <v>0</v>
      </c>
      <c r="N9" s="866">
        <f>SUMPRODUCT((因素修正幅度!B277:B326=I2)*(因素修正幅度!C3:G3=E2)*(因素修正幅度!C277:G326))</f>
        <v>0</v>
      </c>
      <c r="O9" s="1119"/>
      <c r="P9" s="1119"/>
      <c r="Q9" s="1119"/>
      <c r="R9" s="1211">
        <v>8</v>
      </c>
      <c r="S9" s="1212"/>
      <c r="T9" s="3358">
        <f t="shared" si="0"/>
        <v>0</v>
      </c>
      <c r="U9" s="1212"/>
      <c r="V9" s="3358">
        <f t="shared" si="1"/>
        <v>0</v>
      </c>
      <c r="W9" s="3771"/>
      <c r="X9" s="3359" t="s">
        <v>3265</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6" t="s">
        <v>1977</v>
      </c>
      <c r="G10" s="2027"/>
      <c r="H10" s="2027"/>
      <c r="I10" s="2027"/>
      <c r="J10" s="2028"/>
      <c r="K10" s="1119"/>
      <c r="L10" s="2002"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8">
        <f t="shared" si="0"/>
        <v>0</v>
      </c>
      <c r="U10" s="1212"/>
      <c r="V10" s="3358">
        <f t="shared" si="1"/>
        <v>0</v>
      </c>
      <c r="W10" s="377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6" thickBot="1">
      <c r="A11" s="3300"/>
      <c r="B11" s="2029" t="s">
        <v>1979</v>
      </c>
      <c r="C11" s="759">
        <f>C10/4</f>
        <v>0</v>
      </c>
      <c r="D11" s="759" t="s">
        <v>115</v>
      </c>
      <c r="E11" s="759" t="e">
        <f>ROUND(C11/E7,4)</f>
        <v>#DIV/0!</v>
      </c>
      <c r="F11" s="2030" t="s">
        <v>1980</v>
      </c>
      <c r="G11" s="2031"/>
      <c r="H11" s="2031"/>
      <c r="I11" s="2031"/>
      <c r="J11" s="2032"/>
      <c r="K11" s="1119"/>
      <c r="L11" s="2002"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8">
        <f t="shared" si="0"/>
        <v>0</v>
      </c>
      <c r="U11" s="1212"/>
      <c r="V11" s="3358">
        <f t="shared" si="1"/>
        <v>0</v>
      </c>
      <c r="W11" s="1215"/>
      <c r="X11" s="1215"/>
      <c r="Y11" s="1215"/>
      <c r="Z11" s="1215"/>
      <c r="AA11" s="1215"/>
      <c r="AB11" s="1215"/>
      <c r="AC11" s="1216"/>
      <c r="AD11" s="2786"/>
      <c r="AE11" s="2786"/>
      <c r="AF11" s="2786"/>
      <c r="AG11" s="2786"/>
      <c r="AH11" s="2786"/>
      <c r="AI11" s="2786"/>
      <c r="AJ11" s="2787"/>
    </row>
    <row r="12" spans="1:36" ht="25.8" thickBot="1">
      <c r="A12" s="3301" t="s">
        <v>3235</v>
      </c>
      <c r="B12" s="3302" t="s">
        <v>3236</v>
      </c>
      <c r="C12" s="3303">
        <v>1</v>
      </c>
      <c r="D12" s="3304" t="s">
        <v>3237</v>
      </c>
      <c r="E12" s="3305" t="s">
        <v>3238</v>
      </c>
      <c r="F12" s="3306"/>
      <c r="G12" s="3307"/>
      <c r="H12" s="3307"/>
      <c r="I12" s="3307"/>
      <c r="J12" s="3308"/>
      <c r="K12" s="1119"/>
      <c r="L12" s="2038"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8">
        <f t="shared" si="0"/>
        <v>0</v>
      </c>
      <c r="U12" s="1212"/>
      <c r="V12" s="3358">
        <f t="shared" si="1"/>
        <v>0</v>
      </c>
      <c r="W12" s="1215"/>
      <c r="X12" s="1215"/>
      <c r="Y12" s="1215"/>
      <c r="Z12" s="1215"/>
      <c r="AA12" s="1215"/>
      <c r="AB12" s="1215"/>
      <c r="AC12" s="1216"/>
      <c r="AD12" s="2786"/>
      <c r="AE12" s="2786"/>
      <c r="AF12" s="2786"/>
      <c r="AG12" s="2786"/>
      <c r="AH12" s="2786"/>
      <c r="AI12" s="2786"/>
      <c r="AJ12" s="2787"/>
    </row>
    <row r="13" spans="1:36" ht="24.6" thickBot="1">
      <c r="A13" s="3301" t="s">
        <v>3239</v>
      </c>
      <c r="B13" s="2033" t="s">
        <v>1982</v>
      </c>
      <c r="C13" s="755">
        <f>ROUND(C16*D16*E16*F16*G16*H16*I16*J16,4)</f>
        <v>1.155</v>
      </c>
      <c r="D13" s="2034" t="s">
        <v>1983</v>
      </c>
      <c r="E13" s="2035"/>
      <c r="F13" s="2035"/>
      <c r="G13" s="2036"/>
      <c r="H13" s="2036"/>
      <c r="I13" s="2036"/>
      <c r="J13" s="2037"/>
      <c r="K13" s="1119"/>
      <c r="L13" s="3297"/>
      <c r="M13" s="3298"/>
      <c r="N13" s="3299"/>
      <c r="O13" s="1119"/>
      <c r="P13" s="1119"/>
      <c r="Q13" s="1119"/>
      <c r="R13" s="1211">
        <v>12</v>
      </c>
      <c r="S13" s="1212"/>
      <c r="T13" s="3358">
        <f t="shared" si="0"/>
        <v>0</v>
      </c>
      <c r="U13" s="1212"/>
      <c r="V13" s="3358">
        <f t="shared" si="1"/>
        <v>0</v>
      </c>
      <c r="W13" s="1215"/>
      <c r="X13" s="1215"/>
      <c r="Y13" s="1215"/>
      <c r="Z13" s="1215"/>
      <c r="AA13" s="1215"/>
      <c r="AB13" s="1215"/>
      <c r="AC13" s="1216"/>
      <c r="AD13" s="2786"/>
      <c r="AE13" s="2786"/>
      <c r="AF13" s="2786"/>
      <c r="AG13" s="2786"/>
      <c r="AH13" s="2786"/>
      <c r="AI13" s="2786"/>
      <c r="AJ13" s="2787"/>
    </row>
    <row r="14" spans="1:36" ht="24">
      <c r="A14" s="3295"/>
      <c r="B14" s="2039" t="s">
        <v>1985</v>
      </c>
      <c r="C14" s="2040" t="s">
        <v>1986</v>
      </c>
      <c r="D14" s="1349" t="s">
        <v>1987</v>
      </c>
      <c r="E14" s="27" t="s">
        <v>1988</v>
      </c>
      <c r="F14" s="3309" t="s">
        <v>3240</v>
      </c>
      <c r="G14" s="3309" t="s">
        <v>3240</v>
      </c>
      <c r="H14" s="3309" t="s">
        <v>3240</v>
      </c>
      <c r="I14" s="3309" t="s">
        <v>3240</v>
      </c>
      <c r="J14" s="3309" t="s">
        <v>3240</v>
      </c>
      <c r="K14" s="1119"/>
      <c r="L14" s="1119"/>
      <c r="M14" s="1119"/>
      <c r="N14" s="1119"/>
      <c r="O14" s="1119"/>
      <c r="P14" s="1119"/>
      <c r="Q14" s="1119"/>
      <c r="R14" s="1211">
        <v>13</v>
      </c>
      <c r="S14" s="1212"/>
      <c r="T14" s="3358">
        <f t="shared" si="0"/>
        <v>0</v>
      </c>
      <c r="U14" s="1212"/>
      <c r="V14" s="3358">
        <f t="shared" si="1"/>
        <v>0</v>
      </c>
      <c r="W14" s="1215"/>
      <c r="X14" s="1215"/>
      <c r="Y14" s="1215"/>
      <c r="Z14" s="1215"/>
      <c r="AA14" s="1215"/>
      <c r="AB14" s="1215"/>
      <c r="AC14" s="1216"/>
      <c r="AD14" s="2786"/>
      <c r="AE14" s="2786"/>
      <c r="AF14" s="2786"/>
      <c r="AG14" s="2786"/>
      <c r="AH14" s="2786"/>
      <c r="AI14" s="2786"/>
      <c r="AJ14" s="2787"/>
    </row>
    <row r="15" spans="1:36" ht="15">
      <c r="A15" s="3295"/>
      <c r="B15" s="2041"/>
      <c r="C15" s="2042"/>
      <c r="D15" s="2043" t="s">
        <v>3478</v>
      </c>
      <c r="E15" s="2044" t="s">
        <v>3552</v>
      </c>
      <c r="F15" s="3310" t="s">
        <v>3241</v>
      </c>
      <c r="G15" s="3311"/>
      <c r="H15" s="3312"/>
      <c r="I15" s="3313"/>
      <c r="J15" s="3314"/>
      <c r="K15" s="1119"/>
      <c r="L15" s="1119"/>
      <c r="M15" s="1119"/>
      <c r="N15" s="1119"/>
      <c r="O15" s="1119"/>
      <c r="P15" s="1119"/>
      <c r="Q15" s="1119"/>
      <c r="R15" s="1211">
        <v>14</v>
      </c>
      <c r="S15" s="1212"/>
      <c r="T15" s="3358">
        <f t="shared" si="0"/>
        <v>0</v>
      </c>
      <c r="U15" s="1212"/>
      <c r="V15" s="3358">
        <f t="shared" si="1"/>
        <v>0</v>
      </c>
      <c r="W15" s="1215"/>
      <c r="X15" s="1215"/>
      <c r="Y15" s="1215"/>
      <c r="Z15" s="1215"/>
      <c r="AA15" s="1215"/>
      <c r="AB15" s="1215"/>
      <c r="AC15" s="1216"/>
      <c r="AD15" s="2786"/>
      <c r="AE15" s="2786"/>
      <c r="AF15" s="2786"/>
      <c r="AG15" s="2786"/>
      <c r="AH15" s="2786"/>
      <c r="AI15" s="2786"/>
      <c r="AJ15" s="2787"/>
    </row>
    <row r="16" spans="1:36" ht="15.6" thickBot="1">
      <c r="A16" s="3295"/>
      <c r="B16" s="3317" t="s">
        <v>1989</v>
      </c>
      <c r="C16" s="3315">
        <v>1</v>
      </c>
      <c r="D16" s="3315">
        <v>1.1000000000000001</v>
      </c>
      <c r="E16" s="3315">
        <v>1.05</v>
      </c>
      <c r="F16" s="3315">
        <v>1</v>
      </c>
      <c r="G16" s="3315">
        <v>1</v>
      </c>
      <c r="H16" s="3315">
        <v>1</v>
      </c>
      <c r="I16" s="3315">
        <v>1</v>
      </c>
      <c r="J16" s="3316">
        <v>1</v>
      </c>
      <c r="K16" s="1119"/>
      <c r="L16" s="1996"/>
      <c r="M16" s="1996"/>
      <c r="N16" s="1996"/>
      <c r="O16" s="1996"/>
      <c r="P16" s="1996"/>
      <c r="Q16" s="1119"/>
      <c r="R16" s="1211">
        <v>15</v>
      </c>
      <c r="S16" s="1212"/>
      <c r="T16" s="3358">
        <f t="shared" si="0"/>
        <v>0</v>
      </c>
      <c r="U16" s="1212"/>
      <c r="V16" s="3358">
        <f t="shared" si="1"/>
        <v>0</v>
      </c>
      <c r="W16" s="1215"/>
      <c r="X16" s="1215"/>
      <c r="Y16" s="1215"/>
      <c r="Z16" s="1215"/>
      <c r="AA16" s="1215"/>
      <c r="AB16" s="1215"/>
      <c r="AC16" s="1216"/>
      <c r="AD16" s="2786"/>
      <c r="AE16" s="2786"/>
      <c r="AF16" s="2786"/>
      <c r="AG16" s="2786"/>
      <c r="AH16" s="2786"/>
      <c r="AI16" s="2786"/>
      <c r="AJ16" s="2787"/>
    </row>
    <row r="17" spans="1:37" ht="24">
      <c r="A17" s="3327" t="s">
        <v>3242</v>
      </c>
      <c r="B17" s="3318" t="s">
        <v>3243</v>
      </c>
      <c r="C17" s="3328">
        <f>ROUND(IF(OR(E2="工业",E2="公共服务"),1,IF(AND(E18=0,E19=0),1,IF(AND(E18=J24,E19=G19),0.8,IF(E19=0,1+E17*(-0.2),1+E17*G17*(-0.2))))),4)</f>
        <v>1</v>
      </c>
      <c r="D17" s="3319" t="s">
        <v>3244</v>
      </c>
      <c r="E17" s="3328">
        <f>ROUND(G18/I18,2)</f>
        <v>0</v>
      </c>
      <c r="F17" s="3319" t="s">
        <v>3247</v>
      </c>
      <c r="G17" s="3328" t="e">
        <f>ROUND(E19/G19,2)</f>
        <v>#DIV/0!</v>
      </c>
      <c r="H17" s="3328"/>
      <c r="I17" s="3328"/>
      <c r="J17" s="3329"/>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3.8">
      <c r="A18" s="3330"/>
      <c r="B18" s="3007"/>
      <c r="C18" s="3325"/>
      <c r="D18" s="3320" t="s">
        <v>3245</v>
      </c>
      <c r="E18" s="3326"/>
      <c r="F18" s="3321" t="s">
        <v>3248</v>
      </c>
      <c r="G18" s="3325">
        <f>ROUND(1-(1/(POWER(1+G24,E18))),4)</f>
        <v>0</v>
      </c>
      <c r="H18" s="3321" t="s">
        <v>3250</v>
      </c>
      <c r="I18" s="3325">
        <f>ROUND(1-(1/(POWER(1+G24,J24))),4)</f>
        <v>0.96709999999999996</v>
      </c>
      <c r="J18" s="3331"/>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5"/>
    </row>
    <row r="19" spans="1:37" s="2013" customFormat="1" ht="14.4" thickBot="1">
      <c r="A19" s="3332"/>
      <c r="B19" s="3333"/>
      <c r="C19" s="3334"/>
      <c r="D19" s="3334" t="s">
        <v>3246</v>
      </c>
      <c r="E19" s="3335"/>
      <c r="F19" s="3336" t="s">
        <v>3249</v>
      </c>
      <c r="G19" s="3335"/>
      <c r="H19" s="3334"/>
      <c r="I19" s="3334"/>
      <c r="J19" s="3337"/>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8"/>
      <c r="AH19" s="2140"/>
      <c r="AI19" s="2789"/>
      <c r="AJ19" s="2789"/>
      <c r="AK19" s="2056"/>
    </row>
    <row r="20" spans="1:37" s="2013" customFormat="1" ht="13.8">
      <c r="A20" s="3776" t="s">
        <v>3251</v>
      </c>
      <c r="B20" s="167" t="s">
        <v>1994</v>
      </c>
      <c r="C20" s="3322">
        <f>ROUND(IF(F21="与级别开发程度一致",0,(G21-E21)/C21),0)</f>
        <v>0</v>
      </c>
      <c r="D20" s="3338" t="s">
        <v>1998</v>
      </c>
      <c r="E20" s="3339"/>
      <c r="F20" s="3782" t="s">
        <v>1995</v>
      </c>
      <c r="G20" s="3783"/>
      <c r="H20" s="3323"/>
      <c r="I20" s="3323"/>
      <c r="J20" s="3324"/>
      <c r="K20" s="2046"/>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5"/>
      <c r="AH20" s="2785"/>
      <c r="AI20" s="2785"/>
      <c r="AJ20" s="2785"/>
    </row>
    <row r="21" spans="1:37" s="2013" customFormat="1" ht="27" thickBot="1">
      <c r="A21" s="3777"/>
      <c r="B21" s="2163" t="s">
        <v>1997</v>
      </c>
      <c r="C21" s="2164">
        <f>IF(E3="M4科研用地",SUMPRODUCT((修正!A2:A7=E3)*(修正!B1:M1=G2)*(修正!B2:M7)),SUMPRODUCT((修正!A2:A7=E2)*(修正!B1:M1=G2)*(修正!B2:M7)))</f>
        <v>2.5</v>
      </c>
      <c r="D21" s="187" t="str">
        <f>IF(OR(G2="八级",G2="九级",G2="十级",G2="十一级",G2="十二级"),"五通一平","七通一平")</f>
        <v>七通一平</v>
      </c>
      <c r="E21" s="2154">
        <f>SUMPRODUCT((修正!B1:M1=G2)*(修正!B17:M17))</f>
        <v>375</v>
      </c>
      <c r="F21" s="2155" t="s">
        <v>3479</v>
      </c>
      <c r="G21" s="2156">
        <f>SUM(H21:O21)</f>
        <v>0</v>
      </c>
      <c r="H21" s="2164">
        <f>SUMPRODUCT((七通一平=H20)*(修正!B1:M1=G2)*(修正!B8:M16))</f>
        <v>0</v>
      </c>
      <c r="I21" s="2164">
        <f>SUMPRODUCT((七通一平=I20)*(修正!B1:M1=G2)*(修正!B8:M16))</f>
        <v>0</v>
      </c>
      <c r="J21" s="2165">
        <f>SUMPRODUCT((七通一平=J20)*(修正!B1:M1=G2)*(修正!B8:M16))</f>
        <v>0</v>
      </c>
      <c r="K21" s="2164">
        <f>SUMPRODUCT((七通一平=K20)*(修正!B1:M1=G2)*(修正!B8:M16))</f>
        <v>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5"/>
      <c r="R21" s="1124"/>
      <c r="S21" s="1124"/>
      <c r="T21" s="1120"/>
      <c r="U21" s="1120"/>
      <c r="V21" s="1120"/>
      <c r="W21" s="1119"/>
      <c r="X21" s="1119"/>
      <c r="Y21" s="1119"/>
      <c r="Z21" s="1125"/>
      <c r="AA21" s="1125"/>
      <c r="AB21" s="1125"/>
      <c r="AC21" s="1125"/>
      <c r="AD21" s="1125"/>
      <c r="AE21" s="1125"/>
      <c r="AF21" s="1125"/>
      <c r="AG21" s="2785"/>
      <c r="AH21" s="2785"/>
      <c r="AI21" s="2785"/>
      <c r="AJ21" s="2785"/>
    </row>
    <row r="22" spans="1:37" s="2013" customFormat="1" ht="15" thickBot="1">
      <c r="A22" s="2157" t="s">
        <v>363</v>
      </c>
      <c r="B22" s="2158" t="s">
        <v>2000</v>
      </c>
      <c r="C22" s="2159">
        <f>SUMIF(修正!C20:C51,E3,修正!E20:E51)</f>
        <v>1</v>
      </c>
      <c r="D22" s="2160"/>
      <c r="E22" s="2161"/>
      <c r="F22" s="2161"/>
      <c r="G22" s="2161"/>
      <c r="H22" s="2161"/>
      <c r="I22" s="2161"/>
      <c r="J22" s="2162"/>
      <c r="K22" s="1125"/>
      <c r="L22" s="2785"/>
      <c r="M22" s="2785"/>
      <c r="N22" s="2785"/>
      <c r="O22" s="1123"/>
      <c r="P22" s="1123"/>
      <c r="Q22" s="2785"/>
      <c r="R22" s="1124"/>
      <c r="S22" s="1124"/>
      <c r="T22" s="1120"/>
      <c r="U22" s="1120"/>
      <c r="V22" s="1120"/>
      <c r="W22" s="1119"/>
      <c r="X22" s="1119"/>
      <c r="Y22" s="1119"/>
      <c r="Z22" s="1125"/>
      <c r="AA22" s="1125"/>
      <c r="AB22" s="1125"/>
      <c r="AC22" s="1125"/>
      <c r="AD22" s="1125"/>
      <c r="AE22" s="1125"/>
      <c r="AF22" s="1125"/>
      <c r="AG22" s="2785"/>
      <c r="AH22" s="2785"/>
      <c r="AI22" s="2785"/>
      <c r="AJ22" s="2785"/>
    </row>
    <row r="23" spans="1:37" ht="27" thickBot="1">
      <c r="A23" s="2049" t="s">
        <v>364</v>
      </c>
      <c r="B23" s="2050" t="s">
        <v>2001</v>
      </c>
      <c r="C23" s="760">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1.0672999999999999</v>
      </c>
      <c r="D23" s="2053" t="s">
        <v>2002</v>
      </c>
      <c r="E23" s="761">
        <v>44197</v>
      </c>
      <c r="F23" s="2053" t="s">
        <v>2003</v>
      </c>
      <c r="G23" s="762">
        <f>'数据-取费表'!B2</f>
        <v>45622</v>
      </c>
      <c r="H23" s="3340" t="s">
        <v>3253</v>
      </c>
      <c r="I23" s="3341" t="str">
        <f>IF(H23="季度增幅（自定义）",SUMIF(N25:N28,E2,O25:O28),"")</f>
        <v/>
      </c>
      <c r="J23" s="3443" t="s">
        <v>3252</v>
      </c>
      <c r="K23" s="1125"/>
      <c r="L23" s="2054" t="s">
        <v>2004</v>
      </c>
      <c r="M23" s="1327">
        <f>ROUND(SUMIF(地价!B2:G2,E2,地价!B16:G16),0)</f>
        <v>687</v>
      </c>
      <c r="N23" s="2055" t="s">
        <v>2005</v>
      </c>
      <c r="O23" s="763">
        <f>ROUNDDOWN(DATEDIF(E23,G23,"M")/3,0)</f>
        <v>15</v>
      </c>
      <c r="P23" s="1122"/>
      <c r="Q23" s="2785"/>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6" thickBot="1">
      <c r="A24" s="2057" t="s">
        <v>365</v>
      </c>
      <c r="B24" s="2058" t="s">
        <v>2006</v>
      </c>
      <c r="C24" s="764">
        <f>ROUND(POWER(1+G24,J24-I24)*(POWER(1+G24,I24)-1)/(POWER(1+G24,J24)-1),4)</f>
        <v>0.92179999999999995</v>
      </c>
      <c r="D24" s="2059" t="s">
        <v>2007</v>
      </c>
      <c r="E24" s="1334">
        <f>存贷款利率!E27/100</f>
        <v>4.3499999999999997E-2</v>
      </c>
      <c r="F24" s="2059" t="s">
        <v>1999</v>
      </c>
      <c r="G24" s="768">
        <f>SUMIF(M30:Q30,E2,M33:Q33)</f>
        <v>0.05</v>
      </c>
      <c r="H24" s="2059" t="s">
        <v>2008</v>
      </c>
      <c r="I24" s="769">
        <f>SUMIF('数据-取费表'!C6:C15,E2,'数据-取费表'!F6:F15)/COUNTIF('数据-取费表'!C6:C15,E2)</f>
        <v>45.53</v>
      </c>
      <c r="J24" s="770">
        <f>IF(E2="住宅",70,IF(E2="商业",40,50))</f>
        <v>70</v>
      </c>
      <c r="K24" s="1125"/>
      <c r="L24" s="2060" t="s">
        <v>2009</v>
      </c>
      <c r="M24" s="1328">
        <f>ROUND(SUMPRODUCT((地价!A4:A16=YEAR(G23)&amp;"-"&amp;ROUNDUP(MONTH(G23)/3,0))*(地价!B2:G2=E2)*(地价!B4:G16)),0)</f>
        <v>0</v>
      </c>
      <c r="N24" s="2061" t="s">
        <v>2010</v>
      </c>
      <c r="O24" s="2062" t="s">
        <v>2011</v>
      </c>
      <c r="P24" s="2063" t="s">
        <v>2012</v>
      </c>
      <c r="Q24" s="1996"/>
      <c r="R24" s="1124"/>
      <c r="S24" s="1124"/>
      <c r="T24" s="1120"/>
      <c r="U24" s="1120"/>
      <c r="V24" s="1120"/>
      <c r="W24" s="1119"/>
      <c r="X24" s="1119"/>
      <c r="Y24" s="1119"/>
      <c r="Z24" s="1125"/>
      <c r="AA24" s="1125"/>
      <c r="AB24" s="1125"/>
      <c r="AC24" s="1125"/>
      <c r="AD24" s="1125"/>
      <c r="AE24" s="1125"/>
      <c r="AF24" s="1125"/>
      <c r="AG24" s="2785"/>
      <c r="AH24" s="2785"/>
      <c r="AI24" s="2785"/>
      <c r="AJ24" s="2785"/>
    </row>
    <row r="25" spans="1:37" ht="14.4">
      <c r="A25" s="2064" t="s">
        <v>366</v>
      </c>
      <c r="B25" s="2065" t="s">
        <v>3332</v>
      </c>
      <c r="C25" s="771">
        <f>ROUND(0.7836-0.012*11.72,4)</f>
        <v>0.64300000000000002</v>
      </c>
      <c r="D25" s="2066"/>
      <c r="E25" s="2066"/>
      <c r="F25" s="2066"/>
      <c r="G25" s="2066"/>
      <c r="H25" s="2066"/>
      <c r="I25" s="2066"/>
      <c r="J25" s="2067"/>
      <c r="K25" s="1125"/>
      <c r="L25" s="2785"/>
      <c r="M25" s="2785"/>
      <c r="N25" s="2068" t="s">
        <v>2013</v>
      </c>
      <c r="O25" s="1173"/>
      <c r="P25" s="1174">
        <f>SUMPRODUCT((地价!A3:A40=YEAR(G23)&amp;"-"&amp;ROUNDUP(MONTH(G23)/3,0))*(地价!AD2:AH2=N25)*(地价!AD3:AH40))</f>
        <v>0</v>
      </c>
      <c r="Q25" s="2785"/>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4">
      <c r="A26" s="1954" t="s">
        <v>2014</v>
      </c>
      <c r="B26" s="2069" t="s">
        <v>2015</v>
      </c>
      <c r="C26" s="3342" t="s">
        <v>3254</v>
      </c>
      <c r="D26" s="1351" t="str">
        <f>IF(E26=G26,F26,IF(G3&lt;10,ROUND(F26+(H26-F26)*(G3-E26)/(G26-E26),4),"——"))</f>
        <v>——</v>
      </c>
      <c r="E26" s="752">
        <f>ROUNDDOWN(G3,1)</f>
        <v>11.7</v>
      </c>
      <c r="F26" s="1351"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752">
        <f>ROUNDUP(G3,1)</f>
        <v>11.799999999999999</v>
      </c>
      <c r="H26" s="1351"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3342" t="s">
        <v>3255</v>
      </c>
      <c r="J26" s="772">
        <f>IF(G3&gt;=10,D115,"——")</f>
        <v>0</v>
      </c>
      <c r="K26" s="1125"/>
      <c r="L26" s="2785"/>
      <c r="M26" s="2785"/>
      <c r="N26" s="2068" t="s">
        <v>2016</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 thickBot="1">
      <c r="A27" s="1954" t="s">
        <v>2017</v>
      </c>
      <c r="B27" s="2070" t="s">
        <v>2018</v>
      </c>
      <c r="C27" s="841">
        <f>ROUND(IF(I3&lt;6,SUMPRODUCT((B106:B110=I3)*(C105:N105=G2)*(C106:N110)),SUMIF(C105:N105,G2,C112:N112)),4)</f>
        <v>0</v>
      </c>
      <c r="D27" s="2045"/>
      <c r="E27" s="2045"/>
      <c r="F27" s="2071"/>
      <c r="G27" s="2072"/>
      <c r="H27" s="2073"/>
      <c r="I27" s="2074"/>
      <c r="J27" s="2075"/>
      <c r="K27" s="1119"/>
      <c r="L27" s="1996"/>
      <c r="M27" s="1996"/>
      <c r="N27" s="2068" t="s">
        <v>2019</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 thickBot="1">
      <c r="A28" s="2057" t="s">
        <v>367</v>
      </c>
      <c r="B28" s="2050" t="s">
        <v>2020</v>
      </c>
      <c r="C28" s="760">
        <f>SUMIF(A47:A101,E2,B47:B101)</f>
        <v>1.0339</v>
      </c>
      <c r="D28" s="2051"/>
      <c r="E28" s="2076"/>
      <c r="F28" s="2076"/>
      <c r="G28" s="2076"/>
      <c r="H28" s="2076"/>
      <c r="I28" s="2076"/>
      <c r="J28" s="2077"/>
      <c r="K28" s="1125"/>
      <c r="L28" s="2785"/>
      <c r="M28" s="2785"/>
      <c r="N28" s="2078"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 thickBot="1">
      <c r="A29" s="2057" t="s">
        <v>368</v>
      </c>
      <c r="B29" s="2079" t="s">
        <v>2022</v>
      </c>
      <c r="C29" s="765"/>
      <c r="D29" s="2023"/>
      <c r="E29" s="2023"/>
      <c r="F29" s="2080"/>
      <c r="G29" s="2023"/>
      <c r="H29" s="2023"/>
      <c r="I29" s="2023"/>
      <c r="J29" s="2024"/>
      <c r="K29" s="1119"/>
      <c r="L29" s="1996"/>
      <c r="M29" s="1996"/>
      <c r="N29" s="2782" t="s">
        <v>2023</v>
      </c>
      <c r="O29" s="2783"/>
      <c r="P29" s="2784">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4.4">
      <c r="A30" s="2081"/>
      <c r="B30" s="2069" t="s">
        <v>2024</v>
      </c>
      <c r="C30" s="2320">
        <f>IF(B25="容积率修正",E33+SUM(E37:E42),SUM(V2:V16)+SUM(E37:E42))</f>
        <v>804</v>
      </c>
      <c r="D30" s="2082"/>
      <c r="E30" s="2045"/>
      <c r="F30" s="2083"/>
      <c r="G30" s="2045"/>
      <c r="H30" s="2045"/>
      <c r="I30" s="2045"/>
      <c r="J30" s="2084"/>
      <c r="K30" s="1119"/>
      <c r="L30" s="3348" t="s">
        <v>1936</v>
      </c>
      <c r="M30" s="3349" t="s">
        <v>1990</v>
      </c>
      <c r="N30" s="3349" t="s">
        <v>1991</v>
      </c>
      <c r="O30" s="3349" t="s">
        <v>1992</v>
      </c>
      <c r="P30" s="3349" t="s">
        <v>1993</v>
      </c>
      <c r="Q30" s="3352" t="s">
        <v>3259</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 thickBot="1">
      <c r="A31" s="2081"/>
      <c r="B31" s="2085" t="s">
        <v>2025</v>
      </c>
      <c r="C31" s="766">
        <f>E34+SUM(I37:I42)</f>
        <v>0</v>
      </c>
      <c r="D31" s="2086"/>
      <c r="E31" s="2087"/>
      <c r="F31" s="2088"/>
      <c r="G31" s="2087"/>
      <c r="H31" s="2087"/>
      <c r="I31" s="2087"/>
      <c r="J31" s="2089"/>
      <c r="K31" s="1119"/>
      <c r="L31" s="3350" t="s">
        <v>1996</v>
      </c>
      <c r="M31" s="1999">
        <v>0.25</v>
      </c>
      <c r="N31" s="1999">
        <v>0.2</v>
      </c>
      <c r="O31" s="1999">
        <v>0.15</v>
      </c>
      <c r="P31" s="1999">
        <v>0.1</v>
      </c>
      <c r="Q31" s="3345">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 thickBot="1">
      <c r="A32" s="2090"/>
      <c r="B32" s="2091" t="s">
        <v>2026</v>
      </c>
      <c r="C32" s="2092" t="s">
        <v>2027</v>
      </c>
      <c r="D32" s="2092" t="s">
        <v>2028</v>
      </c>
      <c r="E32" s="2093" t="s">
        <v>2029</v>
      </c>
      <c r="F32" s="2094"/>
      <c r="G32" s="2036"/>
      <c r="H32" s="2036"/>
      <c r="I32" s="2036"/>
      <c r="J32" s="2037"/>
      <c r="K32" s="1119"/>
      <c r="L32" s="3351" t="s">
        <v>1999</v>
      </c>
      <c r="M32" s="2567">
        <f>ROUND($E$24*(1+M31),3)</f>
        <v>5.3999999999999999E-2</v>
      </c>
      <c r="N32" s="2567">
        <f>ROUND($E$24*(1+N31),3)</f>
        <v>5.1999999999999998E-2</v>
      </c>
      <c r="O32" s="2567">
        <f>ROUND($E$24*(1+O31),3)</f>
        <v>0.05</v>
      </c>
      <c r="P32" s="2567">
        <f>ROUND($E$24*(1+P31),3)</f>
        <v>4.8000000000000001E-2</v>
      </c>
      <c r="Q32" s="3353">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3.8">
      <c r="A33" s="2095"/>
      <c r="B33" s="2096" t="s">
        <v>2030</v>
      </c>
      <c r="C33" s="175">
        <f>ROUND(C5*C22*C23*C24*C25*C28,0)</f>
        <v>21379</v>
      </c>
      <c r="D33" s="2097">
        <f>'数据-汇总表'!F19</f>
        <v>375.87</v>
      </c>
      <c r="E33" s="773">
        <f>ROUND(C33*D33/10000,0)</f>
        <v>804</v>
      </c>
      <c r="F33" s="3343" t="s">
        <v>3257</v>
      </c>
      <c r="G33" s="2098"/>
      <c r="H33" s="2098"/>
      <c r="I33" s="2098"/>
      <c r="J33" s="2099"/>
      <c r="K33" s="1119"/>
      <c r="L33" s="3346" t="s">
        <v>3260</v>
      </c>
      <c r="M33" s="3347">
        <v>5.5E-2</v>
      </c>
      <c r="N33" s="3347">
        <v>5.5E-2</v>
      </c>
      <c r="O33" s="3347">
        <v>0.05</v>
      </c>
      <c r="P33" s="3347">
        <v>0.05</v>
      </c>
      <c r="Q33" s="3347">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8" thickBot="1">
      <c r="A34" s="2100"/>
      <c r="B34" s="2101" t="s">
        <v>2031</v>
      </c>
      <c r="C34" s="187">
        <f>ROUND(IF(E2="工业",C33*M42,IF(B25="楼层修正",SUM(V2:V16)*M41*10000/D34,C33*M41)),0)</f>
        <v>5345</v>
      </c>
      <c r="D34" s="2102"/>
      <c r="E34" s="773">
        <f>ROUND(IF(B25="楼层修正",SUM(V2:V16)*M40,C34*D34/10000),0)</f>
        <v>0</v>
      </c>
      <c r="F34" s="2103" t="s">
        <v>2032</v>
      </c>
      <c r="G34" s="2104"/>
      <c r="H34" s="2104"/>
      <c r="I34" s="2104"/>
      <c r="J34" s="2105"/>
      <c r="K34" s="1119"/>
      <c r="L34" s="3346" t="s">
        <v>3261</v>
      </c>
      <c r="M34" s="3347">
        <v>6.5000000000000002E-2</v>
      </c>
      <c r="N34" s="3347">
        <v>6.5000000000000002E-2</v>
      </c>
      <c r="O34" s="3347">
        <v>0.06</v>
      </c>
      <c r="P34" s="3347">
        <v>0.06</v>
      </c>
      <c r="Q34" s="3347">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2033</v>
      </c>
      <c r="C35" s="3344" t="s">
        <v>3258</v>
      </c>
      <c r="D35" s="2036"/>
      <c r="E35" s="2108"/>
      <c r="F35" s="2108"/>
      <c r="G35" s="2034" t="s">
        <v>2034</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36.6" thickBot="1">
      <c r="A36" s="2095"/>
      <c r="B36" s="2110"/>
      <c r="C36" s="450" t="s">
        <v>2027</v>
      </c>
      <c r="D36" s="447" t="s">
        <v>2028</v>
      </c>
      <c r="E36" s="447" t="s">
        <v>2029</v>
      </c>
      <c r="F36" s="342" t="s">
        <v>2035</v>
      </c>
      <c r="G36" s="2111" t="s">
        <v>2027</v>
      </c>
      <c r="H36" s="2111" t="s">
        <v>2028</v>
      </c>
      <c r="I36" s="2111" t="s">
        <v>2029</v>
      </c>
      <c r="J36" s="243"/>
      <c r="K36" s="3354" t="s">
        <v>3262</v>
      </c>
      <c r="L36" s="3444">
        <f ca="1">'数据-取费表'!B40</f>
        <v>4.7500000000000001E-2</v>
      </c>
      <c r="M36" s="3355">
        <f ca="1">ROUND($L$36*(1+M31),3)</f>
        <v>5.8999999999999997E-2</v>
      </c>
      <c r="N36" s="3355">
        <f ca="1">ROUND($L$36*(1+N31),3)</f>
        <v>5.7000000000000002E-2</v>
      </c>
      <c r="O36" s="3355">
        <f ca="1">ROUND($L$36*(1+O31),3)</f>
        <v>5.5E-2</v>
      </c>
      <c r="P36" s="3355">
        <f ca="1">ROUND($L$36*(1+P31),3)</f>
        <v>5.1999999999999998E-2</v>
      </c>
      <c r="Q36" s="3355">
        <f ca="1">ROUND($L$36*(1+Q31),3)</f>
        <v>5.5E-2</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6" thickBot="1">
      <c r="A37" s="3780"/>
      <c r="B37" s="2112" t="s">
        <v>2036</v>
      </c>
      <c r="C37" s="175">
        <f>ROUND(D5*C22*C23*C24*C28*F37,0)</f>
        <v>20151</v>
      </c>
      <c r="D37" s="2097"/>
      <c r="E37" s="171">
        <f>ROUND(C37*D37/10000,0)</f>
        <v>0</v>
      </c>
      <c r="F37" s="171">
        <f>SUMIF(修正!A57:A68,G2,修正!B57:B68)</f>
        <v>0.7</v>
      </c>
      <c r="G37" s="171">
        <f>ROUND(IF(E2="工业",C37*$M$42,C37*$M$41),0)</f>
        <v>5038</v>
      </c>
      <c r="H37" s="171">
        <f>D37</f>
        <v>0</v>
      </c>
      <c r="I37" s="171">
        <f>ROUND(G37*H37/10000,0)</f>
        <v>0</v>
      </c>
      <c r="J37" s="3009"/>
      <c r="K37" s="3356" t="s">
        <v>3263</v>
      </c>
      <c r="L37" s="3354">
        <f ca="1">L36+K38</f>
        <v>5.2499999999999998E-2</v>
      </c>
      <c r="M37" s="3355">
        <f ca="1">ROUND($L$37*(1+M31),3)</f>
        <v>6.6000000000000003E-2</v>
      </c>
      <c r="N37" s="3355">
        <f t="shared" ref="N37:Q37" ca="1" si="3">ROUND($L$37*(1+N31),3)</f>
        <v>6.3E-2</v>
      </c>
      <c r="O37" s="3355">
        <f t="shared" ca="1" si="3"/>
        <v>0.06</v>
      </c>
      <c r="P37" s="3355">
        <f t="shared" ca="1" si="3"/>
        <v>5.8000000000000003E-2</v>
      </c>
      <c r="Q37" s="3355">
        <f t="shared" ca="1" si="3"/>
        <v>0.06</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81"/>
      <c r="B38" s="2040" t="s">
        <v>2037</v>
      </c>
      <c r="C38" s="175">
        <f>ROUND(D5*C22*C23*C24*C28*F38,0)</f>
        <v>11515</v>
      </c>
      <c r="D38" s="2097"/>
      <c r="E38" s="171">
        <f t="shared" ref="E38:E42" si="4">ROUND(C38*D38/10000,0)</f>
        <v>0</v>
      </c>
      <c r="F38" s="171">
        <f>SUMIF(修正!A57:A68,G2,修正!C57:C68)</f>
        <v>0.4</v>
      </c>
      <c r="G38" s="171">
        <f>ROUND(IF(E2="工业",C38*$M$42,C38*$M$41),0)</f>
        <v>2879</v>
      </c>
      <c r="H38" s="171">
        <f t="shared" ref="H38:H42" si="5">D38</f>
        <v>0</v>
      </c>
      <c r="I38" s="171">
        <f t="shared" ref="I38:I42" si="6">ROUND(G38*H38/10000,0)</f>
        <v>0</v>
      </c>
      <c r="J38" s="3008"/>
      <c r="K38" s="3354">
        <v>5.0000000000000001E-3</v>
      </c>
      <c r="L38" s="3354"/>
      <c r="M38" s="3354"/>
      <c r="N38" s="3354"/>
      <c r="O38" s="3354"/>
      <c r="P38" s="3354"/>
      <c r="Q38" s="3354"/>
      <c r="R38" s="1119"/>
      <c r="S38" s="1119"/>
      <c r="T38" s="1119"/>
      <c r="U38" s="1119"/>
      <c r="V38" s="1119"/>
      <c r="W38" s="1119"/>
      <c r="X38" s="1119"/>
      <c r="Y38" s="1119"/>
      <c r="Z38" s="1120"/>
      <c r="AA38" s="1120"/>
      <c r="AB38" s="1120"/>
      <c r="AC38" s="1120"/>
      <c r="AD38" s="1120"/>
    </row>
    <row r="39" spans="1:37" ht="13.8" thickBot="1">
      <c r="A39" s="3781"/>
      <c r="B39" s="2040" t="s">
        <v>3256</v>
      </c>
      <c r="C39" s="175">
        <f>ROUND(D5*C22*C23*C24*C28*F39,0)</f>
        <v>8636</v>
      </c>
      <c r="D39" s="2097"/>
      <c r="E39" s="171">
        <f t="shared" si="4"/>
        <v>0</v>
      </c>
      <c r="F39" s="171">
        <f>SUMIF(修正!A57:A68,G2,修正!D57:D68)</f>
        <v>0.3</v>
      </c>
      <c r="G39" s="171">
        <f>ROUND(IF(E2="工业",C39*$M$42,C39*$M$41),0)</f>
        <v>2159</v>
      </c>
      <c r="H39" s="171">
        <f t="shared" si="5"/>
        <v>0</v>
      </c>
      <c r="I39" s="171">
        <f t="shared" si="6"/>
        <v>0</v>
      </c>
      <c r="J39" s="3008"/>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2038</v>
      </c>
      <c r="C40" s="171">
        <f>ROUND(D5*C22*C23*C24*C28*F40,0)</f>
        <v>8636</v>
      </c>
      <c r="D40" s="2097"/>
      <c r="E40" s="171">
        <f t="shared" si="4"/>
        <v>0</v>
      </c>
      <c r="F40" s="175">
        <f>SUMIF(修正!A57:A68,G2,修正!E57:E68)</f>
        <v>0.3</v>
      </c>
      <c r="G40" s="171">
        <f>ROUND(IF(E2="工业",C40*$M$42,C40*$M$41),0)</f>
        <v>2159</v>
      </c>
      <c r="H40" s="171">
        <f t="shared" si="5"/>
        <v>0</v>
      </c>
      <c r="I40" s="171">
        <f t="shared" si="6"/>
        <v>0</v>
      </c>
      <c r="J40" s="2113"/>
      <c r="L40" s="2115" t="s">
        <v>2039</v>
      </c>
      <c r="M40" s="2116"/>
      <c r="Z40" s="1120"/>
      <c r="AA40" s="1120"/>
      <c r="AB40" s="1120"/>
      <c r="AC40" s="1120"/>
      <c r="AD40" s="1120"/>
      <c r="AE40" s="1120"/>
      <c r="AF40" s="1120"/>
      <c r="AG40" s="1120"/>
      <c r="AH40" s="1120"/>
      <c r="AI40" s="1120"/>
      <c r="AJ40" s="1120"/>
    </row>
    <row r="41" spans="1:37" s="1119" customFormat="1">
      <c r="A41" s="2114"/>
      <c r="B41" s="2040" t="s">
        <v>2040</v>
      </c>
      <c r="C41" s="171">
        <f>ROUND(D5*C22*C23*C44*C28*F41,0)</f>
        <v>0</v>
      </c>
      <c r="D41" s="2097"/>
      <c r="E41" s="171">
        <f t="shared" si="4"/>
        <v>0</v>
      </c>
      <c r="F41" s="175">
        <f>SUMIF(修正!A57:A68,G2,修正!F57:F68)</f>
        <v>0.3</v>
      </c>
      <c r="G41" s="171">
        <f>ROUND(IF(E2="工业",C41*$M$42,C41*$M$41),0)</f>
        <v>0</v>
      </c>
      <c r="H41" s="171">
        <f t="shared" si="5"/>
        <v>0</v>
      </c>
      <c r="I41" s="171">
        <f t="shared" si="6"/>
        <v>0</v>
      </c>
      <c r="J41" s="2113"/>
      <c r="L41" s="3357" t="s">
        <v>3264</v>
      </c>
      <c r="M41" s="2117">
        <v>0.25</v>
      </c>
      <c r="Z41" s="1120"/>
      <c r="AA41" s="1120"/>
      <c r="AB41" s="1120"/>
      <c r="AC41" s="1120"/>
      <c r="AD41" s="1120"/>
      <c r="AE41" s="1120"/>
      <c r="AF41" s="1120"/>
      <c r="AG41" s="1120"/>
      <c r="AH41" s="1120"/>
      <c r="AI41" s="1120"/>
      <c r="AJ41" s="1120"/>
    </row>
    <row r="42" spans="1:37" s="1119" customFormat="1" ht="13.8" thickBot="1">
      <c r="A42" s="2100"/>
      <c r="B42" s="2118" t="s">
        <v>2041</v>
      </c>
      <c r="C42" s="187">
        <f>ROUND(D5*C22*C23*C44*C28*F42,0)</f>
        <v>0</v>
      </c>
      <c r="D42" s="2102"/>
      <c r="E42" s="187">
        <f t="shared" si="4"/>
        <v>0</v>
      </c>
      <c r="F42" s="767">
        <f>SUMIF(修正!A57:A68,G2,修正!G57:G68)</f>
        <v>0.2</v>
      </c>
      <c r="G42" s="187">
        <f>ROUND(IF(E2="工业",C42*$M$42,C42*$M$41),0)</f>
        <v>0</v>
      </c>
      <c r="H42" s="187">
        <f t="shared" si="5"/>
        <v>0</v>
      </c>
      <c r="I42" s="187">
        <f t="shared" si="6"/>
        <v>0</v>
      </c>
      <c r="J42" s="2119"/>
      <c r="L42" s="2120" t="s">
        <v>1993</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3" t="s">
        <v>2120</v>
      </c>
      <c r="C44" s="342">
        <f>ROUND(POWER(1+E44,H44-G44)*(POWER(1+E44,G44)-1)/(POWER(1+E44,H44)-1),4)</f>
        <v>0</v>
      </c>
      <c r="D44" s="171" t="s">
        <v>1999</v>
      </c>
      <c r="E44" s="2152">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 thickBot="1">
      <c r="A47" s="2123" t="s">
        <v>2042</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4.4" hidden="1">
      <c r="A48" s="2125" t="s">
        <v>2043</v>
      </c>
      <c r="B48" s="2126">
        <f>1+E50</f>
        <v>1</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5.2" hidden="1">
      <c r="A49" s="2129" t="s">
        <v>2044</v>
      </c>
      <c r="B49" s="1350" t="s">
        <v>2045</v>
      </c>
      <c r="C49" s="1350" t="s">
        <v>2046</v>
      </c>
      <c r="D49" s="1350" t="s">
        <v>2047</v>
      </c>
      <c r="E49" s="743" t="s">
        <v>2048</v>
      </c>
      <c r="F49" s="2130" t="s">
        <v>2049</v>
      </c>
      <c r="G49" s="1350" t="s">
        <v>310</v>
      </c>
      <c r="H49" s="2131"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hidden="1">
      <c r="A50" s="2129" t="s">
        <v>2052</v>
      </c>
      <c r="B50" s="2132" t="str">
        <f>估价对象房地状况!C4</f>
        <v>估价对象位于XX商圈，周边商业氛围成熟，人流量大，商业繁华度好</v>
      </c>
      <c r="C50" s="2043"/>
      <c r="D50" s="1065">
        <f t="shared" ref="D50:D58" si="7">SUMIF($J$49:$N$49,C50,J50:N50)</f>
        <v>0</v>
      </c>
      <c r="E50" s="744">
        <f>ROUND(SUM(D50:D58),4)</f>
        <v>0</v>
      </c>
      <c r="F50" s="1813" t="str">
        <f>IF(E2="商业",SUMIF(L1:L12,G2,N1:N12),"——")</f>
        <v>——</v>
      </c>
      <c r="G50" s="1063"/>
      <c r="H50" s="1066" t="str">
        <f t="shared" ref="H50:H58" si="8">IFERROR(ROUNDDOWN($F$50*I50/2,4),"——")</f>
        <v>——</v>
      </c>
      <c r="I50" s="3364">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105.6" hidden="1">
      <c r="A51" s="2129" t="s">
        <v>2053</v>
      </c>
      <c r="B51" s="2133" t="str">
        <f>估价对象房地状况!C18</f>
        <v>估价对象周边有24路、117路、123路、132路、135路、413路、515路等多条公交线路，地铁2号线及13号线换乘站（东直门站），东直门长途汽车站等，综合评价交通便捷度较好</v>
      </c>
      <c r="C51" s="2043"/>
      <c r="D51" s="1065">
        <f t="shared" si="7"/>
        <v>0</v>
      </c>
      <c r="E51" s="745"/>
      <c r="F51" s="1813"/>
      <c r="G51" s="1063"/>
      <c r="H51" s="1066" t="str">
        <f t="shared" si="8"/>
        <v>——</v>
      </c>
      <c r="I51" s="3364">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48" hidden="1">
      <c r="A52" s="3366" t="s">
        <v>3266</v>
      </c>
      <c r="B52" s="2133">
        <f>估价对象房地状况!C19</f>
        <v>0</v>
      </c>
      <c r="C52" s="2043"/>
      <c r="D52" s="1065">
        <f t="shared" si="7"/>
        <v>0</v>
      </c>
      <c r="E52" s="745"/>
      <c r="F52" s="1813"/>
      <c r="G52" s="1063"/>
      <c r="H52" s="1066" t="str">
        <f t="shared" si="8"/>
        <v>——</v>
      </c>
      <c r="I52" s="3364">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7.200000000000003" hidden="1">
      <c r="A53" s="2129" t="s">
        <v>2054</v>
      </c>
      <c r="B53" s="2134" t="s">
        <v>2055</v>
      </c>
      <c r="C53" s="2043"/>
      <c r="D53" s="1065">
        <f t="shared" si="7"/>
        <v>0</v>
      </c>
      <c r="E53" s="745"/>
      <c r="F53" s="1813"/>
      <c r="G53" s="1063"/>
      <c r="H53" s="1066" t="str">
        <f t="shared" si="8"/>
        <v>——</v>
      </c>
      <c r="I53" s="3364">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9" t="s">
        <v>2056</v>
      </c>
      <c r="B54" s="2133" t="str">
        <f>估价对象房地状况!C24</f>
        <v>城市次干道——胡家园路</v>
      </c>
      <c r="C54" s="2043"/>
      <c r="D54" s="1065">
        <f t="shared" si="7"/>
        <v>0</v>
      </c>
      <c r="E54" s="745"/>
      <c r="F54" s="1813"/>
      <c r="G54" s="1063"/>
      <c r="H54" s="1066" t="str">
        <f t="shared" si="8"/>
        <v>——</v>
      </c>
      <c r="I54" s="3364">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36" hidden="1">
      <c r="A55" s="2129" t="s">
        <v>2057</v>
      </c>
      <c r="B55" s="2135" t="s">
        <v>2058</v>
      </c>
      <c r="C55" s="2043"/>
      <c r="D55" s="1065">
        <f t="shared" si="7"/>
        <v>0</v>
      </c>
      <c r="E55" s="745"/>
      <c r="F55" s="1813"/>
      <c r="G55" s="1063"/>
      <c r="H55" s="1066" t="str">
        <f t="shared" si="8"/>
        <v>——</v>
      </c>
      <c r="I55" s="3364">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6.4" hidden="1">
      <c r="A56" s="2136" t="s">
        <v>2059</v>
      </c>
      <c r="B56" s="1325" t="str">
        <f>估价对象房地状况!C21</f>
        <v>估价对象所在区域公共配套设施齐备情况</v>
      </c>
      <c r="C56" s="2043"/>
      <c r="D56" s="1065">
        <f t="shared" si="7"/>
        <v>0</v>
      </c>
      <c r="E56" s="745"/>
      <c r="F56" s="1813"/>
      <c r="G56" s="1063"/>
      <c r="H56" s="1066" t="str">
        <f t="shared" si="8"/>
        <v>——</v>
      </c>
      <c r="I56" s="3364">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4" hidden="1">
      <c r="A57" s="2136" t="s">
        <v>2060</v>
      </c>
      <c r="B57" s="2133" t="str">
        <f>估价对象房地状况!C22</f>
        <v>七通</v>
      </c>
      <c r="C57" s="2043"/>
      <c r="D57" s="1065">
        <f t="shared" si="7"/>
        <v>0</v>
      </c>
      <c r="E57" s="745"/>
      <c r="F57" s="1813"/>
      <c r="G57" s="1063"/>
      <c r="H57" s="1066" t="str">
        <f t="shared" si="8"/>
        <v>——</v>
      </c>
      <c r="I57" s="3364">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66.599999999999994" hidden="1" thickBot="1">
      <c r="A58" s="2137" t="s">
        <v>2061</v>
      </c>
      <c r="B58" s="2138" t="str">
        <f>估价对象房地状况!C20</f>
        <v>区域自然环境：亮马河、东城区亮马河公园；人文环境：工人体育场、东直门外清真寺；综合评价环境状况较好</v>
      </c>
      <c r="C58" s="2043"/>
      <c r="D58" s="1065">
        <f t="shared" si="7"/>
        <v>0</v>
      </c>
      <c r="E58" s="746"/>
      <c r="F58" s="1813"/>
      <c r="G58" s="1063"/>
      <c r="H58" s="1066" t="str">
        <f t="shared" si="8"/>
        <v>——</v>
      </c>
      <c r="I58" s="3365">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4.4" hidden="1">
      <c r="A59" s="2125" t="s">
        <v>2062</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hidden="1">
      <c r="A60" s="2129" t="s">
        <v>2044</v>
      </c>
      <c r="B60" s="1350"/>
      <c r="C60" s="1350" t="s">
        <v>2046</v>
      </c>
      <c r="D60" s="1350" t="s">
        <v>2047</v>
      </c>
      <c r="E60" s="743" t="s">
        <v>2048</v>
      </c>
      <c r="F60" s="2130" t="s">
        <v>2063</v>
      </c>
      <c r="G60" s="1350" t="s">
        <v>310</v>
      </c>
      <c r="H60" s="2131"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hidden="1">
      <c r="A61" s="2129" t="s">
        <v>2064</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4">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105.6" hidden="1">
      <c r="A62" s="2129" t="s">
        <v>2053</v>
      </c>
      <c r="B62" s="2133" t="str">
        <f>估价对象房地状况!C18</f>
        <v>估价对象周边有24路、117路、123路、132路、135路、413路、515路等多条公交线路，地铁2号线及13号线换乘站（东直门站），东直门长途汽车站等，综合评价交通便捷度较好</v>
      </c>
      <c r="C62" s="2043"/>
      <c r="D62" s="1065">
        <f t="shared" si="12"/>
        <v>0</v>
      </c>
      <c r="E62" s="745"/>
      <c r="F62" s="1813"/>
      <c r="G62" s="1063"/>
      <c r="H62" s="1066" t="str">
        <f t="shared" si="13"/>
        <v>——</v>
      </c>
      <c r="I62" s="3364">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hidden="1">
      <c r="A63" s="3366" t="s">
        <v>3266</v>
      </c>
      <c r="B63" s="2133">
        <f>估价对象房地状况!C19</f>
        <v>0</v>
      </c>
      <c r="C63" s="2043"/>
      <c r="D63" s="1065">
        <f t="shared" si="12"/>
        <v>0</v>
      </c>
      <c r="E63" s="745"/>
      <c r="F63" s="1813"/>
      <c r="G63" s="1063"/>
      <c r="H63" s="1066" t="str">
        <f t="shared" si="13"/>
        <v>——</v>
      </c>
      <c r="I63" s="3364">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hidden="1">
      <c r="A64" s="2129" t="s">
        <v>2054</v>
      </c>
      <c r="B64" s="2134" t="s">
        <v>2055</v>
      </c>
      <c r="C64" s="2043"/>
      <c r="D64" s="1065">
        <f t="shared" si="12"/>
        <v>0</v>
      </c>
      <c r="E64" s="745"/>
      <c r="F64" s="1813"/>
      <c r="G64" s="1063"/>
      <c r="H64" s="1066" t="str">
        <f t="shared" si="13"/>
        <v>——</v>
      </c>
      <c r="I64" s="3364">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9" t="s">
        <v>2056</v>
      </c>
      <c r="B65" s="2133" t="str">
        <f>估价对象房地状况!C24</f>
        <v>城市次干道——胡家园路</v>
      </c>
      <c r="C65" s="2043"/>
      <c r="D65" s="1065">
        <f t="shared" si="12"/>
        <v>0</v>
      </c>
      <c r="E65" s="745"/>
      <c r="F65" s="1813"/>
      <c r="G65" s="1063"/>
      <c r="H65" s="1066" t="str">
        <f t="shared" si="13"/>
        <v>——</v>
      </c>
      <c r="I65" s="3364">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hidden="1">
      <c r="A66" s="2129" t="s">
        <v>2057</v>
      </c>
      <c r="B66" s="2135" t="s">
        <v>2058</v>
      </c>
      <c r="C66" s="2043"/>
      <c r="D66" s="1065">
        <f t="shared" si="12"/>
        <v>0</v>
      </c>
      <c r="E66" s="745"/>
      <c r="F66" s="1813"/>
      <c r="G66" s="1063"/>
      <c r="H66" s="1066" t="str">
        <f t="shared" si="13"/>
        <v>——</v>
      </c>
      <c r="I66" s="3364">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hidden="1">
      <c r="A67" s="2129" t="s">
        <v>2059</v>
      </c>
      <c r="B67" s="1325" t="str">
        <f>估价对象房地状况!C21</f>
        <v>估价对象所在区域公共配套设施齐备情况</v>
      </c>
      <c r="C67" s="2043"/>
      <c r="D67" s="1065">
        <f t="shared" si="12"/>
        <v>0</v>
      </c>
      <c r="E67" s="745"/>
      <c r="F67" s="1813"/>
      <c r="G67" s="1063"/>
      <c r="H67" s="1066" t="str">
        <f t="shared" si="13"/>
        <v>——</v>
      </c>
      <c r="I67" s="3364">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4" hidden="1">
      <c r="A68" s="2129" t="s">
        <v>2060</v>
      </c>
      <c r="B68" s="1325" t="str">
        <f>估价对象房地状况!C22</f>
        <v>七通</v>
      </c>
      <c r="C68" s="2043"/>
      <c r="D68" s="1065">
        <f t="shared" si="12"/>
        <v>0</v>
      </c>
      <c r="E68" s="745"/>
      <c r="F68" s="1813"/>
      <c r="G68" s="1063"/>
      <c r="H68" s="1066" t="str">
        <f t="shared" si="13"/>
        <v>——</v>
      </c>
      <c r="I68" s="3364">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66.599999999999994" hidden="1" thickBot="1">
      <c r="A69" s="2137" t="s">
        <v>2061</v>
      </c>
      <c r="B69" s="2139" t="str">
        <f>估价对象房地状况!C20</f>
        <v>区域自然环境：亮马河、东城区亮马河公园；人文环境：工人体育场、东直门外清真寺；综合评价环境状况较好</v>
      </c>
      <c r="C69" s="2043"/>
      <c r="D69" s="1065">
        <f t="shared" si="12"/>
        <v>0</v>
      </c>
      <c r="E69" s="746"/>
      <c r="F69" s="1813"/>
      <c r="G69" s="1063"/>
      <c r="H69" s="1066" t="str">
        <f t="shared" si="13"/>
        <v>——</v>
      </c>
      <c r="I69" s="3365">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5" t="s">
        <v>2065</v>
      </c>
      <c r="B70" s="2126">
        <f>1+E72</f>
        <v>1.0339</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29" t="s">
        <v>2044</v>
      </c>
      <c r="B71" s="1350"/>
      <c r="C71" s="1350" t="s">
        <v>2046</v>
      </c>
      <c r="D71" s="1350" t="s">
        <v>2047</v>
      </c>
      <c r="E71" s="743" t="s">
        <v>2048</v>
      </c>
      <c r="F71" s="2130" t="s">
        <v>2063</v>
      </c>
      <c r="G71" s="1350" t="s">
        <v>310</v>
      </c>
      <c r="H71" s="2131"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66">
      <c r="A72" s="2129" t="s">
        <v>2066</v>
      </c>
      <c r="B72" s="2132" t="str">
        <f>估价对象房地状况!C15</f>
        <v>估价对象周边有梵悦108、使馆壹号院、海晟名苑、万国城MOMA等住宅小区，综合评价居住社区成熟度较好</v>
      </c>
      <c r="C72" s="2043" t="s">
        <v>3483</v>
      </c>
      <c r="D72" s="1065">
        <f t="shared" ref="D72:D80" si="17">SUMIF($J$71:$N$71,C72,J72:N72)</f>
        <v>6.4000000000000003E-3</v>
      </c>
      <c r="E72" s="744">
        <f>ROUND(SUM(D72:D80),4)</f>
        <v>3.39E-2</v>
      </c>
      <c r="F72" s="1813">
        <f>IF(E2="住宅",SUMIF(L1:L12,G2,N1:N12),"——")</f>
        <v>6.4000000000000001E-2</v>
      </c>
      <c r="G72" s="1063">
        <v>6.4000000000000003E-3</v>
      </c>
      <c r="H72" s="1066">
        <f t="shared" ref="H72:H80" si="18">IFERROR(ROUNDDOWN($F$72*I72/2,4),"——")</f>
        <v>6.4000000000000003E-3</v>
      </c>
      <c r="I72" s="3364">
        <v>0.2</v>
      </c>
      <c r="J72" s="1064">
        <f t="shared" ref="J72:J80" si="19">K72+$G72</f>
        <v>1.2800000000000001E-2</v>
      </c>
      <c r="K72" s="1064">
        <f t="shared" ref="K72:K80" si="20">$L72+$G72</f>
        <v>6.4000000000000003E-3</v>
      </c>
      <c r="L72" s="1064">
        <v>0</v>
      </c>
      <c r="M72" s="1064">
        <f t="shared" ref="M72:N80" si="21">L72-$G72</f>
        <v>-6.4000000000000003E-3</v>
      </c>
      <c r="N72" s="1064">
        <f t="shared" si="21"/>
        <v>-1.2800000000000001E-2</v>
      </c>
      <c r="AA72" s="1120"/>
      <c r="AB72" s="1120"/>
      <c r="AC72" s="1120"/>
      <c r="AD72" s="1120"/>
      <c r="AE72" s="1120"/>
      <c r="AF72" s="1120"/>
      <c r="AG72" s="1120"/>
      <c r="AH72" s="1120"/>
      <c r="AI72" s="1120"/>
      <c r="AJ72" s="1120"/>
      <c r="AK72" s="1120"/>
    </row>
    <row r="73" spans="1:37" s="1119" customFormat="1" ht="105.6">
      <c r="A73" s="2129" t="s">
        <v>2053</v>
      </c>
      <c r="B73" s="2133" t="str">
        <f>估价对象房地状况!C18</f>
        <v>估价对象周边有24路、117路、123路、132路、135路、413路、515路等多条公交线路，地铁2号线及13号线换乘站（东直门站），东直门长途汽车站等，综合评价交通便捷度较好</v>
      </c>
      <c r="C73" s="2043" t="s">
        <v>3483</v>
      </c>
      <c r="D73" s="1065">
        <f t="shared" si="17"/>
        <v>8.3000000000000001E-3</v>
      </c>
      <c r="E73" s="747"/>
      <c r="F73" s="1813"/>
      <c r="G73" s="1063">
        <v>8.3000000000000001E-3</v>
      </c>
      <c r="H73" s="1066">
        <f t="shared" si="18"/>
        <v>8.3000000000000001E-3</v>
      </c>
      <c r="I73" s="3364">
        <v>0.26</v>
      </c>
      <c r="J73" s="1064">
        <f t="shared" si="19"/>
        <v>1.66E-2</v>
      </c>
      <c r="K73" s="1064">
        <f t="shared" si="20"/>
        <v>8.3000000000000001E-3</v>
      </c>
      <c r="L73" s="1064">
        <v>0</v>
      </c>
      <c r="M73" s="1064">
        <f t="shared" si="21"/>
        <v>-8.3000000000000001E-3</v>
      </c>
      <c r="N73" s="1064">
        <f t="shared" si="21"/>
        <v>-1.66E-2</v>
      </c>
      <c r="AA73" s="1120"/>
      <c r="AB73" s="1120"/>
      <c r="AC73" s="1120"/>
      <c r="AD73" s="1120"/>
      <c r="AE73" s="1120"/>
      <c r="AF73" s="1120"/>
      <c r="AG73" s="1120"/>
      <c r="AH73" s="1120"/>
      <c r="AI73" s="1120"/>
      <c r="AJ73" s="1120"/>
      <c r="AK73" s="1120"/>
    </row>
    <row r="74" spans="1:37" s="1996" customFormat="1" ht="48">
      <c r="A74" s="3366" t="s">
        <v>3266</v>
      </c>
      <c r="B74" s="2133">
        <f>估价对象房地状况!C19</f>
        <v>0</v>
      </c>
      <c r="C74" s="2043" t="s">
        <v>3483</v>
      </c>
      <c r="D74" s="1065">
        <f t="shared" si="17"/>
        <v>3.2000000000000002E-3</v>
      </c>
      <c r="E74" s="747"/>
      <c r="F74" s="1813"/>
      <c r="G74" s="1063">
        <v>3.2000000000000002E-3</v>
      </c>
      <c r="H74" s="1066">
        <f t="shared" si="18"/>
        <v>3.2000000000000002E-3</v>
      </c>
      <c r="I74" s="3364">
        <v>0.1</v>
      </c>
      <c r="J74" s="1064">
        <f t="shared" si="19"/>
        <v>6.4000000000000003E-3</v>
      </c>
      <c r="K74" s="1064">
        <f t="shared" si="20"/>
        <v>3.2000000000000002E-3</v>
      </c>
      <c r="L74" s="1064">
        <v>0</v>
      </c>
      <c r="M74" s="1064">
        <f t="shared" si="21"/>
        <v>-3.2000000000000002E-3</v>
      </c>
      <c r="N74" s="1064">
        <f t="shared" si="21"/>
        <v>-6.4000000000000003E-3</v>
      </c>
      <c r="O74" s="1119"/>
      <c r="P74" s="1119"/>
      <c r="Q74" s="1119"/>
      <c r="AA74" s="2140"/>
      <c r="AB74" s="1120"/>
      <c r="AC74" s="1120"/>
      <c r="AD74" s="1120"/>
      <c r="AE74" s="1120"/>
      <c r="AF74" s="1120"/>
      <c r="AG74" s="1120"/>
      <c r="AH74" s="2140"/>
      <c r="AI74" s="2140"/>
      <c r="AJ74" s="2140"/>
      <c r="AK74" s="2140"/>
    </row>
    <row r="75" spans="1:37" ht="13.8">
      <c r="A75" s="2129" t="s">
        <v>2067</v>
      </c>
      <c r="B75" s="2133" t="str">
        <f>估价对象房地状况!C24</f>
        <v>城市次干道——胡家园路</v>
      </c>
      <c r="C75" s="2043" t="s">
        <v>3484</v>
      </c>
      <c r="D75" s="1065">
        <f t="shared" si="17"/>
        <v>0</v>
      </c>
      <c r="E75" s="747"/>
      <c r="F75" s="1813"/>
      <c r="G75" s="1063">
        <v>1.6000000000000001E-3</v>
      </c>
      <c r="H75" s="1066">
        <f t="shared" si="18"/>
        <v>1.6000000000000001E-3</v>
      </c>
      <c r="I75" s="3364">
        <v>0.05</v>
      </c>
      <c r="J75" s="1064">
        <f t="shared" si="19"/>
        <v>3.2000000000000002E-3</v>
      </c>
      <c r="K75" s="1064">
        <f t="shared" si="20"/>
        <v>1.6000000000000001E-3</v>
      </c>
      <c r="L75" s="1064">
        <v>0</v>
      </c>
      <c r="M75" s="1064">
        <f t="shared" si="21"/>
        <v>-1.6000000000000001E-3</v>
      </c>
      <c r="N75" s="1064">
        <f t="shared" si="21"/>
        <v>-3.2000000000000002E-3</v>
      </c>
      <c r="O75" s="1119"/>
      <c r="P75" s="1119"/>
      <c r="Q75" s="1996"/>
      <c r="Z75" s="1997"/>
      <c r="AA75" s="2052"/>
      <c r="AG75" s="1121"/>
      <c r="AK75" s="2052"/>
    </row>
    <row r="76" spans="1:37" ht="26.4">
      <c r="A76" s="2129" t="s">
        <v>2059</v>
      </c>
      <c r="B76" s="1325" t="str">
        <f>估价对象房地状况!C21</f>
        <v>估价对象所在区域公共配套设施齐备情况</v>
      </c>
      <c r="C76" s="2043" t="s">
        <v>3482</v>
      </c>
      <c r="D76" s="1065">
        <f t="shared" si="17"/>
        <v>5.0000000000000001E-3</v>
      </c>
      <c r="E76" s="747"/>
      <c r="F76" s="1813"/>
      <c r="G76" s="1063">
        <v>2.5000000000000001E-3</v>
      </c>
      <c r="H76" s="1066">
        <f t="shared" si="18"/>
        <v>2.5000000000000001E-3</v>
      </c>
      <c r="I76" s="3364">
        <v>0.08</v>
      </c>
      <c r="J76" s="1064">
        <f t="shared" si="19"/>
        <v>5.0000000000000001E-3</v>
      </c>
      <c r="K76" s="1064">
        <f t="shared" si="20"/>
        <v>2.5000000000000001E-3</v>
      </c>
      <c r="L76" s="1064">
        <v>0</v>
      </c>
      <c r="M76" s="1064">
        <f t="shared" si="21"/>
        <v>-2.5000000000000001E-3</v>
      </c>
      <c r="N76" s="1064">
        <f t="shared" si="21"/>
        <v>-5.0000000000000001E-3</v>
      </c>
      <c r="O76" s="1119"/>
      <c r="P76" s="1119"/>
      <c r="Z76" s="1997"/>
      <c r="AA76" s="2052"/>
      <c r="AG76" s="1121"/>
      <c r="AK76" s="2052"/>
    </row>
    <row r="77" spans="1:37" ht="24">
      <c r="A77" s="2129" t="s">
        <v>2060</v>
      </c>
      <c r="B77" s="1325" t="str">
        <f>估价对象房地状况!C22</f>
        <v>七通</v>
      </c>
      <c r="C77" s="2043" t="s">
        <v>3482</v>
      </c>
      <c r="D77" s="1065">
        <f t="shared" si="17"/>
        <v>5.5999999999999999E-3</v>
      </c>
      <c r="E77" s="747"/>
      <c r="F77" s="1813"/>
      <c r="G77" s="1063">
        <v>2.8E-3</v>
      </c>
      <c r="H77" s="1066">
        <f t="shared" si="18"/>
        <v>2.8E-3</v>
      </c>
      <c r="I77" s="3364">
        <v>0.09</v>
      </c>
      <c r="J77" s="1064">
        <f t="shared" si="19"/>
        <v>5.5999999999999999E-3</v>
      </c>
      <c r="K77" s="1064">
        <f t="shared" si="20"/>
        <v>2.8E-3</v>
      </c>
      <c r="L77" s="1064">
        <v>0</v>
      </c>
      <c r="M77" s="1064">
        <f t="shared" si="21"/>
        <v>-2.8E-3</v>
      </c>
      <c r="N77" s="1064">
        <f t="shared" si="21"/>
        <v>-5.5999999999999999E-3</v>
      </c>
      <c r="O77" s="1119"/>
      <c r="P77" s="1119"/>
      <c r="Z77" s="1997"/>
      <c r="AA77" s="2052"/>
      <c r="AG77" s="1121"/>
      <c r="AK77" s="2052"/>
    </row>
    <row r="78" spans="1:37" ht="36">
      <c r="A78" s="2129" t="s">
        <v>2057</v>
      </c>
      <c r="B78" s="2135" t="s">
        <v>2058</v>
      </c>
      <c r="C78" s="2043" t="s">
        <v>3484</v>
      </c>
      <c r="D78" s="1065">
        <f t="shared" si="17"/>
        <v>0</v>
      </c>
      <c r="E78" s="747"/>
      <c r="F78" s="1813"/>
      <c r="G78" s="1063">
        <v>1.6000000000000001E-3</v>
      </c>
      <c r="H78" s="1066">
        <f t="shared" si="18"/>
        <v>1.6000000000000001E-3</v>
      </c>
      <c r="I78" s="3364">
        <v>0.05</v>
      </c>
      <c r="J78" s="1064">
        <f t="shared" si="19"/>
        <v>3.2000000000000002E-3</v>
      </c>
      <c r="K78" s="1064">
        <f t="shared" si="20"/>
        <v>1.6000000000000001E-3</v>
      </c>
      <c r="L78" s="1064">
        <v>0</v>
      </c>
      <c r="M78" s="1064">
        <f t="shared" si="21"/>
        <v>-1.6000000000000001E-3</v>
      </c>
      <c r="N78" s="1064">
        <f t="shared" si="21"/>
        <v>-3.2000000000000002E-3</v>
      </c>
      <c r="O78" s="1996"/>
      <c r="P78" s="1996"/>
      <c r="Z78" s="1997"/>
      <c r="AA78" s="2052"/>
      <c r="AG78" s="1121"/>
      <c r="AK78" s="2052"/>
    </row>
    <row r="79" spans="1:37" ht="66">
      <c r="A79" s="2129" t="s">
        <v>2061</v>
      </c>
      <c r="B79" s="2132" t="str">
        <f>估价对象房地状况!C20</f>
        <v>区域自然环境：亮马河、东城区亮马河公园；人文环境：工人体育场、东直门外清真寺；综合评价环境状况较好</v>
      </c>
      <c r="C79" s="2043" t="s">
        <v>3483</v>
      </c>
      <c r="D79" s="1065">
        <f t="shared" si="17"/>
        <v>3.8E-3</v>
      </c>
      <c r="E79" s="747"/>
      <c r="F79" s="1813"/>
      <c r="G79" s="1063">
        <v>3.8E-3</v>
      </c>
      <c r="H79" s="1066">
        <f t="shared" si="18"/>
        <v>3.8E-3</v>
      </c>
      <c r="I79" s="3364">
        <v>0.12</v>
      </c>
      <c r="J79" s="1064">
        <f t="shared" si="19"/>
        <v>7.6E-3</v>
      </c>
      <c r="K79" s="1064">
        <f t="shared" si="20"/>
        <v>3.8E-3</v>
      </c>
      <c r="L79" s="1064">
        <v>0</v>
      </c>
      <c r="M79" s="1064">
        <f t="shared" si="21"/>
        <v>-3.8E-3</v>
      </c>
      <c r="N79" s="1064">
        <f t="shared" si="21"/>
        <v>-7.6E-3</v>
      </c>
      <c r="Z79" s="1997"/>
      <c r="AA79" s="2052"/>
      <c r="AG79" s="1121"/>
      <c r="AK79" s="2052"/>
    </row>
    <row r="80" spans="1:37" ht="36.6" thickBot="1">
      <c r="A80" s="2137" t="s">
        <v>2068</v>
      </c>
      <c r="B80" s="2141"/>
      <c r="C80" s="2043" t="s">
        <v>3483</v>
      </c>
      <c r="D80" s="1065">
        <f t="shared" si="17"/>
        <v>1.6000000000000001E-3</v>
      </c>
      <c r="E80" s="748"/>
      <c r="F80" s="1813"/>
      <c r="G80" s="1063">
        <v>1.6000000000000001E-3</v>
      </c>
      <c r="H80" s="1066">
        <f t="shared" si="18"/>
        <v>1.6000000000000001E-3</v>
      </c>
      <c r="I80" s="3365">
        <v>0.05</v>
      </c>
      <c r="J80" s="1064">
        <f t="shared" si="19"/>
        <v>3.2000000000000002E-3</v>
      </c>
      <c r="K80" s="1064">
        <f t="shared" si="20"/>
        <v>1.6000000000000001E-3</v>
      </c>
      <c r="L80" s="1064">
        <v>0</v>
      </c>
      <c r="M80" s="1064">
        <f t="shared" si="21"/>
        <v>-1.6000000000000001E-3</v>
      </c>
      <c r="N80" s="1064">
        <f t="shared" si="21"/>
        <v>-3.2000000000000002E-3</v>
      </c>
      <c r="Z80" s="1997"/>
      <c r="AA80" s="2052"/>
      <c r="AG80" s="1121"/>
      <c r="AK80" s="2052"/>
    </row>
    <row r="81" spans="1:37" ht="14.4">
      <c r="A81" s="2125" t="s">
        <v>2069</v>
      </c>
      <c r="B81" s="2126">
        <f>1+E83</f>
        <v>1</v>
      </c>
      <c r="C81" s="741"/>
      <c r="D81" s="741"/>
      <c r="E81" s="742"/>
      <c r="F81" s="2128"/>
      <c r="G81" s="3"/>
      <c r="H81" s="3"/>
      <c r="I81" s="3"/>
      <c r="J81" s="4"/>
      <c r="K81" s="4"/>
      <c r="L81" s="4"/>
      <c r="M81" s="4"/>
      <c r="N81" s="4"/>
      <c r="Z81" s="1997"/>
      <c r="AA81" s="2052"/>
      <c r="AG81" s="1121"/>
      <c r="AK81" s="2052"/>
    </row>
    <row r="82" spans="1:37" ht="25.2">
      <c r="A82" s="2129" t="s">
        <v>2044</v>
      </c>
      <c r="B82" s="1350"/>
      <c r="C82" s="1350" t="s">
        <v>2046</v>
      </c>
      <c r="D82" s="1350" t="s">
        <v>2047</v>
      </c>
      <c r="E82" s="743" t="s">
        <v>2048</v>
      </c>
      <c r="F82" s="2130" t="s">
        <v>2063</v>
      </c>
      <c r="G82" s="1350" t="s">
        <v>310</v>
      </c>
      <c r="H82" s="2131" t="s">
        <v>2050</v>
      </c>
      <c r="I82" s="1350" t="s">
        <v>2051</v>
      </c>
      <c r="J82" s="552" t="s">
        <v>1721</v>
      </c>
      <c r="K82" s="552" t="s">
        <v>1722</v>
      </c>
      <c r="L82" s="552" t="s">
        <v>1723</v>
      </c>
      <c r="M82" s="552" t="s">
        <v>1724</v>
      </c>
      <c r="N82" s="552" t="s">
        <v>1725</v>
      </c>
      <c r="Z82" s="1997"/>
      <c r="AA82" s="2052"/>
      <c r="AG82" s="1121"/>
      <c r="AK82" s="2052"/>
    </row>
    <row r="83" spans="1:37" ht="39.6">
      <c r="A83" s="2129" t="s">
        <v>2070</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4">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52.8">
      <c r="A84" s="2129" t="s">
        <v>2053</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4">
        <v>0.3</v>
      </c>
      <c r="J84" s="1064">
        <f t="shared" si="24"/>
        <v>0</v>
      </c>
      <c r="K84" s="1064">
        <f t="shared" si="25"/>
        <v>0</v>
      </c>
      <c r="L84" s="1064">
        <v>0</v>
      </c>
      <c r="M84" s="1064">
        <f t="shared" si="26"/>
        <v>0</v>
      </c>
      <c r="N84" s="1064">
        <f t="shared" si="26"/>
        <v>0</v>
      </c>
      <c r="Z84" s="1997"/>
      <c r="AA84" s="2052"/>
      <c r="AG84" s="1121"/>
      <c r="AK84" s="2052"/>
    </row>
    <row r="85" spans="1:37" ht="48">
      <c r="A85" s="3366" t="s">
        <v>3267</v>
      </c>
      <c r="B85" s="2133">
        <f>估价对象房地状况!G17</f>
        <v>0</v>
      </c>
      <c r="C85" s="2043"/>
      <c r="D85" s="1065">
        <f t="shared" si="22"/>
        <v>0</v>
      </c>
      <c r="E85" s="747"/>
      <c r="F85" s="1813"/>
      <c r="G85" s="1063"/>
      <c r="H85" s="1066" t="str">
        <f t="shared" si="23"/>
        <v>——</v>
      </c>
      <c r="I85" s="3364">
        <v>0.1</v>
      </c>
      <c r="J85" s="1064">
        <f t="shared" si="24"/>
        <v>0</v>
      </c>
      <c r="K85" s="1064">
        <f t="shared" si="25"/>
        <v>0</v>
      </c>
      <c r="L85" s="1064">
        <v>0</v>
      </c>
      <c r="M85" s="1064">
        <f t="shared" si="26"/>
        <v>0</v>
      </c>
      <c r="N85" s="1064">
        <f t="shared" si="26"/>
        <v>0</v>
      </c>
      <c r="Z85" s="1997"/>
      <c r="AA85" s="2052"/>
      <c r="AG85" s="1121"/>
      <c r="AK85" s="2052"/>
    </row>
    <row r="86" spans="1:37" ht="13.8">
      <c r="A86" s="2129" t="s">
        <v>2067</v>
      </c>
      <c r="B86" s="2133">
        <f>估价对象房地状况!G22</f>
        <v>0</v>
      </c>
      <c r="C86" s="2043"/>
      <c r="D86" s="1065">
        <f t="shared" si="22"/>
        <v>0</v>
      </c>
      <c r="E86" s="747"/>
      <c r="F86" s="1813"/>
      <c r="G86" s="1063"/>
      <c r="H86" s="1066" t="str">
        <f t="shared" si="23"/>
        <v>——</v>
      </c>
      <c r="I86" s="3364">
        <v>0.05</v>
      </c>
      <c r="J86" s="1064">
        <f t="shared" si="24"/>
        <v>0</v>
      </c>
      <c r="K86" s="1064">
        <f t="shared" si="25"/>
        <v>0</v>
      </c>
      <c r="L86" s="1064">
        <v>0</v>
      </c>
      <c r="M86" s="1064">
        <f t="shared" si="26"/>
        <v>0</v>
      </c>
      <c r="N86" s="1064">
        <f t="shared" si="26"/>
        <v>0</v>
      </c>
      <c r="Z86" s="1997"/>
      <c r="AA86" s="2052"/>
      <c r="AG86" s="1121"/>
      <c r="AK86" s="2052"/>
    </row>
    <row r="87" spans="1:37" ht="26.4">
      <c r="A87" s="2129" t="s">
        <v>2059</v>
      </c>
      <c r="B87" s="1325" t="str">
        <f>估价对象房地状况!G19</f>
        <v>估价对象所在区域公共配套设施齐备情况</v>
      </c>
      <c r="C87" s="2043"/>
      <c r="D87" s="1065">
        <f t="shared" si="22"/>
        <v>0</v>
      </c>
      <c r="E87" s="747"/>
      <c r="F87" s="1813"/>
      <c r="G87" s="1063"/>
      <c r="H87" s="1066" t="str">
        <f t="shared" si="23"/>
        <v>——</v>
      </c>
      <c r="I87" s="3364">
        <v>0.06</v>
      </c>
      <c r="J87" s="1064">
        <f t="shared" si="24"/>
        <v>0</v>
      </c>
      <c r="K87" s="1064">
        <f t="shared" si="25"/>
        <v>0</v>
      </c>
      <c r="L87" s="1064">
        <v>0</v>
      </c>
      <c r="M87" s="1064">
        <f t="shared" si="26"/>
        <v>0</v>
      </c>
      <c r="N87" s="1064">
        <f t="shared" si="26"/>
        <v>0</v>
      </c>
    </row>
    <row r="88" spans="1:37" ht="26.4">
      <c r="A88" s="2129" t="s">
        <v>2060</v>
      </c>
      <c r="B88" s="1325" t="str">
        <f>估价对象房地状况!G20</f>
        <v>估价对象所在区域基础设施水平</v>
      </c>
      <c r="C88" s="2043"/>
      <c r="D88" s="1065">
        <f t="shared" si="22"/>
        <v>0</v>
      </c>
      <c r="E88" s="747"/>
      <c r="F88" s="1813"/>
      <c r="G88" s="1063"/>
      <c r="H88" s="1066" t="str">
        <f t="shared" si="23"/>
        <v>——</v>
      </c>
      <c r="I88" s="3364">
        <v>0.12</v>
      </c>
      <c r="J88" s="1064">
        <f t="shared" si="24"/>
        <v>0</v>
      </c>
      <c r="K88" s="1064">
        <f t="shared" si="25"/>
        <v>0</v>
      </c>
      <c r="L88" s="1064">
        <v>0</v>
      </c>
      <c r="M88" s="1064">
        <f t="shared" si="26"/>
        <v>0</v>
      </c>
      <c r="N88" s="1064">
        <f t="shared" si="26"/>
        <v>0</v>
      </c>
    </row>
    <row r="89" spans="1:37" ht="36">
      <c r="A89" s="2129" t="s">
        <v>2057</v>
      </c>
      <c r="B89" s="2135" t="s">
        <v>2071</v>
      </c>
      <c r="C89" s="2043"/>
      <c r="D89" s="1065">
        <f t="shared" si="22"/>
        <v>0</v>
      </c>
      <c r="E89" s="747"/>
      <c r="F89" s="1813"/>
      <c r="G89" s="1063"/>
      <c r="H89" s="1066" t="str">
        <f t="shared" si="23"/>
        <v>——</v>
      </c>
      <c r="I89" s="3364">
        <v>0.06</v>
      </c>
      <c r="J89" s="1064">
        <f t="shared" si="24"/>
        <v>0</v>
      </c>
      <c r="K89" s="1064">
        <f t="shared" si="25"/>
        <v>0</v>
      </c>
      <c r="L89" s="1064">
        <v>0</v>
      </c>
      <c r="M89" s="1064">
        <f t="shared" si="26"/>
        <v>0</v>
      </c>
      <c r="N89" s="1064">
        <f t="shared" si="26"/>
        <v>0</v>
      </c>
    </row>
    <row r="90" spans="1:37" ht="40.200000000000003" thickBot="1">
      <c r="A90" s="2137" t="s">
        <v>2072</v>
      </c>
      <c r="B90" s="2142" t="str">
        <f>估价对象房地状况!G18</f>
        <v>该园区内是否有污染型企业，绿化情况，卫生条件，整体环境状况判断</v>
      </c>
      <c r="C90" s="2043"/>
      <c r="D90" s="1065">
        <f t="shared" si="22"/>
        <v>0</v>
      </c>
      <c r="E90" s="748"/>
      <c r="F90" s="1813"/>
      <c r="G90" s="1063"/>
      <c r="H90" s="1066" t="str">
        <f t="shared" si="23"/>
        <v>——</v>
      </c>
      <c r="I90" s="3365">
        <v>0.05</v>
      </c>
      <c r="J90" s="1064">
        <f t="shared" si="24"/>
        <v>0</v>
      </c>
      <c r="K90" s="1064">
        <f t="shared" si="25"/>
        <v>0</v>
      </c>
      <c r="L90" s="1064">
        <v>0</v>
      </c>
      <c r="M90" s="1064">
        <f t="shared" si="26"/>
        <v>0</v>
      </c>
      <c r="N90" s="1064">
        <f t="shared" si="26"/>
        <v>0</v>
      </c>
    </row>
    <row r="91" spans="1:37" ht="13.8">
      <c r="A91" s="3374" t="s">
        <v>2609</v>
      </c>
      <c r="B91" s="3375">
        <f>1+E93</f>
        <v>1</v>
      </c>
      <c r="C91" s="3368"/>
      <c r="D91" s="3369"/>
      <c r="E91" s="1813"/>
      <c r="F91" s="1813"/>
      <c r="G91" s="3370"/>
      <c r="H91" s="3371"/>
      <c r="I91" s="3372"/>
      <c r="J91" s="3373"/>
      <c r="K91" s="3373"/>
      <c r="L91" s="3373"/>
      <c r="M91" s="3373"/>
      <c r="N91" s="3373"/>
    </row>
    <row r="92" spans="1:37" ht="25.2">
      <c r="A92" s="3376" t="s">
        <v>3268</v>
      </c>
      <c r="B92" s="3363"/>
      <c r="C92" s="3363" t="s">
        <v>3277</v>
      </c>
      <c r="D92" s="3363" t="s">
        <v>3278</v>
      </c>
      <c r="E92" s="3345" t="s">
        <v>3279</v>
      </c>
      <c r="F92" s="3378" t="s">
        <v>3280</v>
      </c>
      <c r="G92" s="3363" t="s">
        <v>3281</v>
      </c>
      <c r="H92" s="3385" t="s">
        <v>3284</v>
      </c>
      <c r="I92" s="3363" t="s">
        <v>3285</v>
      </c>
      <c r="J92" s="3386" t="s">
        <v>3286</v>
      </c>
      <c r="K92" s="3386" t="s">
        <v>3287</v>
      </c>
      <c r="L92" s="3386" t="s">
        <v>3288</v>
      </c>
      <c r="M92" s="3386" t="s">
        <v>3289</v>
      </c>
      <c r="N92" s="3386" t="s">
        <v>3290</v>
      </c>
    </row>
    <row r="93" spans="1:37" ht="24">
      <c r="A93" s="3366" t="s">
        <v>3269</v>
      </c>
      <c r="B93" s="1305"/>
      <c r="C93" s="2043"/>
      <c r="D93" s="3363">
        <f>SUMIF($J$92:$N$92,C93,J93:N93)</f>
        <v>0</v>
      </c>
      <c r="E93" s="3379">
        <f>ROUND(SUM(D93:D101),4)</f>
        <v>0</v>
      </c>
      <c r="F93" s="1813"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105.6">
      <c r="A94" s="3376" t="s">
        <v>3270</v>
      </c>
      <c r="B94" s="3367" t="str">
        <f>估价对象房地状况!C18</f>
        <v>估价对象周边有24路、117路、123路、132路、135路、413路、515路等多条公交线路，地铁2号线及13号线换乘站（东直门站），东直门长途汽车站等，综合评价交通便捷度较好</v>
      </c>
      <c r="C94" s="2043"/>
      <c r="D94" s="3363">
        <f t="shared" ref="D94:D101" si="30">SUMIF($J$60:$N$60,C94,J94:N94)</f>
        <v>0</v>
      </c>
      <c r="E94" s="3380"/>
      <c r="F94" s="1813"/>
      <c r="G94" s="3370"/>
      <c r="H94" s="3418" t="str">
        <f>IFERROR(ROUNDDOWN($F$93*I94/2,4),"——")</f>
        <v>——</v>
      </c>
      <c r="I94" s="3364">
        <v>0.26</v>
      </c>
      <c r="J94" s="3342">
        <f t="shared" si="27"/>
        <v>0</v>
      </c>
      <c r="K94" s="3342">
        <f t="shared" si="28"/>
        <v>0</v>
      </c>
      <c r="L94" s="3342">
        <v>0</v>
      </c>
      <c r="M94" s="3342">
        <f t="shared" si="29"/>
        <v>0</v>
      </c>
      <c r="N94" s="3342">
        <f t="shared" si="29"/>
        <v>0</v>
      </c>
    </row>
    <row r="95" spans="1:37" ht="48">
      <c r="A95" s="3366" t="s">
        <v>3266</v>
      </c>
      <c r="B95" s="3367">
        <f>估价对象房地状况!C19</f>
        <v>0</v>
      </c>
      <c r="C95" s="2043"/>
      <c r="D95" s="3363">
        <f t="shared" si="30"/>
        <v>0</v>
      </c>
      <c r="E95" s="3380"/>
      <c r="F95" s="1813"/>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7.200000000000003">
      <c r="A96" s="3376" t="s">
        <v>3271</v>
      </c>
      <c r="B96" s="3382" t="s">
        <v>3282</v>
      </c>
      <c r="C96" s="2043"/>
      <c r="D96" s="3363">
        <f t="shared" si="30"/>
        <v>0</v>
      </c>
      <c r="E96" s="3380"/>
      <c r="F96" s="1813"/>
      <c r="G96" s="3370"/>
      <c r="H96" s="3418" t="str">
        <f t="shared" si="31"/>
        <v>——</v>
      </c>
      <c r="I96" s="3364">
        <v>0.05</v>
      </c>
      <c r="J96" s="3342">
        <f t="shared" si="27"/>
        <v>0</v>
      </c>
      <c r="K96" s="3342">
        <f t="shared" si="28"/>
        <v>0</v>
      </c>
      <c r="L96" s="3342">
        <v>0</v>
      </c>
      <c r="M96" s="3342">
        <f t="shared" si="29"/>
        <v>0</v>
      </c>
      <c r="N96" s="3342">
        <f t="shared" si="29"/>
        <v>0</v>
      </c>
    </row>
    <row r="97" spans="1:14" ht="24">
      <c r="A97" s="3376" t="s">
        <v>3272</v>
      </c>
      <c r="B97" s="3367" t="str">
        <f>估价对象房地状况!C24</f>
        <v>城市次干道——胡家园路</v>
      </c>
      <c r="C97" s="2043"/>
      <c r="D97" s="3363">
        <f t="shared" si="30"/>
        <v>0</v>
      </c>
      <c r="E97" s="3380"/>
      <c r="F97" s="1813"/>
      <c r="G97" s="3370"/>
      <c r="H97" s="3418" t="str">
        <f t="shared" si="31"/>
        <v>——</v>
      </c>
      <c r="I97" s="3364">
        <v>0.05</v>
      </c>
      <c r="J97" s="3342">
        <f t="shared" si="27"/>
        <v>0</v>
      </c>
      <c r="K97" s="3342">
        <f t="shared" si="28"/>
        <v>0</v>
      </c>
      <c r="L97" s="3342">
        <v>0</v>
      </c>
      <c r="M97" s="3342">
        <f t="shared" si="29"/>
        <v>0</v>
      </c>
      <c r="N97" s="3342">
        <f t="shared" si="29"/>
        <v>0</v>
      </c>
    </row>
    <row r="98" spans="1:14" ht="36">
      <c r="A98" s="3376" t="s">
        <v>3273</v>
      </c>
      <c r="B98" s="3383" t="s">
        <v>3283</v>
      </c>
      <c r="C98" s="2043"/>
      <c r="D98" s="3363">
        <f t="shared" si="30"/>
        <v>0</v>
      </c>
      <c r="E98" s="3380"/>
      <c r="F98" s="1813"/>
      <c r="G98" s="3370"/>
      <c r="H98" s="3418" t="str">
        <f t="shared" si="31"/>
        <v>——</v>
      </c>
      <c r="I98" s="3364">
        <v>0.06</v>
      </c>
      <c r="J98" s="3342">
        <f t="shared" si="27"/>
        <v>0</v>
      </c>
      <c r="K98" s="3342">
        <f t="shared" si="28"/>
        <v>0</v>
      </c>
      <c r="L98" s="3342">
        <v>0</v>
      </c>
      <c r="M98" s="3342">
        <f t="shared" si="29"/>
        <v>0</v>
      </c>
      <c r="N98" s="3342">
        <f t="shared" si="29"/>
        <v>0</v>
      </c>
    </row>
    <row r="99" spans="1:14" ht="26.4">
      <c r="A99" s="3376" t="s">
        <v>3274</v>
      </c>
      <c r="B99" s="3367" t="str">
        <f>估价对象房地状况!C21</f>
        <v>估价对象所在区域公共配套设施齐备情况</v>
      </c>
      <c r="C99" s="2043"/>
      <c r="D99" s="3363">
        <f t="shared" si="30"/>
        <v>0</v>
      </c>
      <c r="E99" s="3380"/>
      <c r="F99" s="1813"/>
      <c r="G99" s="3370"/>
      <c r="H99" s="3418" t="str">
        <f t="shared" si="31"/>
        <v>——</v>
      </c>
      <c r="I99" s="3364">
        <v>0.06</v>
      </c>
      <c r="J99" s="3342">
        <f t="shared" si="27"/>
        <v>0</v>
      </c>
      <c r="K99" s="3342">
        <f t="shared" si="28"/>
        <v>0</v>
      </c>
      <c r="L99" s="3342">
        <v>0</v>
      </c>
      <c r="M99" s="3342">
        <f t="shared" si="29"/>
        <v>0</v>
      </c>
      <c r="N99" s="3342">
        <f t="shared" si="29"/>
        <v>0</v>
      </c>
    </row>
    <row r="100" spans="1:14" ht="24">
      <c r="A100" s="3376" t="s">
        <v>3275</v>
      </c>
      <c r="B100" s="3367" t="str">
        <f>估价对象房地状况!C22</f>
        <v>七通</v>
      </c>
      <c r="C100" s="2043"/>
      <c r="D100" s="3363">
        <f t="shared" si="30"/>
        <v>0</v>
      </c>
      <c r="E100" s="3380"/>
      <c r="F100" s="1813"/>
      <c r="G100" s="3370"/>
      <c r="H100" s="3418" t="str">
        <f t="shared" si="31"/>
        <v>——</v>
      </c>
      <c r="I100" s="3364">
        <v>0.09</v>
      </c>
      <c r="J100" s="3342">
        <f t="shared" si="27"/>
        <v>0</v>
      </c>
      <c r="K100" s="3342">
        <f t="shared" si="28"/>
        <v>0</v>
      </c>
      <c r="L100" s="3342">
        <v>0</v>
      </c>
      <c r="M100" s="3342">
        <f t="shared" si="29"/>
        <v>0</v>
      </c>
      <c r="N100" s="3342">
        <f t="shared" si="29"/>
        <v>0</v>
      </c>
    </row>
    <row r="101" spans="1:14" ht="66.599999999999994" thickBot="1">
      <c r="A101" s="3377" t="s">
        <v>3276</v>
      </c>
      <c r="B101" s="3384" t="str">
        <f>估价对象房地状况!C20</f>
        <v>区域自然环境：亮马河、东城区亮马河公园；人文环境：工人体育场、东直门外清真寺；综合评价环境状况较好</v>
      </c>
      <c r="C101" s="2043"/>
      <c r="D101" s="3363">
        <f t="shared" si="30"/>
        <v>0</v>
      </c>
      <c r="E101" s="3381"/>
      <c r="F101" s="1813"/>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8" t="s">
        <v>3291</v>
      </c>
      <c r="B103" s="3778"/>
      <c r="C103" s="3778"/>
      <c r="D103" s="3778"/>
      <c r="E103" s="3778"/>
      <c r="F103" s="3778"/>
      <c r="G103" s="3778"/>
      <c r="H103" s="3778"/>
      <c r="I103" s="3778"/>
      <c r="J103" s="3778"/>
      <c r="K103" s="3387"/>
      <c r="L103" s="3387"/>
      <c r="M103" s="3387"/>
      <c r="N103" s="3387"/>
    </row>
    <row r="104" spans="1:14">
      <c r="A104" s="3779" t="s">
        <v>3292</v>
      </c>
      <c r="B104" s="3779" t="s">
        <v>3293</v>
      </c>
      <c r="C104" s="3388" t="s">
        <v>3294</v>
      </c>
      <c r="D104" s="3389"/>
      <c r="E104" s="3389"/>
      <c r="F104" s="3389"/>
      <c r="G104" s="3389"/>
      <c r="H104" s="3389"/>
      <c r="I104" s="3389"/>
      <c r="J104" s="3390"/>
      <c r="K104" s="3391"/>
      <c r="L104" s="3391"/>
      <c r="M104" s="3391"/>
      <c r="N104" s="3391"/>
    </row>
    <row r="105" spans="1:14">
      <c r="A105" s="3779"/>
      <c r="B105" s="3779"/>
      <c r="C105" s="3392" t="s">
        <v>3295</v>
      </c>
      <c r="D105" s="3392" t="s">
        <v>3296</v>
      </c>
      <c r="E105" s="3392" t="s">
        <v>3297</v>
      </c>
      <c r="F105" s="3392" t="s">
        <v>3298</v>
      </c>
      <c r="G105" s="3392" t="s">
        <v>3299</v>
      </c>
      <c r="H105" s="3392" t="s">
        <v>3300</v>
      </c>
      <c r="I105" s="3392" t="s">
        <v>3301</v>
      </c>
      <c r="J105" s="3392" t="s">
        <v>3302</v>
      </c>
      <c r="K105" s="3392" t="s">
        <v>3303</v>
      </c>
      <c r="L105" s="3392" t="s">
        <v>3304</v>
      </c>
      <c r="M105" s="3392" t="s">
        <v>3305</v>
      </c>
      <c r="N105" s="3392" t="s">
        <v>3306</v>
      </c>
    </row>
    <row r="106" spans="1:14">
      <c r="A106" s="3765" t="s">
        <v>3307</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6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6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6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6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66"/>
      <c r="B111" s="3392" t="s">
        <v>3265</v>
      </c>
      <c r="C111" s="3393">
        <f>$I$3</f>
        <v>0</v>
      </c>
      <c r="D111" s="3393">
        <f t="shared" ref="D111:M111" si="32">$I$3</f>
        <v>0</v>
      </c>
      <c r="E111" s="3393">
        <f t="shared" si="32"/>
        <v>0</v>
      </c>
      <c r="F111" s="3393">
        <f t="shared" si="32"/>
        <v>0</v>
      </c>
      <c r="G111" s="3393">
        <f t="shared" si="32"/>
        <v>0</v>
      </c>
      <c r="H111" s="3393">
        <f t="shared" si="32"/>
        <v>0</v>
      </c>
      <c r="I111" s="3393">
        <f t="shared" si="32"/>
        <v>0</v>
      </c>
      <c r="J111" s="3393">
        <f t="shared" si="32"/>
        <v>0</v>
      </c>
      <c r="K111" s="3393">
        <f t="shared" si="32"/>
        <v>0</v>
      </c>
      <c r="L111" s="3393">
        <f t="shared" si="32"/>
        <v>0</v>
      </c>
      <c r="M111" s="3393">
        <f t="shared" si="32"/>
        <v>0</v>
      </c>
      <c r="N111" s="3393">
        <f>$I$3</f>
        <v>0</v>
      </c>
    </row>
    <row r="112" spans="1:14">
      <c r="A112" s="3767"/>
      <c r="B112" s="3392">
        <v>6</v>
      </c>
      <c r="C112" s="3385">
        <f>(-0.5556*(C111^2)-0.2719*C111+8944)*(10^(-4))</f>
        <v>0.89440000000000008</v>
      </c>
      <c r="D112" s="3385">
        <f>(-0.5556*(D111^2)-0.2719*D111+8944)*(10^(-4))</f>
        <v>0.89440000000000008</v>
      </c>
      <c r="E112" s="3385">
        <f>(-0.7912*(E111^2)-11.3794*E111+8482)*(10^(-4))</f>
        <v>0.84820000000000007</v>
      </c>
      <c r="F112" s="3385">
        <f t="shared" ref="F112:I112" si="33">(-0.7912*(F111^2)-11.3794*F111+8482)*(10^(-4))</f>
        <v>0.84820000000000007</v>
      </c>
      <c r="G112" s="3385">
        <f t="shared" si="33"/>
        <v>0.84820000000000007</v>
      </c>
      <c r="H112" s="3385">
        <f t="shared" si="33"/>
        <v>0.84820000000000007</v>
      </c>
      <c r="I112" s="3385">
        <f t="shared" si="33"/>
        <v>0.84820000000000007</v>
      </c>
      <c r="J112" s="3385">
        <f>(-0.989*(J111^2)-63.78*J111+7771)*(10^(-4))</f>
        <v>0.77710000000000001</v>
      </c>
      <c r="K112" s="3385">
        <f t="shared" ref="K112:N112" si="34">(-0.989*(K111^2)-63.78*K111+7771)*(10^(-4))</f>
        <v>0.77710000000000001</v>
      </c>
      <c r="L112" s="3385">
        <f t="shared" si="34"/>
        <v>0.77710000000000001</v>
      </c>
      <c r="M112" s="3385">
        <f t="shared" si="34"/>
        <v>0.77710000000000001</v>
      </c>
      <c r="N112" s="3385">
        <f t="shared" si="34"/>
        <v>0.77710000000000001</v>
      </c>
    </row>
    <row r="113" spans="1:14">
      <c r="A113" s="3768" t="s">
        <v>3308</v>
      </c>
      <c r="B113" s="3768"/>
      <c r="C113" s="3768"/>
      <c r="D113" s="3768"/>
      <c r="E113" s="3768"/>
      <c r="F113" s="3768"/>
      <c r="G113" s="3768"/>
      <c r="H113" s="3768"/>
      <c r="I113" s="3768"/>
      <c r="J113" s="376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8" thickBot="1">
      <c r="A115" s="3395"/>
      <c r="B115" s="3395"/>
      <c r="C115" s="3395"/>
      <c r="D115" s="3395"/>
      <c r="E115" s="3395"/>
      <c r="F115" s="3395"/>
      <c r="G115" s="3395"/>
      <c r="H115" s="3395"/>
      <c r="I115" s="3395"/>
      <c r="J115" s="3395"/>
      <c r="K115" s="3354"/>
      <c r="L115" s="3395"/>
      <c r="M115" s="3395"/>
      <c r="N115" s="3395"/>
    </row>
    <row r="116" spans="1:14" ht="25.8" thickBot="1">
      <c r="A116" s="3396" t="s">
        <v>3309</v>
      </c>
      <c r="B116" s="3413">
        <f>G3</f>
        <v>11.72</v>
      </c>
      <c r="C116" s="3397" t="s">
        <v>3310</v>
      </c>
      <c r="D116" s="3398">
        <f>SUMPRODUCT((A118:A122=F116)*(B117:M117=H116)*B118:M122)</f>
        <v>0.81</v>
      </c>
      <c r="E116" s="1999" t="s">
        <v>3311</v>
      </c>
      <c r="F116" s="3399" t="str">
        <f>E2</f>
        <v>住宅</v>
      </c>
      <c r="G116" s="1999" t="s">
        <v>3312</v>
      </c>
      <c r="H116" s="3399" t="str">
        <f>G2</f>
        <v>二级</v>
      </c>
      <c r="I116" s="1999"/>
      <c r="J116" s="3400"/>
      <c r="K116" s="3400"/>
      <c r="L116" s="3400"/>
      <c r="M116" s="3400"/>
      <c r="N116" s="3395"/>
    </row>
    <row r="117" spans="1:14">
      <c r="A117" s="3401"/>
      <c r="B117" s="3402" t="s">
        <v>3313</v>
      </c>
      <c r="C117" s="3402" t="s">
        <v>3314</v>
      </c>
      <c r="D117" s="3402" t="s">
        <v>3315</v>
      </c>
      <c r="E117" s="3403" t="s">
        <v>3316</v>
      </c>
      <c r="F117" s="3403" t="s">
        <v>3317</v>
      </c>
      <c r="G117" s="3403" t="s">
        <v>3318</v>
      </c>
      <c r="H117" s="3404" t="s">
        <v>3319</v>
      </c>
      <c r="I117" s="3404" t="s">
        <v>3320</v>
      </c>
      <c r="J117" s="3405" t="s">
        <v>3321</v>
      </c>
      <c r="K117" s="3405" t="s">
        <v>3322</v>
      </c>
      <c r="L117" s="3405" t="s">
        <v>3323</v>
      </c>
      <c r="M117" s="3406" t="s">
        <v>3324</v>
      </c>
      <c r="N117" s="3395"/>
    </row>
    <row r="118" spans="1:14">
      <c r="A118" s="3407" t="s">
        <v>3325</v>
      </c>
      <c r="B118" s="3385">
        <f>ROUND(0.9968-0.011*B116,4)</f>
        <v>0.8679</v>
      </c>
      <c r="C118" s="3385">
        <f>B118</f>
        <v>0.8679</v>
      </c>
      <c r="D118" s="3385">
        <f>ROUND(0.949-0.014*B116,4)</f>
        <v>0.78490000000000004</v>
      </c>
      <c r="E118" s="3385">
        <f>D118</f>
        <v>0.78490000000000004</v>
      </c>
      <c r="F118" s="3385">
        <f>E118</f>
        <v>0.78490000000000004</v>
      </c>
      <c r="G118" s="3385">
        <f>F118</f>
        <v>0.78490000000000004</v>
      </c>
      <c r="H118" s="3385">
        <f>G118</f>
        <v>0.78490000000000004</v>
      </c>
      <c r="I118" s="3385">
        <f>ROUND(0.8486-0.018*B116,4)</f>
        <v>0.63759999999999994</v>
      </c>
      <c r="J118" s="3385">
        <f t="shared" ref="J118:M122" si="35">I118</f>
        <v>0.63759999999999994</v>
      </c>
      <c r="K118" s="3385">
        <f t="shared" si="35"/>
        <v>0.63759999999999994</v>
      </c>
      <c r="L118" s="3385">
        <f t="shared" si="35"/>
        <v>0.63759999999999994</v>
      </c>
      <c r="M118" s="3408">
        <f t="shared" si="35"/>
        <v>0.63759999999999994</v>
      </c>
      <c r="N118" s="3395"/>
    </row>
    <row r="119" spans="1:14">
      <c r="A119" s="3407" t="s">
        <v>3326</v>
      </c>
      <c r="B119" s="3385">
        <f>ROUND(0.993-0.0112*B116,4)</f>
        <v>0.86170000000000002</v>
      </c>
      <c r="C119" s="3385">
        <f>B119</f>
        <v>0.86170000000000002</v>
      </c>
      <c r="D119" s="3385">
        <f>ROUND(0.9415-0.0142*B116,4)</f>
        <v>0.77510000000000001</v>
      </c>
      <c r="E119" s="3385">
        <f t="shared" ref="E119:H120" si="36">D119</f>
        <v>0.77510000000000001</v>
      </c>
      <c r="F119" s="3385">
        <f t="shared" si="36"/>
        <v>0.77510000000000001</v>
      </c>
      <c r="G119" s="3385">
        <f t="shared" si="36"/>
        <v>0.77510000000000001</v>
      </c>
      <c r="H119" s="3385">
        <f t="shared" si="36"/>
        <v>0.77510000000000001</v>
      </c>
      <c r="I119" s="3385">
        <f>ROUND(0.838-0.0182*B116,4)</f>
        <v>0.62470000000000003</v>
      </c>
      <c r="J119" s="3385">
        <f t="shared" si="35"/>
        <v>0.62470000000000003</v>
      </c>
      <c r="K119" s="3385">
        <f t="shared" si="35"/>
        <v>0.62470000000000003</v>
      </c>
      <c r="L119" s="3385">
        <f t="shared" si="35"/>
        <v>0.62470000000000003</v>
      </c>
      <c r="M119" s="3408">
        <f t="shared" si="35"/>
        <v>0.62470000000000003</v>
      </c>
      <c r="N119" s="3395"/>
    </row>
    <row r="120" spans="1:14">
      <c r="A120" s="3407" t="s">
        <v>3327</v>
      </c>
      <c r="B120" s="3385">
        <f>ROUND(0.9448-0.0115*B116,4)</f>
        <v>0.81</v>
      </c>
      <c r="C120" s="3385">
        <f>B120</f>
        <v>0.81</v>
      </c>
      <c r="D120" s="3385">
        <f>ROUND(0.937-0.0145*B116,4)</f>
        <v>0.7671</v>
      </c>
      <c r="E120" s="3385">
        <f t="shared" si="36"/>
        <v>0.7671</v>
      </c>
      <c r="F120" s="3385">
        <f t="shared" si="36"/>
        <v>0.7671</v>
      </c>
      <c r="G120" s="3385">
        <f t="shared" si="36"/>
        <v>0.7671</v>
      </c>
      <c r="H120" s="3385">
        <f t="shared" si="36"/>
        <v>0.7671</v>
      </c>
      <c r="I120" s="3385">
        <f>ROUND(0.7965-0.0185*B116,4)</f>
        <v>0.57969999999999999</v>
      </c>
      <c r="J120" s="3385">
        <f t="shared" si="35"/>
        <v>0.57969999999999999</v>
      </c>
      <c r="K120" s="3385">
        <f t="shared" si="35"/>
        <v>0.57969999999999999</v>
      </c>
      <c r="L120" s="3385">
        <f t="shared" si="35"/>
        <v>0.57969999999999999</v>
      </c>
      <c r="M120" s="3408">
        <f t="shared" si="35"/>
        <v>0.57969999999999999</v>
      </c>
      <c r="N120" s="3395"/>
    </row>
    <row r="121" spans="1:14" ht="13.8" thickBot="1">
      <c r="A121" s="3409" t="s">
        <v>3328</v>
      </c>
      <c r="B121" s="3410">
        <f>ROUND(0.7836-0.012*B116,4)</f>
        <v>0.64300000000000002</v>
      </c>
      <c r="C121" s="3410">
        <f>B121</f>
        <v>0.64300000000000002</v>
      </c>
      <c r="D121" s="3410">
        <f>ROUND(0.753-0.015*B116,4)</f>
        <v>0.57720000000000005</v>
      </c>
      <c r="E121" s="3410">
        <f>D121</f>
        <v>0.57720000000000005</v>
      </c>
      <c r="F121" s="3410">
        <f>E121</f>
        <v>0.57720000000000005</v>
      </c>
      <c r="G121" s="3410">
        <f>ROUND(0.6612-0.018*B116,4)</f>
        <v>0.45019999999999999</v>
      </c>
      <c r="H121" s="3410">
        <f>G121</f>
        <v>0.45019999999999999</v>
      </c>
      <c r="I121" s="3410">
        <f>ROUND(0.5905-0.019*B116,4)</f>
        <v>0.36780000000000002</v>
      </c>
      <c r="J121" s="3410">
        <f t="shared" si="35"/>
        <v>0.36780000000000002</v>
      </c>
      <c r="K121" s="3410">
        <f t="shared" si="35"/>
        <v>0.36780000000000002</v>
      </c>
      <c r="L121" s="3410">
        <f t="shared" si="35"/>
        <v>0.36780000000000002</v>
      </c>
      <c r="M121" s="3411">
        <f t="shared" si="35"/>
        <v>0.36780000000000002</v>
      </c>
      <c r="N121" s="3395"/>
    </row>
    <row r="122" spans="1:14">
      <c r="A122" s="3412" t="s">
        <v>2609</v>
      </c>
      <c r="B122" s="3385">
        <f>ROUND(0.9404-0.0106*B116,4)</f>
        <v>0.81620000000000004</v>
      </c>
      <c r="C122" s="3385">
        <f>B122</f>
        <v>0.81620000000000004</v>
      </c>
      <c r="D122" s="3385">
        <f>ROUND(0.8955-0.0135*B116,4)</f>
        <v>0.73729999999999996</v>
      </c>
      <c r="E122" s="3385">
        <f t="shared" ref="E122:H122" si="37">D122</f>
        <v>0.73729999999999996</v>
      </c>
      <c r="F122" s="3385">
        <f t="shared" si="37"/>
        <v>0.73729999999999996</v>
      </c>
      <c r="G122" s="3385">
        <f t="shared" si="37"/>
        <v>0.73729999999999996</v>
      </c>
      <c r="H122" s="3385">
        <f t="shared" si="37"/>
        <v>0.73729999999999996</v>
      </c>
      <c r="I122" s="3385">
        <f>ROUND(0.7632-0.0166*B116,4)</f>
        <v>0.56859999999999999</v>
      </c>
      <c r="J122" s="3385">
        <f t="shared" si="35"/>
        <v>0.56859999999999999</v>
      </c>
      <c r="K122" s="3385">
        <f t="shared" si="35"/>
        <v>0.56859999999999999</v>
      </c>
      <c r="L122" s="3385">
        <f t="shared" si="35"/>
        <v>0.56859999999999999</v>
      </c>
      <c r="M122" s="3408">
        <f t="shared" si="35"/>
        <v>0.56859999999999999</v>
      </c>
      <c r="N122" s="3395"/>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1" customWidth="1"/>
    <col min="14" max="14" width="10" style="3071" customWidth="1"/>
    <col min="15" max="16" width="8.21875" style="3071"/>
    <col min="17" max="17" width="34.109375" style="3071" customWidth="1"/>
    <col min="18" max="18" width="8.21875" style="3071" customWidth="1"/>
    <col min="19" max="19" width="8.21875" style="3071"/>
    <col min="20" max="20" width="11.6640625" style="3071" customWidth="1"/>
    <col min="21" max="16384" width="8.21875" style="3071"/>
  </cols>
  <sheetData>
    <row r="1" spans="1:13" ht="19.5" customHeight="1" thickBot="1">
      <c r="A1" s="3068" t="s">
        <v>2591</v>
      </c>
      <c r="B1" s="3069" t="s">
        <v>2592</v>
      </c>
      <c r="C1" s="3069" t="s">
        <v>2593</v>
      </c>
      <c r="D1" s="3069" t="s">
        <v>2594</v>
      </c>
      <c r="E1" s="3069" t="s">
        <v>2595</v>
      </c>
      <c r="F1" s="3069" t="s">
        <v>2596</v>
      </c>
      <c r="G1" s="3069" t="s">
        <v>2597</v>
      </c>
      <c r="H1" s="3069" t="s">
        <v>2598</v>
      </c>
      <c r="I1" s="3069" t="s">
        <v>2599</v>
      </c>
      <c r="J1" s="3069" t="s">
        <v>2600</v>
      </c>
      <c r="K1" s="3069" t="s">
        <v>2601</v>
      </c>
      <c r="L1" s="3069" t="s">
        <v>2602</v>
      </c>
      <c r="M1" s="3070" t="s">
        <v>2603</v>
      </c>
    </row>
    <row r="2" spans="1:13" ht="19.5" customHeight="1">
      <c r="A2" s="3072" t="s">
        <v>2604</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2605</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2606</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2607</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2608</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2609</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2610</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2611</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2612</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2613</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2614</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2615</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2616</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2617</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2618</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2619</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2620</v>
      </c>
      <c r="B18" s="3094"/>
      <c r="C18" s="3095"/>
      <c r="D18" s="3095"/>
      <c r="E18" s="3094"/>
      <c r="F18" s="3095"/>
      <c r="G18" s="3095"/>
    </row>
    <row r="19" spans="1:13" ht="19.5" customHeight="1" thickBot="1">
      <c r="A19" s="3092" t="s">
        <v>2621</v>
      </c>
      <c r="B19" s="3097" t="s">
        <v>2622</v>
      </c>
      <c r="C19" s="3097" t="s">
        <v>2623</v>
      </c>
      <c r="D19" s="3098"/>
      <c r="E19" s="3092" t="s">
        <v>2624</v>
      </c>
      <c r="F19" s="3099"/>
      <c r="G19" s="3099"/>
    </row>
    <row r="20" spans="1:13" ht="19.5" customHeight="1">
      <c r="A20" s="3793" t="s">
        <v>2604</v>
      </c>
      <c r="B20" s="3788" t="s">
        <v>2625</v>
      </c>
      <c r="C20" s="3100" t="s">
        <v>2436</v>
      </c>
      <c r="D20" s="3101"/>
      <c r="E20" s="3102">
        <v>1</v>
      </c>
      <c r="F20" s="3103" t="s">
        <v>2437</v>
      </c>
      <c r="G20" s="3103"/>
    </row>
    <row r="21" spans="1:13" ht="19.5" customHeight="1">
      <c r="A21" s="3794"/>
      <c r="B21" s="3787"/>
      <c r="C21" s="3104" t="s">
        <v>2438</v>
      </c>
      <c r="D21" s="3105"/>
      <c r="E21" s="3106">
        <v>1</v>
      </c>
      <c r="F21" s="3103" t="s">
        <v>2439</v>
      </c>
      <c r="G21" s="3103"/>
    </row>
    <row r="22" spans="1:13" ht="19.5" customHeight="1">
      <c r="A22" s="3794"/>
      <c r="B22" s="3787"/>
      <c r="C22" s="3104" t="s">
        <v>2440</v>
      </c>
      <c r="D22" s="3105"/>
      <c r="E22" s="3106">
        <v>0.9</v>
      </c>
      <c r="F22" s="3103" t="s">
        <v>2441</v>
      </c>
      <c r="G22" s="3103"/>
    </row>
    <row r="23" spans="1:13" ht="19.5" customHeight="1">
      <c r="A23" s="3794"/>
      <c r="B23" s="3787"/>
      <c r="C23" s="3104" t="s">
        <v>2442</v>
      </c>
      <c r="D23" s="3105"/>
      <c r="E23" s="3106">
        <v>0.9</v>
      </c>
      <c r="F23" s="3103" t="s">
        <v>2443</v>
      </c>
      <c r="G23" s="3103"/>
    </row>
    <row r="24" spans="1:13" ht="19.5" customHeight="1">
      <c r="A24" s="3794"/>
      <c r="B24" s="3787"/>
      <c r="C24" s="3104" t="s">
        <v>2444</v>
      </c>
      <c r="D24" s="3105"/>
      <c r="E24" s="3106">
        <v>0.8</v>
      </c>
      <c r="F24" s="3103" t="s">
        <v>2445</v>
      </c>
      <c r="G24" s="3103"/>
    </row>
    <row r="25" spans="1:13" ht="19.5" customHeight="1" thickBot="1">
      <c r="A25" s="3795"/>
      <c r="B25" s="3789"/>
      <c r="C25" s="3107" t="s">
        <v>2446</v>
      </c>
      <c r="D25" s="3108"/>
      <c r="E25" s="3109">
        <v>0.8</v>
      </c>
      <c r="F25" s="3103" t="s">
        <v>2447</v>
      </c>
      <c r="G25" s="3103"/>
    </row>
    <row r="26" spans="1:13" ht="19.5" customHeight="1" thickBot="1">
      <c r="A26" s="3110" t="s">
        <v>2626</v>
      </c>
      <c r="B26" s="3111" t="s">
        <v>2625</v>
      </c>
      <c r="C26" s="3112" t="s">
        <v>2627</v>
      </c>
      <c r="D26" s="3113"/>
      <c r="E26" s="3114">
        <v>1</v>
      </c>
      <c r="F26" s="3103" t="s">
        <v>2448</v>
      </c>
      <c r="G26" s="3103"/>
    </row>
    <row r="27" spans="1:13" ht="19.5" customHeight="1">
      <c r="A27" s="3790" t="s">
        <v>2628</v>
      </c>
      <c r="B27" s="3788" t="s">
        <v>2609</v>
      </c>
      <c r="C27" s="3100" t="s">
        <v>2449</v>
      </c>
      <c r="D27" s="3101"/>
      <c r="E27" s="3102">
        <v>1</v>
      </c>
      <c r="F27" s="3103" t="s">
        <v>2450</v>
      </c>
      <c r="G27" s="3103"/>
    </row>
    <row r="28" spans="1:13" ht="19.5" customHeight="1">
      <c r="A28" s="3791"/>
      <c r="B28" s="3787"/>
      <c r="C28" s="3104" t="s">
        <v>2451</v>
      </c>
      <c r="D28" s="3105"/>
      <c r="E28" s="3106">
        <v>1</v>
      </c>
      <c r="F28" s="3103" t="s">
        <v>2452</v>
      </c>
      <c r="G28" s="3103"/>
    </row>
    <row r="29" spans="1:13" ht="19.5" customHeight="1">
      <c r="A29" s="3791"/>
      <c r="B29" s="3787"/>
      <c r="C29" s="3104" t="s">
        <v>2453</v>
      </c>
      <c r="D29" s="3105"/>
      <c r="E29" s="3106">
        <v>0.8</v>
      </c>
      <c r="F29" s="3103" t="s">
        <v>2454</v>
      </c>
      <c r="G29" s="3103"/>
    </row>
    <row r="30" spans="1:13" ht="19.5" customHeight="1">
      <c r="A30" s="3791"/>
      <c r="B30" s="3787"/>
      <c r="C30" s="3104" t="s">
        <v>2455</v>
      </c>
      <c r="D30" s="3105"/>
      <c r="E30" s="3106">
        <v>0.8</v>
      </c>
      <c r="F30" s="3103" t="s">
        <v>2456</v>
      </c>
      <c r="G30" s="3103"/>
    </row>
    <row r="31" spans="1:13" ht="19.5" customHeight="1">
      <c r="A31" s="3791"/>
      <c r="B31" s="3787"/>
      <c r="C31" s="3104" t="s">
        <v>2457</v>
      </c>
      <c r="D31" s="3105"/>
      <c r="E31" s="3106">
        <v>0.8</v>
      </c>
      <c r="F31" s="3103" t="s">
        <v>2458</v>
      </c>
      <c r="G31" s="3103"/>
    </row>
    <row r="32" spans="1:13" ht="19.5" customHeight="1">
      <c r="A32" s="3791"/>
      <c r="B32" s="3787"/>
      <c r="C32" s="3104" t="s">
        <v>2459</v>
      </c>
      <c r="D32" s="3105"/>
      <c r="E32" s="3106">
        <v>0.7</v>
      </c>
      <c r="F32" s="3103" t="s">
        <v>2460</v>
      </c>
      <c r="G32" s="3103"/>
    </row>
    <row r="33" spans="1:7" ht="19.5" customHeight="1">
      <c r="A33" s="3791"/>
      <c r="B33" s="3787"/>
      <c r="C33" s="3104" t="s">
        <v>2461</v>
      </c>
      <c r="D33" s="3105"/>
      <c r="E33" s="3106">
        <v>0.8</v>
      </c>
      <c r="F33" s="3103" t="s">
        <v>2462</v>
      </c>
      <c r="G33" s="3103"/>
    </row>
    <row r="34" spans="1:7" ht="19.5" customHeight="1">
      <c r="A34" s="3791"/>
      <c r="B34" s="3787"/>
      <c r="C34" s="3104" t="s">
        <v>2463</v>
      </c>
      <c r="D34" s="3105"/>
      <c r="E34" s="3106">
        <v>0.6</v>
      </c>
      <c r="F34" s="3103" t="s">
        <v>2464</v>
      </c>
      <c r="G34" s="3103"/>
    </row>
    <row r="35" spans="1:7" ht="19.5" customHeight="1">
      <c r="A35" s="3791"/>
      <c r="B35" s="3787"/>
      <c r="C35" s="3104" t="s">
        <v>2465</v>
      </c>
      <c r="D35" s="3105"/>
      <c r="E35" s="3106">
        <v>0.2</v>
      </c>
      <c r="F35" s="3103" t="s">
        <v>2466</v>
      </c>
      <c r="G35" s="3103"/>
    </row>
    <row r="36" spans="1:7" ht="19.5" customHeight="1">
      <c r="A36" s="3791"/>
      <c r="B36" s="3787"/>
      <c r="C36" s="3104" t="s">
        <v>2467</v>
      </c>
      <c r="D36" s="3105"/>
      <c r="E36" s="3106">
        <v>0.2</v>
      </c>
      <c r="F36" s="3103" t="s">
        <v>2468</v>
      </c>
      <c r="G36" s="3103"/>
    </row>
    <row r="37" spans="1:7" ht="19.5" customHeight="1">
      <c r="A37" s="3791"/>
      <c r="B37" s="3785" t="s">
        <v>2629</v>
      </c>
      <c r="C37" s="3104" t="s">
        <v>2469</v>
      </c>
      <c r="D37" s="3105"/>
      <c r="E37" s="3106">
        <v>0.6</v>
      </c>
      <c r="F37" s="3103" t="s">
        <v>2470</v>
      </c>
      <c r="G37" s="3103"/>
    </row>
    <row r="38" spans="1:7" ht="19.5" customHeight="1">
      <c r="A38" s="3791"/>
      <c r="B38" s="3787"/>
      <c r="C38" s="3104" t="s">
        <v>2471</v>
      </c>
      <c r="D38" s="3105"/>
      <c r="E38" s="3106">
        <v>0.6</v>
      </c>
      <c r="F38" s="3103" t="s">
        <v>2472</v>
      </c>
      <c r="G38" s="3103"/>
    </row>
    <row r="39" spans="1:7" ht="19.5" customHeight="1" thickBot="1">
      <c r="A39" s="3792"/>
      <c r="B39" s="3789"/>
      <c r="C39" s="3107" t="s">
        <v>2473</v>
      </c>
      <c r="D39" s="3108"/>
      <c r="E39" s="3109">
        <v>0.6</v>
      </c>
      <c r="F39" s="3103" t="s">
        <v>2474</v>
      </c>
      <c r="G39" s="3103"/>
    </row>
    <row r="40" spans="1:7" ht="19.5" customHeight="1" thickBot="1">
      <c r="A40" s="3110" t="s">
        <v>2606</v>
      </c>
      <c r="B40" s="3111" t="s">
        <v>2606</v>
      </c>
      <c r="C40" s="3112" t="s">
        <v>2630</v>
      </c>
      <c r="D40" s="3113"/>
      <c r="E40" s="3114">
        <v>1</v>
      </c>
      <c r="F40" s="3103" t="s">
        <v>2475</v>
      </c>
      <c r="G40" s="3103"/>
    </row>
    <row r="41" spans="1:7" ht="19.5" customHeight="1">
      <c r="A41" s="3793" t="s">
        <v>2607</v>
      </c>
      <c r="B41" s="3788" t="s">
        <v>2631</v>
      </c>
      <c r="C41" s="3100" t="s">
        <v>2476</v>
      </c>
      <c r="D41" s="3101"/>
      <c r="E41" s="3102">
        <v>1</v>
      </c>
      <c r="F41" s="3103" t="s">
        <v>2477</v>
      </c>
      <c r="G41" s="3103"/>
    </row>
    <row r="42" spans="1:7" ht="19.5" customHeight="1">
      <c r="A42" s="3794"/>
      <c r="B42" s="3787"/>
      <c r="C42" s="3104" t="s">
        <v>2478</v>
      </c>
      <c r="D42" s="3105"/>
      <c r="E42" s="3106">
        <v>1</v>
      </c>
      <c r="F42" s="3103" t="s">
        <v>2479</v>
      </c>
      <c r="G42" s="3103"/>
    </row>
    <row r="43" spans="1:7" ht="19.5" customHeight="1">
      <c r="A43" s="3794"/>
      <c r="B43" s="3786"/>
      <c r="C43" s="3104" t="s">
        <v>2480</v>
      </c>
      <c r="D43" s="3105"/>
      <c r="E43" s="3106">
        <v>1.5</v>
      </c>
      <c r="F43" s="3103" t="s">
        <v>2481</v>
      </c>
      <c r="G43" s="3103"/>
    </row>
    <row r="44" spans="1:7" ht="19.5" customHeight="1">
      <c r="A44" s="3794"/>
      <c r="B44" s="3115" t="s">
        <v>2632</v>
      </c>
      <c r="C44" s="3104" t="s">
        <v>2633</v>
      </c>
      <c r="D44" s="3105"/>
      <c r="E44" s="3106">
        <v>2</v>
      </c>
      <c r="F44" s="3103" t="s">
        <v>2482</v>
      </c>
      <c r="G44" s="3103"/>
    </row>
    <row r="45" spans="1:7" ht="19.5" customHeight="1">
      <c r="A45" s="3794"/>
      <c r="B45" s="3785" t="s">
        <v>2634</v>
      </c>
      <c r="C45" s="3104" t="s">
        <v>2483</v>
      </c>
      <c r="D45" s="3105"/>
      <c r="E45" s="3106">
        <v>1</v>
      </c>
      <c r="F45" s="3103" t="s">
        <v>2484</v>
      </c>
      <c r="G45" s="3103"/>
    </row>
    <row r="46" spans="1:7" ht="19.5" customHeight="1">
      <c r="A46" s="3794"/>
      <c r="B46" s="3787"/>
      <c r="C46" s="3104" t="s">
        <v>2485</v>
      </c>
      <c r="D46" s="3105"/>
      <c r="E46" s="3106">
        <v>1</v>
      </c>
      <c r="F46" s="3103" t="s">
        <v>2486</v>
      </c>
      <c r="G46" s="3103"/>
    </row>
    <row r="47" spans="1:7" ht="19.5" customHeight="1">
      <c r="A47" s="3794"/>
      <c r="B47" s="3787"/>
      <c r="C47" s="3104" t="s">
        <v>2487</v>
      </c>
      <c r="D47" s="3105"/>
      <c r="E47" s="3106">
        <v>1</v>
      </c>
      <c r="F47" s="3103" t="s">
        <v>2488</v>
      </c>
      <c r="G47" s="3103"/>
    </row>
    <row r="48" spans="1:7" ht="19.5" customHeight="1">
      <c r="A48" s="3794"/>
      <c r="B48" s="3787"/>
      <c r="C48" s="3104" t="s">
        <v>2489</v>
      </c>
      <c r="D48" s="3105"/>
      <c r="E48" s="3106">
        <v>1</v>
      </c>
      <c r="F48" s="3103" t="s">
        <v>2490</v>
      </c>
      <c r="G48" s="3103"/>
    </row>
    <row r="49" spans="1:7" ht="19.5" customHeight="1">
      <c r="A49" s="3794"/>
      <c r="B49" s="3787"/>
      <c r="C49" s="3104" t="s">
        <v>2491</v>
      </c>
      <c r="D49" s="3105"/>
      <c r="E49" s="3106">
        <v>1</v>
      </c>
      <c r="F49" s="3103" t="s">
        <v>2492</v>
      </c>
      <c r="G49" s="3103"/>
    </row>
    <row r="50" spans="1:7" ht="19.5" customHeight="1">
      <c r="A50" s="3794"/>
      <c r="B50" s="3787"/>
      <c r="C50" s="3104" t="s">
        <v>2493</v>
      </c>
      <c r="D50" s="3105"/>
      <c r="E50" s="3106">
        <v>1</v>
      </c>
      <c r="F50" s="3103" t="s">
        <v>2494</v>
      </c>
      <c r="G50" s="3103"/>
    </row>
    <row r="51" spans="1:7" ht="19.5" customHeight="1" thickBot="1">
      <c r="A51" s="3795"/>
      <c r="B51" s="3789"/>
      <c r="C51" s="3107" t="s">
        <v>2495</v>
      </c>
      <c r="D51" s="3108"/>
      <c r="E51" s="3109">
        <v>1</v>
      </c>
      <c r="F51" s="3103" t="s">
        <v>2496</v>
      </c>
      <c r="G51" s="3103"/>
    </row>
    <row r="52" spans="1:7" ht="19.5" customHeight="1">
      <c r="A52" s="3116"/>
      <c r="B52" s="3116"/>
      <c r="C52" s="3116"/>
      <c r="D52" s="3116"/>
      <c r="E52" s="3116"/>
      <c r="F52" s="3116"/>
      <c r="G52" s="3116"/>
    </row>
    <row r="54" spans="1:7" ht="19.5" customHeight="1">
      <c r="A54" s="3117"/>
      <c r="B54" s="3089" t="s">
        <v>2635</v>
      </c>
      <c r="C54" s="3089" t="s">
        <v>2635</v>
      </c>
      <c r="D54" s="3089" t="s">
        <v>2635</v>
      </c>
      <c r="E54" s="3092" t="s">
        <v>2635</v>
      </c>
      <c r="F54" s="3092" t="s">
        <v>2636</v>
      </c>
      <c r="G54" s="3092" t="s">
        <v>2637</v>
      </c>
    </row>
    <row r="55" spans="1:7" ht="19.5" customHeight="1">
      <c r="A55" s="3118"/>
      <c r="B55" s="3092" t="s">
        <v>2604</v>
      </c>
      <c r="C55" s="3092" t="s">
        <v>2604</v>
      </c>
      <c r="D55" s="3092" t="s">
        <v>2604</v>
      </c>
      <c r="E55" s="3089" t="s">
        <v>2605</v>
      </c>
      <c r="F55" s="3089" t="s">
        <v>2607</v>
      </c>
      <c r="G55" s="3089" t="s">
        <v>2638</v>
      </c>
    </row>
    <row r="56" spans="1:7" ht="19.5" customHeight="1">
      <c r="A56" s="3119"/>
      <c r="B56" s="3089">
        <v>1</v>
      </c>
      <c r="C56" s="3089">
        <v>2</v>
      </c>
      <c r="D56" s="3089">
        <v>3</v>
      </c>
      <c r="E56" s="3120" t="s">
        <v>2639</v>
      </c>
      <c r="F56" s="3120" t="s">
        <v>2639</v>
      </c>
      <c r="G56" s="3120" t="s">
        <v>2639</v>
      </c>
    </row>
    <row r="57" spans="1:7" ht="19.5" customHeight="1">
      <c r="A57" s="3121" t="s">
        <v>2592</v>
      </c>
      <c r="B57" s="3089">
        <v>0.7</v>
      </c>
      <c r="C57" s="3089">
        <v>0.4</v>
      </c>
      <c r="D57" s="3089">
        <v>0.3</v>
      </c>
      <c r="E57" s="3120">
        <v>0.3</v>
      </c>
      <c r="F57" s="3089">
        <v>0.3</v>
      </c>
      <c r="G57" s="3089">
        <v>0.2</v>
      </c>
    </row>
    <row r="58" spans="1:7" ht="19.5" customHeight="1">
      <c r="A58" s="3121" t="s">
        <v>2593</v>
      </c>
      <c r="B58" s="3089">
        <v>0.7</v>
      </c>
      <c r="C58" s="3089">
        <v>0.4</v>
      </c>
      <c r="D58" s="3089">
        <v>0.3</v>
      </c>
      <c r="E58" s="3089">
        <v>0.3</v>
      </c>
      <c r="F58" s="3089">
        <v>0.3</v>
      </c>
      <c r="G58" s="3089">
        <v>0.2</v>
      </c>
    </row>
    <row r="59" spans="1:7" ht="19.5" customHeight="1">
      <c r="A59" s="3121" t="s">
        <v>2594</v>
      </c>
      <c r="B59" s="3089">
        <v>0.6</v>
      </c>
      <c r="C59" s="3089">
        <v>0.3</v>
      </c>
      <c r="D59" s="3089">
        <v>0.25</v>
      </c>
      <c r="E59" s="3089">
        <v>0.25</v>
      </c>
      <c r="F59" s="3089">
        <v>0.25</v>
      </c>
      <c r="G59" s="3089">
        <v>0.15</v>
      </c>
    </row>
    <row r="60" spans="1:7" ht="19.5" customHeight="1">
      <c r="A60" s="3121" t="s">
        <v>2595</v>
      </c>
      <c r="B60" s="3089">
        <v>0.6</v>
      </c>
      <c r="C60" s="3089">
        <v>0.3</v>
      </c>
      <c r="D60" s="3089">
        <v>0.25</v>
      </c>
      <c r="E60" s="3089">
        <v>0.25</v>
      </c>
      <c r="F60" s="3089">
        <v>0.25</v>
      </c>
      <c r="G60" s="3089">
        <v>0.15</v>
      </c>
    </row>
    <row r="61" spans="1:7" ht="19.5" customHeight="1">
      <c r="A61" s="3121" t="s">
        <v>2596</v>
      </c>
      <c r="B61" s="3089">
        <v>0.6</v>
      </c>
      <c r="C61" s="3089">
        <v>0.3</v>
      </c>
      <c r="D61" s="3089">
        <v>0.25</v>
      </c>
      <c r="E61" s="3089">
        <v>0.25</v>
      </c>
      <c r="F61" s="3089">
        <v>0.25</v>
      </c>
      <c r="G61" s="3089">
        <v>0.15</v>
      </c>
    </row>
    <row r="62" spans="1:7" ht="19.5" customHeight="1">
      <c r="A62" s="3121" t="s">
        <v>2597</v>
      </c>
      <c r="B62" s="3089">
        <v>0.6</v>
      </c>
      <c r="C62" s="3089">
        <v>0.3</v>
      </c>
      <c r="D62" s="3089">
        <v>0.25</v>
      </c>
      <c r="E62" s="3089">
        <v>0.25</v>
      </c>
      <c r="F62" s="3089">
        <v>0.25</v>
      </c>
      <c r="G62" s="3089">
        <v>0.15</v>
      </c>
    </row>
    <row r="63" spans="1:7" ht="19.5" customHeight="1">
      <c r="A63" s="3121" t="s">
        <v>2598</v>
      </c>
      <c r="B63" s="3089">
        <v>0.6</v>
      </c>
      <c r="C63" s="3089">
        <v>0.3</v>
      </c>
      <c r="D63" s="3089">
        <v>0.25</v>
      </c>
      <c r="E63" s="3089">
        <v>0.25</v>
      </c>
      <c r="F63" s="3089">
        <v>0.25</v>
      </c>
      <c r="G63" s="3089">
        <v>0.15</v>
      </c>
    </row>
    <row r="64" spans="1:7" ht="19.5" customHeight="1">
      <c r="A64" s="3121" t="s">
        <v>2599</v>
      </c>
      <c r="B64" s="3089">
        <v>0.5</v>
      </c>
      <c r="C64" s="3089">
        <v>0.2</v>
      </c>
      <c r="D64" s="3089">
        <v>0.2</v>
      </c>
      <c r="E64" s="3089">
        <v>0.2</v>
      </c>
      <c r="F64" s="3089">
        <v>0.2</v>
      </c>
      <c r="G64" s="3089">
        <v>0.1</v>
      </c>
    </row>
    <row r="65" spans="1:7" ht="19.5" customHeight="1">
      <c r="A65" s="3121" t="s">
        <v>2600</v>
      </c>
      <c r="B65" s="3089">
        <v>0.5</v>
      </c>
      <c r="C65" s="3089">
        <v>0.2</v>
      </c>
      <c r="D65" s="3089">
        <v>0.2</v>
      </c>
      <c r="E65" s="3089">
        <v>0.2</v>
      </c>
      <c r="F65" s="3089">
        <v>0.2</v>
      </c>
      <c r="G65" s="3089">
        <v>0.1</v>
      </c>
    </row>
    <row r="66" spans="1:7" ht="19.5" customHeight="1">
      <c r="A66" s="3121" t="s">
        <v>2601</v>
      </c>
      <c r="B66" s="3089">
        <v>0.5</v>
      </c>
      <c r="C66" s="3089">
        <v>0.2</v>
      </c>
      <c r="D66" s="3089">
        <v>0.2</v>
      </c>
      <c r="E66" s="3089">
        <v>0.2</v>
      </c>
      <c r="F66" s="3089">
        <v>0.2</v>
      </c>
      <c r="G66" s="3089">
        <v>0.1</v>
      </c>
    </row>
    <row r="67" spans="1:7" ht="19.5" customHeight="1">
      <c r="A67" s="3121" t="s">
        <v>2602</v>
      </c>
      <c r="B67" s="3089">
        <v>0.5</v>
      </c>
      <c r="C67" s="3089">
        <v>0.2</v>
      </c>
      <c r="D67" s="3089">
        <v>0.2</v>
      </c>
      <c r="E67" s="3089">
        <v>0.2</v>
      </c>
      <c r="F67" s="3089">
        <v>0.2</v>
      </c>
      <c r="G67" s="3089">
        <v>0.1</v>
      </c>
    </row>
    <row r="68" spans="1:7" ht="19.5" customHeight="1">
      <c r="A68" s="3121" t="s">
        <v>2603</v>
      </c>
      <c r="B68" s="3089">
        <v>0.5</v>
      </c>
      <c r="C68" s="3089">
        <v>0.2</v>
      </c>
      <c r="D68" s="3089">
        <v>0.2</v>
      </c>
      <c r="E68" s="3089">
        <v>0.2</v>
      </c>
      <c r="F68" s="3089">
        <v>0.2</v>
      </c>
      <c r="G68" s="3089">
        <v>0.1</v>
      </c>
    </row>
    <row r="70" spans="1:7" ht="19.5" customHeight="1">
      <c r="A70" s="3122"/>
      <c r="B70" s="3123"/>
      <c r="C70" s="3123"/>
      <c r="D70" s="3123" t="s">
        <v>2640</v>
      </c>
      <c r="E70" s="3123"/>
      <c r="F70" s="3123"/>
    </row>
    <row r="71" spans="1:7" ht="19.5" customHeight="1">
      <c r="A71" s="3115" t="s">
        <v>2641</v>
      </c>
      <c r="B71" s="3115" t="s">
        <v>2642</v>
      </c>
      <c r="C71" s="3115" t="s">
        <v>2643</v>
      </c>
      <c r="D71" s="3115" t="s">
        <v>2644</v>
      </c>
      <c r="E71" s="3115" t="s">
        <v>2645</v>
      </c>
      <c r="F71" s="3115" t="s">
        <v>2646</v>
      </c>
    </row>
    <row r="72" spans="1:7" ht="14.4">
      <c r="A72" s="3115"/>
      <c r="B72" s="3115"/>
      <c r="C72" s="3115" t="s">
        <v>2647</v>
      </c>
      <c r="D72" s="3115"/>
      <c r="E72" s="3115" t="s">
        <v>2618</v>
      </c>
      <c r="F72" s="3115" t="s">
        <v>2618</v>
      </c>
    </row>
    <row r="73" spans="1:7" ht="14.4">
      <c r="A73" s="3115">
        <v>1</v>
      </c>
      <c r="B73" s="3785" t="s">
        <v>2648</v>
      </c>
      <c r="C73" s="3089" t="s">
        <v>2649</v>
      </c>
      <c r="D73" s="3089" t="s">
        <v>2650</v>
      </c>
      <c r="E73" s="3115">
        <v>0.2</v>
      </c>
      <c r="F73" s="3115">
        <v>25</v>
      </c>
    </row>
    <row r="74" spans="1:7" ht="24">
      <c r="A74" s="3115">
        <v>2</v>
      </c>
      <c r="B74" s="3787"/>
      <c r="C74" s="3089" t="s">
        <v>2651</v>
      </c>
      <c r="D74" s="3089" t="s">
        <v>2652</v>
      </c>
      <c r="E74" s="3115">
        <v>0.2</v>
      </c>
      <c r="F74" s="3115">
        <v>25</v>
      </c>
    </row>
    <row r="75" spans="1:7" ht="24">
      <c r="A75" s="3115">
        <v>3</v>
      </c>
      <c r="B75" s="3787"/>
      <c r="C75" s="3089" t="s">
        <v>2653</v>
      </c>
      <c r="D75" s="3089" t="s">
        <v>2654</v>
      </c>
      <c r="E75" s="3115">
        <v>0.2</v>
      </c>
      <c r="F75" s="3115">
        <v>25</v>
      </c>
    </row>
    <row r="76" spans="1:7" ht="14.4">
      <c r="A76" s="3115">
        <v>4</v>
      </c>
      <c r="B76" s="3787"/>
      <c r="C76" s="3089" t="s">
        <v>2655</v>
      </c>
      <c r="D76" s="3089" t="s">
        <v>2656</v>
      </c>
      <c r="E76" s="3115">
        <v>0.15</v>
      </c>
      <c r="F76" s="3115">
        <v>20</v>
      </c>
    </row>
    <row r="77" spans="1:7" ht="24">
      <c r="A77" s="3115">
        <v>5</v>
      </c>
      <c r="B77" s="3787"/>
      <c r="C77" s="3089" t="s">
        <v>2657</v>
      </c>
      <c r="D77" s="3089" t="s">
        <v>2658</v>
      </c>
      <c r="E77" s="3115">
        <v>0.15</v>
      </c>
      <c r="F77" s="3115">
        <v>20</v>
      </c>
    </row>
    <row r="78" spans="1:7" ht="24">
      <c r="A78" s="3115">
        <v>6</v>
      </c>
      <c r="B78" s="3787"/>
      <c r="C78" s="3089" t="s">
        <v>2659</v>
      </c>
      <c r="D78" s="3089" t="s">
        <v>2660</v>
      </c>
      <c r="E78" s="3115">
        <v>0.15</v>
      </c>
      <c r="F78" s="3115">
        <v>20</v>
      </c>
    </row>
    <row r="79" spans="1:7" ht="24">
      <c r="A79" s="3115">
        <v>7</v>
      </c>
      <c r="B79" s="3787"/>
      <c r="C79" s="3089" t="s">
        <v>2661</v>
      </c>
      <c r="D79" s="3089" t="s">
        <v>2662</v>
      </c>
      <c r="E79" s="3115">
        <v>0.15</v>
      </c>
      <c r="F79" s="3115">
        <v>20</v>
      </c>
    </row>
    <row r="80" spans="1:7" ht="24">
      <c r="A80" s="3115">
        <v>8</v>
      </c>
      <c r="B80" s="3787"/>
      <c r="C80" s="3089" t="s">
        <v>2663</v>
      </c>
      <c r="D80" s="3089" t="s">
        <v>2664</v>
      </c>
      <c r="E80" s="3115">
        <v>0.1</v>
      </c>
      <c r="F80" s="3115">
        <v>15</v>
      </c>
    </row>
    <row r="81" spans="1:6" ht="24">
      <c r="A81" s="3115">
        <v>9</v>
      </c>
      <c r="B81" s="3787"/>
      <c r="C81" s="3089" t="s">
        <v>2665</v>
      </c>
      <c r="D81" s="3089" t="s">
        <v>2666</v>
      </c>
      <c r="E81" s="3115">
        <v>0.1</v>
      </c>
      <c r="F81" s="3115">
        <v>15</v>
      </c>
    </row>
    <row r="82" spans="1:6" ht="24">
      <c r="A82" s="3115">
        <v>10</v>
      </c>
      <c r="B82" s="3787"/>
      <c r="C82" s="3089" t="s">
        <v>2667</v>
      </c>
      <c r="D82" s="3089" t="s">
        <v>2668</v>
      </c>
      <c r="E82" s="3115">
        <v>0.1</v>
      </c>
      <c r="F82" s="3115">
        <v>15</v>
      </c>
    </row>
    <row r="83" spans="1:6" ht="24">
      <c r="A83" s="3115">
        <v>11</v>
      </c>
      <c r="B83" s="3787"/>
      <c r="C83" s="3089" t="s">
        <v>2669</v>
      </c>
      <c r="D83" s="3089" t="s">
        <v>2670</v>
      </c>
      <c r="E83" s="3115">
        <v>0.1</v>
      </c>
      <c r="F83" s="3115">
        <v>15</v>
      </c>
    </row>
    <row r="84" spans="1:6" ht="24">
      <c r="A84" s="3115">
        <v>12</v>
      </c>
      <c r="B84" s="3787"/>
      <c r="C84" s="3089" t="s">
        <v>2671</v>
      </c>
      <c r="D84" s="3089" t="s">
        <v>2672</v>
      </c>
      <c r="E84" s="3115">
        <v>0.1</v>
      </c>
      <c r="F84" s="3115">
        <v>15</v>
      </c>
    </row>
    <row r="85" spans="1:6" ht="24">
      <c r="A85" s="3115">
        <v>13</v>
      </c>
      <c r="B85" s="3787"/>
      <c r="C85" s="3089" t="s">
        <v>2673</v>
      </c>
      <c r="D85" s="3089" t="s">
        <v>2674</v>
      </c>
      <c r="E85" s="3115">
        <v>0.1</v>
      </c>
      <c r="F85" s="3115">
        <v>15</v>
      </c>
    </row>
    <row r="86" spans="1:6" ht="24">
      <c r="A86" s="3115">
        <v>14</v>
      </c>
      <c r="B86" s="3787"/>
      <c r="C86" s="3089" t="s">
        <v>2675</v>
      </c>
      <c r="D86" s="3089" t="s">
        <v>2676</v>
      </c>
      <c r="E86" s="3115">
        <v>0.1</v>
      </c>
      <c r="F86" s="3115">
        <v>15</v>
      </c>
    </row>
    <row r="87" spans="1:6" ht="24">
      <c r="A87" s="3115">
        <v>15</v>
      </c>
      <c r="B87" s="3787"/>
      <c r="C87" s="3089" t="s">
        <v>2677</v>
      </c>
      <c r="D87" s="3089" t="s">
        <v>2678</v>
      </c>
      <c r="E87" s="3115">
        <v>0.1</v>
      </c>
      <c r="F87" s="3115">
        <v>15</v>
      </c>
    </row>
    <row r="88" spans="1:6" ht="24">
      <c r="A88" s="3115">
        <v>16</v>
      </c>
      <c r="B88" s="3787"/>
      <c r="C88" s="3089" t="s">
        <v>2679</v>
      </c>
      <c r="D88" s="3089" t="s">
        <v>2680</v>
      </c>
      <c r="E88" s="3115">
        <v>0.1</v>
      </c>
      <c r="F88" s="3115">
        <v>15</v>
      </c>
    </row>
    <row r="89" spans="1:6" ht="24">
      <c r="A89" s="3115">
        <v>17</v>
      </c>
      <c r="B89" s="3786"/>
      <c r="C89" s="3089" t="s">
        <v>2681</v>
      </c>
      <c r="D89" s="3089" t="s">
        <v>2682</v>
      </c>
      <c r="E89" s="3115">
        <v>0.1</v>
      </c>
      <c r="F89" s="3115">
        <v>15</v>
      </c>
    </row>
    <row r="90" spans="1:6" ht="14.4">
      <c r="A90" s="3115">
        <v>18</v>
      </c>
      <c r="B90" s="3785" t="s">
        <v>2683</v>
      </c>
      <c r="C90" s="3089" t="s">
        <v>2684</v>
      </c>
      <c r="D90" s="3089" t="s">
        <v>2685</v>
      </c>
      <c r="E90" s="3115">
        <v>0.2</v>
      </c>
      <c r="F90" s="3115">
        <v>25</v>
      </c>
    </row>
    <row r="91" spans="1:6" ht="24">
      <c r="A91" s="3115">
        <v>19</v>
      </c>
      <c r="B91" s="3787"/>
      <c r="C91" s="3089" t="s">
        <v>2686</v>
      </c>
      <c r="D91" s="3089" t="s">
        <v>2687</v>
      </c>
      <c r="E91" s="3115">
        <v>0.2</v>
      </c>
      <c r="F91" s="3115">
        <v>25</v>
      </c>
    </row>
    <row r="92" spans="1:6" ht="14.4">
      <c r="A92" s="3115">
        <v>20</v>
      </c>
      <c r="B92" s="3787"/>
      <c r="C92" s="3089" t="s">
        <v>2688</v>
      </c>
      <c r="D92" s="3089" t="s">
        <v>2689</v>
      </c>
      <c r="E92" s="3115">
        <v>0.15</v>
      </c>
      <c r="F92" s="3115">
        <v>20</v>
      </c>
    </row>
    <row r="93" spans="1:6" ht="24">
      <c r="A93" s="3115">
        <v>21</v>
      </c>
      <c r="B93" s="3787"/>
      <c r="C93" s="3089" t="s">
        <v>2690</v>
      </c>
      <c r="D93" s="3089" t="s">
        <v>2691</v>
      </c>
      <c r="E93" s="3115">
        <v>0.15</v>
      </c>
      <c r="F93" s="3115">
        <v>20</v>
      </c>
    </row>
    <row r="94" spans="1:6" ht="24">
      <c r="A94" s="3115">
        <v>22</v>
      </c>
      <c r="B94" s="3787"/>
      <c r="C94" s="3089" t="s">
        <v>2692</v>
      </c>
      <c r="D94" s="3089" t="s">
        <v>2693</v>
      </c>
      <c r="E94" s="3115">
        <v>0.15</v>
      </c>
      <c r="F94" s="3115">
        <v>20</v>
      </c>
    </row>
    <row r="95" spans="1:6" ht="36">
      <c r="A95" s="3115">
        <v>23</v>
      </c>
      <c r="B95" s="3787"/>
      <c r="C95" s="3089" t="s">
        <v>2694</v>
      </c>
      <c r="D95" s="3089" t="s">
        <v>2695</v>
      </c>
      <c r="E95" s="3115">
        <v>0.15</v>
      </c>
      <c r="F95" s="3115">
        <v>20</v>
      </c>
    </row>
    <row r="96" spans="1:6" ht="24">
      <c r="A96" s="3115">
        <v>24</v>
      </c>
      <c r="B96" s="3787"/>
      <c r="C96" s="3089" t="s">
        <v>2696</v>
      </c>
      <c r="D96" s="3089" t="s">
        <v>2697</v>
      </c>
      <c r="E96" s="3115">
        <v>0.1</v>
      </c>
      <c r="F96" s="3115">
        <v>15</v>
      </c>
    </row>
    <row r="97" spans="1:6" ht="24">
      <c r="A97" s="3115">
        <v>25</v>
      </c>
      <c r="B97" s="3787"/>
      <c r="C97" s="3089" t="s">
        <v>2698</v>
      </c>
      <c r="D97" s="3089" t="s">
        <v>2699</v>
      </c>
      <c r="E97" s="3115">
        <v>0.1</v>
      </c>
      <c r="F97" s="3115">
        <v>15</v>
      </c>
    </row>
    <row r="98" spans="1:6" ht="24">
      <c r="A98" s="3115">
        <v>26</v>
      </c>
      <c r="B98" s="3787"/>
      <c r="C98" s="3089" t="s">
        <v>2700</v>
      </c>
      <c r="D98" s="3089" t="s">
        <v>2701</v>
      </c>
      <c r="E98" s="3115">
        <v>0.1</v>
      </c>
      <c r="F98" s="3115">
        <v>15</v>
      </c>
    </row>
    <row r="99" spans="1:6" ht="24">
      <c r="A99" s="3115">
        <v>27</v>
      </c>
      <c r="B99" s="3787"/>
      <c r="C99" s="3089" t="s">
        <v>2702</v>
      </c>
      <c r="D99" s="3089" t="s">
        <v>2703</v>
      </c>
      <c r="E99" s="3115">
        <v>0.1</v>
      </c>
      <c r="F99" s="3115">
        <v>15</v>
      </c>
    </row>
    <row r="100" spans="1:6" ht="24">
      <c r="A100" s="3115">
        <v>28</v>
      </c>
      <c r="B100" s="3787"/>
      <c r="C100" s="3089" t="s">
        <v>2704</v>
      </c>
      <c r="D100" s="3089" t="s">
        <v>2705</v>
      </c>
      <c r="E100" s="3115">
        <v>0.1</v>
      </c>
      <c r="F100" s="3115">
        <v>15</v>
      </c>
    </row>
    <row r="101" spans="1:6" ht="24">
      <c r="A101" s="3115">
        <v>29</v>
      </c>
      <c r="B101" s="3787"/>
      <c r="C101" s="3089" t="s">
        <v>2706</v>
      </c>
      <c r="D101" s="3089" t="s">
        <v>2707</v>
      </c>
      <c r="E101" s="3115">
        <v>0.1</v>
      </c>
      <c r="F101" s="3115">
        <v>15</v>
      </c>
    </row>
    <row r="102" spans="1:6" ht="24">
      <c r="A102" s="3115">
        <v>30</v>
      </c>
      <c r="B102" s="3787"/>
      <c r="C102" s="3089" t="s">
        <v>2708</v>
      </c>
      <c r="D102" s="3089" t="s">
        <v>2709</v>
      </c>
      <c r="E102" s="3115">
        <v>0.1</v>
      </c>
      <c r="F102" s="3115">
        <v>15</v>
      </c>
    </row>
    <row r="103" spans="1:6" ht="24">
      <c r="A103" s="3115">
        <v>31</v>
      </c>
      <c r="B103" s="3787"/>
      <c r="C103" s="3089" t="s">
        <v>2710</v>
      </c>
      <c r="D103" s="3089" t="s">
        <v>2711</v>
      </c>
      <c r="E103" s="3115">
        <v>0.1</v>
      </c>
      <c r="F103" s="3115">
        <v>15</v>
      </c>
    </row>
    <row r="104" spans="1:6" ht="24">
      <c r="A104" s="3115">
        <v>32</v>
      </c>
      <c r="B104" s="3787"/>
      <c r="C104" s="3089" t="s">
        <v>2712</v>
      </c>
      <c r="D104" s="3089" t="s">
        <v>2713</v>
      </c>
      <c r="E104" s="3115">
        <v>0.1</v>
      </c>
      <c r="F104" s="3115">
        <v>15</v>
      </c>
    </row>
    <row r="105" spans="1:6" ht="24">
      <c r="A105" s="3115">
        <v>33</v>
      </c>
      <c r="B105" s="3787"/>
      <c r="C105" s="3089" t="s">
        <v>2714</v>
      </c>
      <c r="D105" s="3089" t="s">
        <v>2715</v>
      </c>
      <c r="E105" s="3115">
        <v>0.1</v>
      </c>
      <c r="F105" s="3115">
        <v>15</v>
      </c>
    </row>
    <row r="106" spans="1:6" ht="24">
      <c r="A106" s="3115">
        <v>34</v>
      </c>
      <c r="B106" s="3786"/>
      <c r="C106" s="3089" t="s">
        <v>2716</v>
      </c>
      <c r="D106" s="3089" t="s">
        <v>2717</v>
      </c>
      <c r="E106" s="3115">
        <v>0.1</v>
      </c>
      <c r="F106" s="3115">
        <v>15</v>
      </c>
    </row>
    <row r="107" spans="1:6" ht="36">
      <c r="A107" s="3115">
        <v>35</v>
      </c>
      <c r="B107" s="3785" t="s">
        <v>2718</v>
      </c>
      <c r="C107" s="3115" t="s">
        <v>2719</v>
      </c>
      <c r="D107" s="3089" t="s">
        <v>2720</v>
      </c>
      <c r="E107" s="3115">
        <v>0.15</v>
      </c>
      <c r="F107" s="3115">
        <v>20</v>
      </c>
    </row>
    <row r="108" spans="1:6" ht="24">
      <c r="A108" s="3115">
        <v>36</v>
      </c>
      <c r="B108" s="3787"/>
      <c r="C108" s="3115" t="s">
        <v>2721</v>
      </c>
      <c r="D108" s="3089" t="s">
        <v>2722</v>
      </c>
      <c r="E108" s="3115">
        <v>0.15</v>
      </c>
      <c r="F108" s="3115">
        <v>20</v>
      </c>
    </row>
    <row r="109" spans="1:6" ht="24">
      <c r="A109" s="3115">
        <v>37</v>
      </c>
      <c r="B109" s="3787"/>
      <c r="C109" s="3115" t="s">
        <v>2723</v>
      </c>
      <c r="D109" s="3089" t="s">
        <v>2724</v>
      </c>
      <c r="E109" s="3115">
        <v>0.15</v>
      </c>
      <c r="F109" s="3115">
        <v>20</v>
      </c>
    </row>
    <row r="110" spans="1:6" ht="24">
      <c r="A110" s="3115">
        <v>38</v>
      </c>
      <c r="B110" s="3787"/>
      <c r="C110" s="3115" t="s">
        <v>2725</v>
      </c>
      <c r="D110" s="3089" t="s">
        <v>2726</v>
      </c>
      <c r="E110" s="3115">
        <v>0.1</v>
      </c>
      <c r="F110" s="3115">
        <v>15</v>
      </c>
    </row>
    <row r="111" spans="1:6" ht="24">
      <c r="A111" s="3115">
        <v>39</v>
      </c>
      <c r="B111" s="3787"/>
      <c r="C111" s="3115" t="s">
        <v>2727</v>
      </c>
      <c r="D111" s="3089" t="s">
        <v>2728</v>
      </c>
      <c r="E111" s="3115">
        <v>0.1</v>
      </c>
      <c r="F111" s="3115">
        <v>15</v>
      </c>
    </row>
    <row r="112" spans="1:6" ht="24">
      <c r="A112" s="3115">
        <v>40</v>
      </c>
      <c r="B112" s="3786"/>
      <c r="C112" s="3115" t="s">
        <v>2729</v>
      </c>
      <c r="D112" s="3089" t="s">
        <v>2730</v>
      </c>
      <c r="E112" s="3115">
        <v>0.1</v>
      </c>
      <c r="F112" s="3115">
        <v>15</v>
      </c>
    </row>
    <row r="113" spans="1:6" ht="24">
      <c r="A113" s="3115">
        <v>41</v>
      </c>
      <c r="B113" s="3784" t="s">
        <v>2731</v>
      </c>
      <c r="C113" s="3115" t="s">
        <v>2732</v>
      </c>
      <c r="D113" s="3089" t="s">
        <v>2733</v>
      </c>
      <c r="E113" s="3115">
        <v>0.1</v>
      </c>
      <c r="F113" s="3115">
        <v>15</v>
      </c>
    </row>
    <row r="114" spans="1:6" ht="24">
      <c r="A114" s="3115">
        <v>42</v>
      </c>
      <c r="B114" s="3784"/>
      <c r="C114" s="3115" t="s">
        <v>2734</v>
      </c>
      <c r="D114" s="3089" t="s">
        <v>2735</v>
      </c>
      <c r="E114" s="3115">
        <v>0.1</v>
      </c>
      <c r="F114" s="3115">
        <v>15</v>
      </c>
    </row>
    <row r="115" spans="1:6" ht="24">
      <c r="A115" s="3115">
        <v>43</v>
      </c>
      <c r="B115" s="3784"/>
      <c r="C115" s="3115" t="s">
        <v>2736</v>
      </c>
      <c r="D115" s="3089" t="s">
        <v>2737</v>
      </c>
      <c r="E115" s="3115">
        <v>0.1</v>
      </c>
      <c r="F115" s="3115">
        <v>15</v>
      </c>
    </row>
    <row r="116" spans="1:6" ht="24">
      <c r="A116" s="3115">
        <v>44</v>
      </c>
      <c r="B116" s="3785" t="s">
        <v>2738</v>
      </c>
      <c r="C116" s="3115" t="s">
        <v>2739</v>
      </c>
      <c r="D116" s="3089" t="s">
        <v>2740</v>
      </c>
      <c r="E116" s="3115">
        <v>0.1</v>
      </c>
      <c r="F116" s="3115">
        <v>15</v>
      </c>
    </row>
    <row r="117" spans="1:6" ht="24">
      <c r="A117" s="3115">
        <v>45</v>
      </c>
      <c r="B117" s="3786"/>
      <c r="C117" s="3089" t="s">
        <v>2741</v>
      </c>
      <c r="D117" s="3089" t="s">
        <v>2742</v>
      </c>
      <c r="E117" s="3115">
        <v>0.1</v>
      </c>
      <c r="F117" s="3115">
        <v>15</v>
      </c>
    </row>
    <row r="118" spans="1:6" ht="24">
      <c r="A118" s="3115">
        <v>46</v>
      </c>
      <c r="B118" s="3785" t="s">
        <v>2743</v>
      </c>
      <c r="C118" s="3115" t="s">
        <v>2744</v>
      </c>
      <c r="D118" s="3089" t="s">
        <v>2745</v>
      </c>
      <c r="E118" s="3115">
        <v>0.1</v>
      </c>
      <c r="F118" s="3115">
        <v>15</v>
      </c>
    </row>
    <row r="119" spans="1:6" ht="24">
      <c r="A119" s="3115">
        <v>47</v>
      </c>
      <c r="B119" s="3786"/>
      <c r="C119" s="3115" t="s">
        <v>2746</v>
      </c>
      <c r="D119" s="3089" t="s">
        <v>2747</v>
      </c>
      <c r="E119" s="3115">
        <v>0.1</v>
      </c>
      <c r="F119" s="3115">
        <v>15</v>
      </c>
    </row>
    <row r="120" spans="1:6" ht="24">
      <c r="A120" s="3115">
        <v>48</v>
      </c>
      <c r="B120" s="3785" t="s">
        <v>2748</v>
      </c>
      <c r="C120" s="3115" t="s">
        <v>2749</v>
      </c>
      <c r="D120" s="3089" t="s">
        <v>2750</v>
      </c>
      <c r="E120" s="3115">
        <v>0.1</v>
      </c>
      <c r="F120" s="3115">
        <v>15</v>
      </c>
    </row>
    <row r="121" spans="1:6" ht="24">
      <c r="A121" s="3115">
        <v>49</v>
      </c>
      <c r="B121" s="3786"/>
      <c r="C121" s="3115" t="s">
        <v>2751</v>
      </c>
      <c r="D121" s="3089" t="s">
        <v>2752</v>
      </c>
      <c r="E121" s="3115">
        <v>0.1</v>
      </c>
      <c r="F121" s="3115">
        <v>15</v>
      </c>
    </row>
    <row r="122" spans="1:6" ht="24">
      <c r="A122" s="3115">
        <v>50</v>
      </c>
      <c r="B122" s="3784" t="s">
        <v>2753</v>
      </c>
      <c r="C122" s="3115" t="s">
        <v>2754</v>
      </c>
      <c r="D122" s="3089" t="s">
        <v>2755</v>
      </c>
      <c r="E122" s="3115">
        <v>0.1</v>
      </c>
      <c r="F122" s="3115">
        <v>15</v>
      </c>
    </row>
    <row r="123" spans="1:6" ht="24">
      <c r="A123" s="3115">
        <v>51</v>
      </c>
      <c r="B123" s="3784"/>
      <c r="C123" s="3115" t="s">
        <v>2756</v>
      </c>
      <c r="D123" s="3089" t="s">
        <v>2757</v>
      </c>
      <c r="E123" s="3115">
        <v>0.1</v>
      </c>
      <c r="F123" s="3115">
        <v>15</v>
      </c>
    </row>
    <row r="124" spans="1:6" ht="24">
      <c r="A124" s="3115">
        <v>52</v>
      </c>
      <c r="B124" s="3784" t="s">
        <v>2758</v>
      </c>
      <c r="C124" s="3115" t="s">
        <v>2759</v>
      </c>
      <c r="D124" s="3089" t="s">
        <v>2760</v>
      </c>
      <c r="E124" s="3115">
        <v>0.1</v>
      </c>
      <c r="F124" s="3115">
        <v>15</v>
      </c>
    </row>
    <row r="125" spans="1:6" ht="24">
      <c r="A125" s="3115">
        <v>53</v>
      </c>
      <c r="B125" s="3784"/>
      <c r="C125" s="3115" t="s">
        <v>2761</v>
      </c>
      <c r="D125" s="3089" t="s">
        <v>2762</v>
      </c>
      <c r="E125" s="3115">
        <v>0.1</v>
      </c>
      <c r="F125" s="3115">
        <v>15</v>
      </c>
    </row>
    <row r="126" spans="1:6" ht="24">
      <c r="A126" s="3115">
        <v>54</v>
      </c>
      <c r="B126" s="3115" t="s">
        <v>2763</v>
      </c>
      <c r="C126" s="3115" t="s">
        <v>2764</v>
      </c>
      <c r="D126" s="3089" t="s">
        <v>2765</v>
      </c>
      <c r="E126" s="3115">
        <v>0.1</v>
      </c>
      <c r="F126" s="3115">
        <v>15</v>
      </c>
    </row>
    <row r="127" spans="1:6" ht="24">
      <c r="A127" s="3115">
        <v>55</v>
      </c>
      <c r="B127" s="3784" t="s">
        <v>2766</v>
      </c>
      <c r="C127" s="3115" t="s">
        <v>2767</v>
      </c>
      <c r="D127" s="3089" t="s">
        <v>2768</v>
      </c>
      <c r="E127" s="3115">
        <v>0.1</v>
      </c>
      <c r="F127" s="3115">
        <v>15</v>
      </c>
    </row>
    <row r="128" spans="1:6" ht="24">
      <c r="A128" s="3115">
        <v>56</v>
      </c>
      <c r="B128" s="3784"/>
      <c r="C128" s="3115" t="s">
        <v>2769</v>
      </c>
      <c r="D128" s="3089" t="s">
        <v>2770</v>
      </c>
      <c r="E128" s="3115">
        <v>0.1</v>
      </c>
      <c r="F128" s="3115">
        <v>15</v>
      </c>
    </row>
    <row r="129" spans="1:6" ht="24">
      <c r="A129" s="3115">
        <v>57</v>
      </c>
      <c r="B129" s="3784"/>
      <c r="C129" s="3115" t="s">
        <v>2771</v>
      </c>
      <c r="D129" s="3089" t="s">
        <v>2772</v>
      </c>
      <c r="E129" s="3115">
        <v>0.1</v>
      </c>
      <c r="F129" s="3115">
        <v>15</v>
      </c>
    </row>
    <row r="130" spans="1:6" ht="24">
      <c r="A130" s="3115">
        <v>58</v>
      </c>
      <c r="B130" s="3784" t="s">
        <v>2773</v>
      </c>
      <c r="C130" s="3115" t="s">
        <v>2774</v>
      </c>
      <c r="D130" s="3089" t="s">
        <v>2775</v>
      </c>
      <c r="E130" s="3115">
        <v>0.1</v>
      </c>
      <c r="F130" s="3115">
        <v>15</v>
      </c>
    </row>
    <row r="131" spans="1:6" ht="24">
      <c r="A131" s="3115">
        <v>59</v>
      </c>
      <c r="B131" s="3784"/>
      <c r="C131" s="3115" t="s">
        <v>2776</v>
      </c>
      <c r="D131" s="3089" t="s">
        <v>2777</v>
      </c>
      <c r="E131" s="3115">
        <v>0.1</v>
      </c>
      <c r="F131" s="3115">
        <v>15</v>
      </c>
    </row>
    <row r="132" spans="1:6" ht="24">
      <c r="A132" s="3115">
        <v>60</v>
      </c>
      <c r="B132" s="3785" t="s">
        <v>2778</v>
      </c>
      <c r="C132" s="3115" t="s">
        <v>2779</v>
      </c>
      <c r="D132" s="3089" t="s">
        <v>2780</v>
      </c>
      <c r="E132" s="3115">
        <v>0.1</v>
      </c>
      <c r="F132" s="3115">
        <v>15</v>
      </c>
    </row>
    <row r="133" spans="1:6" ht="24">
      <c r="A133" s="3115">
        <v>61</v>
      </c>
      <c r="B133" s="3786"/>
      <c r="C133" s="3115" t="s">
        <v>2781</v>
      </c>
      <c r="D133" s="3089" t="s">
        <v>2782</v>
      </c>
      <c r="E133" s="3115">
        <v>0.1</v>
      </c>
      <c r="F133" s="3115">
        <v>15</v>
      </c>
    </row>
    <row r="134" spans="1:6" ht="24">
      <c r="A134" s="3115">
        <v>62</v>
      </c>
      <c r="B134" s="3115" t="s">
        <v>2783</v>
      </c>
      <c r="C134" s="3115" t="s">
        <v>2784</v>
      </c>
      <c r="D134" s="3089" t="s">
        <v>2785</v>
      </c>
      <c r="E134" s="3115">
        <v>0.1</v>
      </c>
      <c r="F134" s="3115">
        <v>15</v>
      </c>
    </row>
    <row r="135" spans="1:6" ht="24">
      <c r="A135" s="3115">
        <v>63</v>
      </c>
      <c r="B135" s="3784" t="s">
        <v>2786</v>
      </c>
      <c r="C135" s="3115" t="s">
        <v>2787</v>
      </c>
      <c r="D135" s="3089" t="s">
        <v>2788</v>
      </c>
      <c r="E135" s="3115">
        <v>0.1</v>
      </c>
      <c r="F135" s="3115">
        <v>15</v>
      </c>
    </row>
    <row r="136" spans="1:6" ht="24">
      <c r="A136" s="3115">
        <v>64</v>
      </c>
      <c r="B136" s="3784"/>
      <c r="C136" s="3115" t="s">
        <v>2789</v>
      </c>
      <c r="D136" s="3089" t="s">
        <v>2790</v>
      </c>
      <c r="E136" s="3115">
        <v>0.1</v>
      </c>
      <c r="F136" s="3115">
        <v>15</v>
      </c>
    </row>
    <row r="137" spans="1:6" ht="24">
      <c r="A137" s="3115">
        <v>65</v>
      </c>
      <c r="B137" s="3115" t="s">
        <v>2791</v>
      </c>
      <c r="C137" s="3115" t="s">
        <v>2792</v>
      </c>
      <c r="D137" s="3089" t="s">
        <v>2793</v>
      </c>
      <c r="E137" s="3115">
        <v>0.1</v>
      </c>
      <c r="F137" s="3115">
        <v>15</v>
      </c>
    </row>
    <row r="138" spans="1:6" ht="14.4">
      <c r="A138" s="3115"/>
      <c r="B138" s="3115"/>
      <c r="C138" s="3115"/>
      <c r="D138" s="3115"/>
      <c r="E138" s="3115" t="s">
        <v>2794</v>
      </c>
      <c r="F138" s="3115"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8"/>
    <col min="14" max="16384" width="9" style="750"/>
  </cols>
  <sheetData>
    <row r="1" spans="1:20" ht="16.2" thickBot="1">
      <c r="A1" s="3124" t="s">
        <v>2795</v>
      </c>
      <c r="B1" s="3124"/>
      <c r="C1" s="3124"/>
      <c r="D1" s="3124"/>
      <c r="E1" s="3124"/>
      <c r="F1" s="3124"/>
      <c r="G1" s="3124"/>
      <c r="H1" s="3124"/>
      <c r="I1" s="3124"/>
      <c r="J1" s="3124"/>
      <c r="K1" s="3124"/>
      <c r="L1" s="3124"/>
      <c r="M1" s="3124"/>
      <c r="N1" s="749"/>
    </row>
    <row r="2" spans="1:20">
      <c r="A2" s="3125" t="s">
        <v>2796</v>
      </c>
      <c r="B2" s="3126" t="s">
        <v>2592</v>
      </c>
      <c r="C2" s="3126" t="s">
        <v>2593</v>
      </c>
      <c r="D2" s="3126" t="s">
        <v>2594</v>
      </c>
      <c r="E2" s="3126" t="s">
        <v>2595</v>
      </c>
      <c r="F2" s="3126" t="s">
        <v>2596</v>
      </c>
      <c r="G2" s="3126" t="s">
        <v>2597</v>
      </c>
      <c r="H2" s="3127" t="s">
        <v>2598</v>
      </c>
      <c r="I2" s="3127" t="s">
        <v>2599</v>
      </c>
      <c r="J2" s="3128" t="s">
        <v>2600</v>
      </c>
      <c r="K2" s="3128" t="s">
        <v>2601</v>
      </c>
      <c r="L2" s="3128" t="s">
        <v>2602</v>
      </c>
      <c r="M2" s="3129" t="s">
        <v>2603</v>
      </c>
      <c r="Q2" s="3139" t="s">
        <v>2801</v>
      </c>
      <c r="R2" s="3139" t="s">
        <v>2802</v>
      </c>
      <c r="S2" s="3139" t="s">
        <v>2803</v>
      </c>
      <c r="T2" s="3139" t="s">
        <v>2804</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51"/>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51"/>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51"/>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6.2" thickBot="1">
      <c r="A93" s="3124" t="s">
        <v>2797</v>
      </c>
      <c r="B93" s="3124"/>
      <c r="C93" s="3124"/>
      <c r="D93" s="3124"/>
      <c r="E93" s="3124"/>
      <c r="F93" s="3124"/>
      <c r="G93" s="3124"/>
      <c r="H93" s="3124"/>
      <c r="I93" s="3124"/>
      <c r="J93" s="3124"/>
      <c r="K93" s="3124"/>
      <c r="L93" s="3124"/>
      <c r="M93" s="3124"/>
    </row>
    <row r="94" spans="1:20">
      <c r="A94" s="3125" t="s">
        <v>2796</v>
      </c>
      <c r="B94" s="3126" t="s">
        <v>2592</v>
      </c>
      <c r="C94" s="3126" t="s">
        <v>2593</v>
      </c>
      <c r="D94" s="3126" t="s">
        <v>2594</v>
      </c>
      <c r="E94" s="3126" t="s">
        <v>2595</v>
      </c>
      <c r="F94" s="3126" t="s">
        <v>2596</v>
      </c>
      <c r="G94" s="3126" t="s">
        <v>2597</v>
      </c>
      <c r="H94" s="3127" t="s">
        <v>2598</v>
      </c>
      <c r="I94" s="3127" t="s">
        <v>2599</v>
      </c>
      <c r="J94" s="3128" t="s">
        <v>2600</v>
      </c>
      <c r="K94" s="3128" t="s">
        <v>2601</v>
      </c>
      <c r="L94" s="3128" t="s">
        <v>2602</v>
      </c>
      <c r="M94" s="3129" t="s">
        <v>2603</v>
      </c>
      <c r="N94" s="750">
        <f>SUMPRODUCT((A95:A184=ROUNDDOWN(基准地价修正!G3,1))*(B94:M94=基准地价修正!G2)*(B95:M184))</f>
        <v>0</v>
      </c>
      <c r="Q94" s="3139" t="s">
        <v>2801</v>
      </c>
      <c r="R94" s="3139" t="s">
        <v>2802</v>
      </c>
      <c r="S94" s="3139" t="s">
        <v>2803</v>
      </c>
      <c r="T94" s="3139" t="s">
        <v>2804</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5.6">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9"/>
    </row>
    <row r="104" spans="1:14" ht="15.6">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9"/>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6.2" thickBot="1">
      <c r="A185" s="3124" t="s">
        <v>2798</v>
      </c>
      <c r="B185" s="3124"/>
      <c r="C185" s="3124"/>
      <c r="D185" s="3124"/>
      <c r="E185" s="3124"/>
      <c r="F185" s="3124"/>
      <c r="G185" s="3124"/>
      <c r="H185" s="3124"/>
      <c r="I185" s="3124"/>
      <c r="J185" s="3124"/>
      <c r="K185" s="3124"/>
      <c r="L185" s="3124"/>
      <c r="M185" s="3124"/>
    </row>
    <row r="186" spans="1:20">
      <c r="A186" s="3125" t="s">
        <v>2796</v>
      </c>
      <c r="B186" s="3126" t="s">
        <v>2592</v>
      </c>
      <c r="C186" s="3126" t="s">
        <v>2593</v>
      </c>
      <c r="D186" s="3126" t="s">
        <v>2594</v>
      </c>
      <c r="E186" s="3126" t="s">
        <v>2595</v>
      </c>
      <c r="F186" s="3126" t="s">
        <v>2596</v>
      </c>
      <c r="G186" s="3126" t="s">
        <v>2597</v>
      </c>
      <c r="H186" s="3127" t="s">
        <v>2598</v>
      </c>
      <c r="I186" s="3127" t="s">
        <v>2599</v>
      </c>
      <c r="J186" s="3128" t="s">
        <v>2600</v>
      </c>
      <c r="K186" s="3128" t="s">
        <v>2601</v>
      </c>
      <c r="L186" s="3128" t="s">
        <v>2602</v>
      </c>
      <c r="M186" s="3129" t="s">
        <v>2603</v>
      </c>
      <c r="Q186" s="3139" t="s">
        <v>2801</v>
      </c>
      <c r="R186" s="3139" t="s">
        <v>2802</v>
      </c>
      <c r="S186" s="3139" t="s">
        <v>2803</v>
      </c>
      <c r="T186" s="3139" t="s">
        <v>2804</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6.2" thickBot="1">
      <c r="A277" s="3124" t="s">
        <v>2799</v>
      </c>
      <c r="B277" s="3124"/>
      <c r="C277" s="3124"/>
      <c r="D277" s="3124"/>
      <c r="E277" s="3124"/>
      <c r="F277" s="3124"/>
      <c r="G277" s="3124"/>
      <c r="H277" s="3124"/>
      <c r="I277" s="3124"/>
      <c r="J277" s="3124"/>
      <c r="K277" s="3124"/>
      <c r="L277" s="3124"/>
      <c r="M277" s="3124"/>
    </row>
    <row r="278" spans="1:21">
      <c r="A278" s="3125" t="s">
        <v>2796</v>
      </c>
      <c r="B278" s="3126" t="s">
        <v>2592</v>
      </c>
      <c r="C278" s="3126" t="s">
        <v>2593</v>
      </c>
      <c r="D278" s="3126" t="s">
        <v>2594</v>
      </c>
      <c r="E278" s="3126" t="s">
        <v>2595</v>
      </c>
      <c r="F278" s="3126" t="s">
        <v>2596</v>
      </c>
      <c r="G278" s="3126" t="s">
        <v>2597</v>
      </c>
      <c r="H278" s="3127" t="s">
        <v>2598</v>
      </c>
      <c r="I278" s="3127" t="s">
        <v>2599</v>
      </c>
      <c r="J278" s="3128" t="s">
        <v>2600</v>
      </c>
      <c r="K278" s="3128" t="s">
        <v>2601</v>
      </c>
      <c r="L278" s="3128" t="s">
        <v>2602</v>
      </c>
      <c r="M278" s="3129" t="s">
        <v>2603</v>
      </c>
      <c r="Q278" s="3139" t="s">
        <v>2801</v>
      </c>
      <c r="R278" s="3139" t="s">
        <v>2802</v>
      </c>
      <c r="S278" s="3139" t="s">
        <v>2805</v>
      </c>
      <c r="T278" s="3139" t="s">
        <v>2806</v>
      </c>
      <c r="U278" s="3139" t="s">
        <v>2804</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6.2" thickBot="1">
      <c r="A369" s="3124" t="s">
        <v>2800</v>
      </c>
      <c r="B369" s="3137"/>
      <c r="C369" s="3137"/>
      <c r="D369" s="3137"/>
      <c r="E369" s="3137"/>
      <c r="F369" s="3137"/>
      <c r="G369" s="3137"/>
      <c r="H369" s="3137"/>
      <c r="I369" s="3137"/>
      <c r="J369" s="3137"/>
      <c r="K369" s="3137"/>
      <c r="L369" s="3137"/>
      <c r="M369" s="3137"/>
    </row>
    <row r="370" spans="1:20">
      <c r="A370" s="3125" t="s">
        <v>2796</v>
      </c>
      <c r="B370" s="3126" t="s">
        <v>2592</v>
      </c>
      <c r="C370" s="3126" t="s">
        <v>2593</v>
      </c>
      <c r="D370" s="3126" t="s">
        <v>2594</v>
      </c>
      <c r="E370" s="3126" t="s">
        <v>2595</v>
      </c>
      <c r="F370" s="3126" t="s">
        <v>2596</v>
      </c>
      <c r="G370" s="3126" t="s">
        <v>2597</v>
      </c>
      <c r="H370" s="3127" t="s">
        <v>2598</v>
      </c>
      <c r="I370" s="3127" t="s">
        <v>2599</v>
      </c>
      <c r="J370" s="3128" t="s">
        <v>2600</v>
      </c>
      <c r="K370" s="3128" t="s">
        <v>2601</v>
      </c>
      <c r="L370" s="3128" t="s">
        <v>2602</v>
      </c>
      <c r="M370" s="3129" t="s">
        <v>2603</v>
      </c>
      <c r="N370" s="750">
        <f>SUMPRODUCT((A371:A460=ROUNDDOWN(基准地价修正!G3,1))*(B370:M370=基准地价修正!G2)*(B371:M460))</f>
        <v>0</v>
      </c>
      <c r="Q370" s="3139" t="s">
        <v>2801</v>
      </c>
      <c r="R370" s="3139" t="s">
        <v>2802</v>
      </c>
      <c r="S370" s="3139" t="s">
        <v>2803</v>
      </c>
      <c r="T370" s="3139" t="s">
        <v>2804</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32692</v>
      </c>
      <c r="C2" s="2" t="s">
        <v>106</v>
      </c>
      <c r="D2" s="199"/>
      <c r="E2" s="199"/>
      <c r="F2" s="199"/>
      <c r="G2" s="199"/>
    </row>
    <row r="3" spans="1:7" s="200" customFormat="1" ht="18" customHeight="1" thickBot="1">
      <c r="A3" s="203" t="s">
        <v>58</v>
      </c>
      <c r="B3" s="204">
        <f ca="1">ROUND(B2*10000/'数据-汇总表'!E3,0)</f>
        <v>869769</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6</v>
      </c>
      <c r="D9" s="845">
        <f>'数据-汇总表'!E5</f>
        <v>375.87</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8</v>
      </c>
      <c r="D19" s="849">
        <f>'数据-汇总表'!E3</f>
        <v>375.87</v>
      </c>
      <c r="E19" s="211">
        <f>'数据-取费表'!B31</f>
        <v>200</v>
      </c>
      <c r="F19" s="231"/>
      <c r="G19" s="1" t="s">
        <v>436</v>
      </c>
    </row>
    <row r="20" spans="1:7" s="214" customFormat="1" ht="13.5" customHeight="1">
      <c r="A20" s="777" t="s">
        <v>419</v>
      </c>
      <c r="B20" s="210" t="s">
        <v>77</v>
      </c>
      <c r="C20" s="232">
        <f>ROUND((C5+C19)*F20,0)</f>
        <v>619</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2034</v>
      </c>
      <c r="D22" s="235">
        <f ca="1">C26</f>
        <v>1.4E-3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29</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6.4">
      <c r="A27" s="777" t="s">
        <v>342</v>
      </c>
      <c r="B27" s="244" t="s">
        <v>85</v>
      </c>
      <c r="C27" s="245">
        <f>C28</f>
        <v>5309</v>
      </c>
      <c r="D27" s="235">
        <f>C29</f>
        <v>7.4999999999999997E-3</v>
      </c>
      <c r="E27" s="236" t="s">
        <v>99</v>
      </c>
      <c r="F27" s="246">
        <f>'数据-取费表'!Q16</f>
        <v>0.25</v>
      </c>
      <c r="G27" s="247" t="s">
        <v>431</v>
      </c>
    </row>
    <row r="28" spans="1:7" s="214" customFormat="1" ht="13.5" customHeight="1">
      <c r="A28" s="780" t="s">
        <v>349</v>
      </c>
      <c r="B28" s="248" t="s">
        <v>424</v>
      </c>
      <c r="C28" s="249">
        <f>ROUND((C5+C19+C20)*F27*'数据-取费表'!B21/'数据-取费表'!B20,0)</f>
        <v>5309</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31484</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933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752</v>
      </c>
      <c r="D34" s="217"/>
      <c r="E34" s="220"/>
      <c r="F34" s="257">
        <f>IF('数据-取费表'!B24=0,1,'数据-取费表'!N16)</f>
        <v>1</v>
      </c>
      <c r="G34" s="219" t="s">
        <v>89</v>
      </c>
    </row>
    <row r="35" spans="1:7" ht="13.5" customHeight="1">
      <c r="A35" s="780" t="s">
        <v>351</v>
      </c>
      <c r="B35" s="215" t="s">
        <v>33</v>
      </c>
      <c r="C35" s="220">
        <f>ROUND(C34*F35,0)</f>
        <v>75</v>
      </c>
      <c r="D35" s="220"/>
      <c r="E35" s="220"/>
      <c r="F35" s="259">
        <f>'数据-取费表'!B33</f>
        <v>0.1</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75</v>
      </c>
      <c r="D36" s="220"/>
      <c r="E36" s="220"/>
      <c r="F36" s="259">
        <f>'数据-取费表'!B34</f>
        <v>0.1</v>
      </c>
      <c r="G36" s="260" t="s">
        <v>35</v>
      </c>
    </row>
    <row r="37" spans="1:7" s="258" customFormat="1" ht="13.5" customHeight="1">
      <c r="A37" s="780" t="s">
        <v>353</v>
      </c>
      <c r="B37" s="215" t="s">
        <v>91</v>
      </c>
      <c r="C37" s="249">
        <f>ROUND(E37*D37*F34/10000,0)</f>
        <v>8</v>
      </c>
      <c r="D37" s="217">
        <f>'数据-汇总表'!E3</f>
        <v>375.87</v>
      </c>
      <c r="E37" s="249">
        <f>'数据-取费表'!B35</f>
        <v>200</v>
      </c>
      <c r="F37" s="259"/>
      <c r="G37" s="261" t="s">
        <v>92</v>
      </c>
    </row>
    <row r="38" spans="1:7" ht="13.5" customHeight="1">
      <c r="A38" s="780" t="s">
        <v>354</v>
      </c>
      <c r="B38" s="215" t="s">
        <v>36</v>
      </c>
      <c r="C38" s="220">
        <f>ROUND(C34*F38,0)</f>
        <v>23</v>
      </c>
      <c r="D38" s="220"/>
      <c r="E38" s="220"/>
      <c r="F38" s="259">
        <f>'数据-取费表'!B36</f>
        <v>0.03</v>
      </c>
      <c r="G38" s="219" t="s">
        <v>90</v>
      </c>
    </row>
    <row r="39" spans="1:7" s="214" customFormat="1" ht="13.5" customHeight="1">
      <c r="A39" s="777" t="s">
        <v>338</v>
      </c>
      <c r="B39" s="210" t="s">
        <v>77</v>
      </c>
      <c r="C39" s="232">
        <f>ROUND(C33*F20,0)</f>
        <v>28</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45</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44</v>
      </c>
      <c r="D42" s="238"/>
      <c r="E42" s="238"/>
      <c r="F42" s="239"/>
      <c r="G42" s="3658" t="s">
        <v>94</v>
      </c>
    </row>
    <row r="43" spans="1:7" ht="13.5" customHeight="1">
      <c r="A43" s="780" t="s">
        <v>347</v>
      </c>
      <c r="B43" s="215" t="s">
        <v>426</v>
      </c>
      <c r="C43" s="238">
        <f ca="1">ROUND(IF('数据-取费表'!B22&lt;=1,C39*F22*'数据-取费表'!B21/2,C39*(POWER((1+F22),'数据-取费表'!B21/2)-1)),0)</f>
        <v>1</v>
      </c>
      <c r="D43" s="238"/>
      <c r="E43" s="238"/>
      <c r="F43" s="239"/>
      <c r="G43" s="3659"/>
    </row>
    <row r="44" spans="1:7" ht="13.5" customHeight="1">
      <c r="A44" s="780" t="s">
        <v>348</v>
      </c>
      <c r="B44" s="215" t="s">
        <v>428</v>
      </c>
      <c r="C44" s="238">
        <f ca="1">ROUND(IF('数据-取费表'!B22&lt;=1,C40*F22*'数据-取费表'!B21/2,C40*(POWER((1+F22),'数据-取费表'!B21/2)-1)),4)</f>
        <v>1.4E-3</v>
      </c>
      <c r="D44" s="238"/>
      <c r="E44" s="238"/>
      <c r="F44" s="239"/>
      <c r="G44" s="3660"/>
    </row>
    <row r="45" spans="1:7" s="214" customFormat="1" ht="13.5" customHeight="1">
      <c r="A45" s="777" t="s">
        <v>341</v>
      </c>
      <c r="B45" s="244" t="s">
        <v>85</v>
      </c>
      <c r="C45" s="245">
        <f>C46</f>
        <v>240</v>
      </c>
      <c r="D45" s="235">
        <f>C47</f>
        <v>7.4999999999999997E-3</v>
      </c>
      <c r="E45" s="236" t="s">
        <v>102</v>
      </c>
      <c r="F45" s="246"/>
      <c r="G45" s="247" t="s">
        <v>434</v>
      </c>
    </row>
    <row r="46" spans="1:7" s="214" customFormat="1" ht="13.5" customHeight="1">
      <c r="A46" s="780" t="s">
        <v>349</v>
      </c>
      <c r="B46" s="248" t="s">
        <v>427</v>
      </c>
      <c r="C46" s="249">
        <f>ROUND((C33+C39)*F27,0)</f>
        <v>240</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1373</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1208</v>
      </c>
      <c r="D51" s="232"/>
      <c r="E51" s="232"/>
      <c r="F51" s="264"/>
      <c r="G51" s="234" t="s">
        <v>37</v>
      </c>
    </row>
    <row r="52" spans="1:7" s="208" customFormat="1" ht="16.8" thickBot="1">
      <c r="A52" s="265" t="s">
        <v>38</v>
      </c>
      <c r="B52" s="266"/>
      <c r="C52" s="267">
        <f ca="1">C31+C51</f>
        <v>32692</v>
      </c>
      <c r="D52" s="266"/>
      <c r="E52" s="266"/>
      <c r="F52" s="266"/>
      <c r="G52" s="268"/>
    </row>
    <row r="55" spans="1:7" ht="15">
      <c r="B55" s="270" t="s">
        <v>39</v>
      </c>
      <c r="C55" s="271"/>
    </row>
    <row r="56" spans="1:7">
      <c r="B56" s="273" t="s">
        <v>40</v>
      </c>
      <c r="C56" s="274">
        <f ca="1">ROUND(C51/C52,3)</f>
        <v>3.6999999999999998E-2</v>
      </c>
    </row>
    <row r="57" spans="1:7">
      <c r="B57" s="273" t="s">
        <v>41</v>
      </c>
      <c r="C57" s="275">
        <f ca="1">1-C56</f>
        <v>0.96299999999999997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3" customWidth="1"/>
    <col min="2" max="2" width="18.6640625" style="3223" customWidth="1"/>
    <col min="3" max="6" width="10.21875" style="3223" customWidth="1"/>
    <col min="7" max="7" width="10.44140625" style="3223" bestFit="1" customWidth="1"/>
    <col min="8" max="8" width="8.88671875" style="3219"/>
    <col min="9" max="9" width="13.33203125" style="3219" customWidth="1"/>
    <col min="10" max="13" width="13.33203125" style="3223" customWidth="1"/>
    <col min="14" max="14" width="18.21875" style="3223" customWidth="1"/>
    <col min="15" max="17" width="15.109375" style="3223" customWidth="1"/>
    <col min="18" max="20" width="11.44140625" style="3223" customWidth="1"/>
    <col min="21" max="16384" width="8.88671875" style="3223"/>
  </cols>
  <sheetData>
    <row r="1" spans="1:20" ht="11.4" thickBot="1">
      <c r="A1" s="3798" t="s">
        <v>2836</v>
      </c>
      <c r="B1" s="3798"/>
      <c r="C1" s="3798"/>
      <c r="D1" s="3798"/>
      <c r="E1" s="3798"/>
      <c r="F1" s="3798"/>
      <c r="G1" s="3799"/>
      <c r="I1" s="3220" t="s">
        <v>2837</v>
      </c>
      <c r="J1" s="3221" t="s">
        <v>2838</v>
      </c>
      <c r="K1" s="3221" t="s">
        <v>2839</v>
      </c>
      <c r="L1" s="3221" t="s">
        <v>2840</v>
      </c>
      <c r="M1" s="3221" t="s">
        <v>2841</v>
      </c>
      <c r="N1" s="3221" t="s">
        <v>2842</v>
      </c>
      <c r="O1" s="3221" t="s">
        <v>2843</v>
      </c>
      <c r="P1" s="3221" t="s">
        <v>2844</v>
      </c>
      <c r="Q1" s="3221" t="s">
        <v>2845</v>
      </c>
      <c r="R1" s="3221" t="s">
        <v>2846</v>
      </c>
      <c r="S1" s="3221" t="s">
        <v>2847</v>
      </c>
      <c r="T1" s="3222" t="s">
        <v>2848</v>
      </c>
    </row>
    <row r="2" spans="1:20" ht="11.4" thickBot="1">
      <c r="A2" s="3224" t="s">
        <v>2849</v>
      </c>
      <c r="B2" s="3224"/>
      <c r="C2" s="3224"/>
      <c r="D2" s="3224"/>
      <c r="E2" s="3224"/>
      <c r="F2" s="3224"/>
      <c r="G2" s="3225" t="s">
        <v>2850</v>
      </c>
      <c r="I2" s="3226" t="s">
        <v>2851</v>
      </c>
      <c r="J2" s="3226" t="s">
        <v>2852</v>
      </c>
      <c r="K2" s="3226" t="s">
        <v>2853</v>
      </c>
      <c r="L2" s="3226" t="s">
        <v>2854</v>
      </c>
      <c r="M2" s="3226" t="s">
        <v>2855</v>
      </c>
      <c r="N2" s="3226" t="s">
        <v>2856</v>
      </c>
      <c r="O2" s="3226" t="s">
        <v>2857</v>
      </c>
      <c r="P2" s="3226" t="s">
        <v>2858</v>
      </c>
      <c r="Q2" s="3226" t="s">
        <v>2859</v>
      </c>
      <c r="R2" s="3226" t="s">
        <v>2860</v>
      </c>
      <c r="S2" s="3226" t="s">
        <v>2861</v>
      </c>
      <c r="T2" s="3226" t="s">
        <v>2862</v>
      </c>
    </row>
    <row r="3" spans="1:20" s="3232" customFormat="1">
      <c r="A3" s="3796" t="s">
        <v>2863</v>
      </c>
      <c r="B3" s="3227"/>
      <c r="C3" s="3228" t="s">
        <v>2808</v>
      </c>
      <c r="D3" s="3228" t="s">
        <v>2864</v>
      </c>
      <c r="E3" s="3228" t="s">
        <v>2810</v>
      </c>
      <c r="F3" s="3228" t="s">
        <v>2865</v>
      </c>
      <c r="G3" s="3228" t="s">
        <v>2628</v>
      </c>
      <c r="H3" s="3229"/>
      <c r="I3" s="3230" t="s">
        <v>2866</v>
      </c>
      <c r="J3" s="3231" t="s">
        <v>128</v>
      </c>
      <c r="K3" s="3231" t="s">
        <v>129</v>
      </c>
      <c r="L3" s="3230" t="s">
        <v>130</v>
      </c>
      <c r="M3" s="3230" t="s">
        <v>131</v>
      </c>
      <c r="N3" s="3230" t="s">
        <v>132</v>
      </c>
      <c r="O3" s="3230" t="s">
        <v>133</v>
      </c>
      <c r="P3" s="3230" t="s">
        <v>134</v>
      </c>
      <c r="Q3" s="3230" t="s">
        <v>135</v>
      </c>
      <c r="R3" s="3230" t="s">
        <v>136</v>
      </c>
      <c r="S3" s="3230" t="s">
        <v>2867</v>
      </c>
      <c r="T3" s="3230" t="s">
        <v>2868</v>
      </c>
    </row>
    <row r="4" spans="1:20" s="3232" customFormat="1" ht="11.4" thickBot="1">
      <c r="A4" s="3797"/>
      <c r="B4" s="3233" t="s">
        <v>2869</v>
      </c>
      <c r="C4" s="3233" t="s">
        <v>2870</v>
      </c>
      <c r="D4" s="3233" t="s">
        <v>2870</v>
      </c>
      <c r="E4" s="3233" t="s">
        <v>2870</v>
      </c>
      <c r="F4" s="3234" t="s">
        <v>2870</v>
      </c>
      <c r="G4" s="3234" t="s">
        <v>2870</v>
      </c>
      <c r="H4" s="3229"/>
      <c r="I4" s="3231" t="s">
        <v>137</v>
      </c>
      <c r="J4" s="3231" t="s">
        <v>111</v>
      </c>
      <c r="K4" s="3231" t="s">
        <v>138</v>
      </c>
      <c r="L4" s="3230" t="s">
        <v>139</v>
      </c>
      <c r="M4" s="3230" t="s">
        <v>140</v>
      </c>
      <c r="N4" s="3230" t="s">
        <v>141</v>
      </c>
      <c r="O4" s="3230" t="s">
        <v>142</v>
      </c>
      <c r="P4" s="3230" t="s">
        <v>143</v>
      </c>
      <c r="Q4" s="3230" t="s">
        <v>2871</v>
      </c>
      <c r="R4" s="3230" t="s">
        <v>2872</v>
      </c>
      <c r="S4" s="3230" t="s">
        <v>2873</v>
      </c>
      <c r="T4" s="3230" t="s">
        <v>2874</v>
      </c>
    </row>
    <row r="5" spans="1:20">
      <c r="A5" s="3235" t="s">
        <v>2837</v>
      </c>
      <c r="B5" s="3226" t="s">
        <v>2851</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2875</v>
      </c>
      <c r="R5" s="3230" t="s">
        <v>2876</v>
      </c>
      <c r="S5" s="3230" t="s">
        <v>153</v>
      </c>
      <c r="T5" s="3230" t="s">
        <v>2877</v>
      </c>
    </row>
    <row r="6" spans="1:20" ht="11.4" thickBot="1">
      <c r="A6" s="3230" t="s">
        <v>144</v>
      </c>
      <c r="B6" s="3230" t="s">
        <v>2866</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2878</v>
      </c>
      <c r="Q6" s="3230" t="s">
        <v>2879</v>
      </c>
      <c r="R6" s="3230" t="s">
        <v>161</v>
      </c>
      <c r="S6" s="3230" t="s">
        <v>2880</v>
      </c>
      <c r="T6" s="3230" t="s">
        <v>2881</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2882</v>
      </c>
      <c r="Q7" s="3230" t="s">
        <v>2883</v>
      </c>
      <c r="R7" s="3230" t="s">
        <v>2884</v>
      </c>
      <c r="S7" s="3230" t="s">
        <v>2885</v>
      </c>
      <c r="T7" s="3230" t="s">
        <v>2886</v>
      </c>
    </row>
    <row r="8" spans="1:20" ht="11.4"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2887</v>
      </c>
      <c r="Q8" s="3230" t="s">
        <v>174</v>
      </c>
      <c r="R8" s="3230" t="s">
        <v>2888</v>
      </c>
      <c r="S8" s="3230" t="s">
        <v>2889</v>
      </c>
      <c r="T8" s="3237" t="s">
        <v>2890</v>
      </c>
    </row>
    <row r="9" spans="1:20" ht="11.4"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2891</v>
      </c>
      <c r="Q9" s="3230" t="s">
        <v>182</v>
      </c>
      <c r="R9" s="3230" t="s">
        <v>183</v>
      </c>
      <c r="S9" s="3230" t="s">
        <v>200</v>
      </c>
    </row>
    <row r="10" spans="1:20">
      <c r="A10" s="3235" t="s">
        <v>184</v>
      </c>
      <c r="B10" s="3226" t="s">
        <v>2852</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2892</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2893</v>
      </c>
      <c r="P11" s="3230" t="s">
        <v>191</v>
      </c>
      <c r="Q11" s="3230" t="s">
        <v>199</v>
      </c>
      <c r="R11" s="3230" t="s">
        <v>2894</v>
      </c>
      <c r="S11" s="3230" t="s">
        <v>2895</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2896</v>
      </c>
      <c r="P12" s="3230" t="s">
        <v>2897</v>
      </c>
      <c r="Q12" s="3230" t="s">
        <v>2898</v>
      </c>
      <c r="R12" s="3230" t="s">
        <v>2899</v>
      </c>
      <c r="S12" s="3230" t="s">
        <v>2900</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2901</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2902</v>
      </c>
      <c r="K14" s="3231" t="s">
        <v>215</v>
      </c>
      <c r="L14" s="3230" t="s">
        <v>216</v>
      </c>
      <c r="M14" s="3230" t="s">
        <v>217</v>
      </c>
      <c r="N14" s="3230" t="s">
        <v>218</v>
      </c>
      <c r="O14" s="3230" t="s">
        <v>240</v>
      </c>
      <c r="P14" s="3230" t="s">
        <v>213</v>
      </c>
      <c r="Q14" s="3230" t="s">
        <v>2903</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2904</v>
      </c>
      <c r="P15" s="3230" t="s">
        <v>2905</v>
      </c>
      <c r="Q15" s="3230" t="s">
        <v>242</v>
      </c>
      <c r="R15" s="3230" t="s">
        <v>2906</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2907</v>
      </c>
      <c r="P16" s="3230" t="s">
        <v>227</v>
      </c>
      <c r="Q16" s="3230" t="s">
        <v>250</v>
      </c>
      <c r="R16" s="3230" t="s">
        <v>207</v>
      </c>
      <c r="S16" s="3230" t="s">
        <v>2908</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2909</v>
      </c>
      <c r="P17" s="3230" t="s">
        <v>2910</v>
      </c>
      <c r="Q17" s="3230" t="s">
        <v>256</v>
      </c>
      <c r="R17" s="3230" t="s">
        <v>2911</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2912</v>
      </c>
      <c r="P18" s="3230" t="s">
        <v>241</v>
      </c>
      <c r="Q18" s="3230" t="s">
        <v>2913</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2914</v>
      </c>
      <c r="P19" s="3230" t="s">
        <v>249</v>
      </c>
      <c r="Q19" s="3230" t="s">
        <v>2915</v>
      </c>
      <c r="R19" s="3230" t="s">
        <v>265</v>
      </c>
      <c r="S19" s="3230" t="s">
        <v>2916</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2917</v>
      </c>
      <c r="P20" s="3230" t="s">
        <v>2918</v>
      </c>
      <c r="Q20" s="3230" t="s">
        <v>290</v>
      </c>
      <c r="R20" s="3230" t="s">
        <v>2919</v>
      </c>
      <c r="S20" s="3230" t="s">
        <v>277</v>
      </c>
    </row>
    <row r="21" spans="1:19" ht="14.25" customHeight="1" thickBot="1">
      <c r="A21" s="3230" t="s">
        <v>184</v>
      </c>
      <c r="B21" s="3231" t="s">
        <v>208</v>
      </c>
      <c r="C21" s="3230">
        <v>32370</v>
      </c>
      <c r="D21" s="3230">
        <v>26730</v>
      </c>
      <c r="E21" s="3230">
        <v>26640</v>
      </c>
      <c r="F21" s="3230"/>
      <c r="G21" s="3230">
        <v>19440</v>
      </c>
      <c r="J21" s="3237" t="s">
        <v>2920</v>
      </c>
      <c r="K21" s="3231" t="s">
        <v>267</v>
      </c>
      <c r="L21" s="3230" t="s">
        <v>268</v>
      </c>
      <c r="M21" s="3230" t="s">
        <v>269</v>
      </c>
      <c r="N21" s="3230" t="s">
        <v>270</v>
      </c>
      <c r="O21" s="3230" t="s">
        <v>264</v>
      </c>
      <c r="P21" s="3230" t="s">
        <v>283</v>
      </c>
      <c r="Q21" s="3230" t="s">
        <v>293</v>
      </c>
      <c r="R21" s="3230" t="s">
        <v>2921</v>
      </c>
      <c r="S21" s="3237" t="s">
        <v>2922</v>
      </c>
    </row>
    <row r="22" spans="1:19" ht="14.25" customHeight="1">
      <c r="A22" s="3230" t="s">
        <v>184</v>
      </c>
      <c r="B22" s="3231" t="s">
        <v>2902</v>
      </c>
      <c r="C22" s="3230">
        <v>29830</v>
      </c>
      <c r="D22" s="3230">
        <v>27600</v>
      </c>
      <c r="E22" s="3230">
        <v>28150</v>
      </c>
      <c r="F22" s="3230"/>
      <c r="G22" s="3230">
        <v>20080</v>
      </c>
      <c r="K22" s="3231" t="s">
        <v>2923</v>
      </c>
      <c r="L22" s="3230" t="s">
        <v>272</v>
      </c>
      <c r="M22" s="3230" t="s">
        <v>273</v>
      </c>
      <c r="N22" s="3230" t="s">
        <v>274</v>
      </c>
      <c r="O22" s="3230" t="s">
        <v>2924</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2925</v>
      </c>
      <c r="L23" s="3230" t="s">
        <v>278</v>
      </c>
      <c r="M23" s="3230" t="s">
        <v>279</v>
      </c>
      <c r="N23" s="3230" t="s">
        <v>2926</v>
      </c>
      <c r="O23" s="3230" t="s">
        <v>2927</v>
      </c>
      <c r="P23" s="3230" t="s">
        <v>289</v>
      </c>
      <c r="Q23" s="3230" t="s">
        <v>298</v>
      </c>
      <c r="R23" s="3230" t="s">
        <v>2928</v>
      </c>
    </row>
    <row r="24" spans="1:19" ht="14.25" customHeight="1">
      <c r="A24" s="3230" t="s">
        <v>184</v>
      </c>
      <c r="B24" s="3231" t="s">
        <v>230</v>
      </c>
      <c r="C24" s="3230">
        <v>27930</v>
      </c>
      <c r="D24" s="3230">
        <v>32260</v>
      </c>
      <c r="E24" s="3230">
        <v>32120</v>
      </c>
      <c r="F24" s="3230"/>
      <c r="G24" s="3230">
        <v>23470</v>
      </c>
      <c r="K24" s="3231" t="s">
        <v>2929</v>
      </c>
      <c r="L24" s="3230" t="s">
        <v>281</v>
      </c>
      <c r="M24" s="3230" t="s">
        <v>282</v>
      </c>
      <c r="N24" s="3230" t="s">
        <v>2930</v>
      </c>
      <c r="O24" s="3230" t="s">
        <v>285</v>
      </c>
      <c r="P24" s="3230" t="s">
        <v>2931</v>
      </c>
      <c r="Q24" s="3239" t="s">
        <v>2932</v>
      </c>
      <c r="R24" s="3230" t="s">
        <v>2933</v>
      </c>
    </row>
    <row r="25" spans="1:19" ht="14.25" customHeight="1">
      <c r="A25" s="3230" t="s">
        <v>184</v>
      </c>
      <c r="B25" s="3231" t="s">
        <v>235</v>
      </c>
      <c r="C25" s="3230">
        <v>32230</v>
      </c>
      <c r="D25" s="3230">
        <v>29640</v>
      </c>
      <c r="E25" s="3230">
        <v>29510</v>
      </c>
      <c r="F25" s="3230"/>
      <c r="G25" s="3230">
        <v>21560</v>
      </c>
      <c r="K25" s="3231" t="s">
        <v>2934</v>
      </c>
      <c r="L25" s="3230" t="s">
        <v>2935</v>
      </c>
      <c r="M25" s="3230" t="s">
        <v>284</v>
      </c>
      <c r="N25" s="3230" t="s">
        <v>292</v>
      </c>
      <c r="O25" s="3230" t="s">
        <v>288</v>
      </c>
      <c r="P25" s="3230" t="s">
        <v>275</v>
      </c>
      <c r="Q25" s="3239" t="s">
        <v>271</v>
      </c>
      <c r="R25" s="3230" t="s">
        <v>2936</v>
      </c>
    </row>
    <row r="26" spans="1:19" ht="14.25" customHeight="1" thickBot="1">
      <c r="A26" s="3230" t="s">
        <v>184</v>
      </c>
      <c r="B26" s="3231" t="s">
        <v>244</v>
      </c>
      <c r="C26" s="3230">
        <v>31690</v>
      </c>
      <c r="D26" s="3230">
        <v>27650</v>
      </c>
      <c r="E26" s="3230">
        <v>28200</v>
      </c>
      <c r="F26" s="3230"/>
      <c r="G26" s="3230">
        <v>20110</v>
      </c>
      <c r="K26" s="3236" t="s">
        <v>2937</v>
      </c>
      <c r="L26" s="3230" t="s">
        <v>2938</v>
      </c>
      <c r="M26" s="3230" t="s">
        <v>287</v>
      </c>
      <c r="N26" s="3230" t="s">
        <v>294</v>
      </c>
      <c r="O26" s="3230" t="s">
        <v>2939</v>
      </c>
      <c r="P26" s="3230" t="s">
        <v>2940</v>
      </c>
      <c r="Q26" s="3239" t="s">
        <v>276</v>
      </c>
      <c r="R26" s="3230" t="s">
        <v>2941</v>
      </c>
    </row>
    <row r="27" spans="1:19" ht="14.25" customHeight="1">
      <c r="A27" s="3230" t="s">
        <v>184</v>
      </c>
      <c r="B27" s="3231" t="s">
        <v>251</v>
      </c>
      <c r="C27" s="3230">
        <v>29610</v>
      </c>
      <c r="D27" s="3230">
        <v>27770</v>
      </c>
      <c r="E27" s="3230">
        <v>28300</v>
      </c>
      <c r="F27" s="3230"/>
      <c r="G27" s="3230">
        <v>20210</v>
      </c>
      <c r="L27" s="3230" t="s">
        <v>2942</v>
      </c>
      <c r="M27" s="3230" t="s">
        <v>291</v>
      </c>
      <c r="N27" s="3230" t="s">
        <v>297</v>
      </c>
      <c r="O27" s="3230" t="s">
        <v>2943</v>
      </c>
      <c r="P27" s="3230" t="s">
        <v>2944</v>
      </c>
      <c r="Q27" s="3230" t="s">
        <v>2945</v>
      </c>
      <c r="R27" s="3230" t="s">
        <v>2946</v>
      </c>
    </row>
    <row r="28" spans="1:19" ht="14.25" customHeight="1">
      <c r="A28" s="3230" t="s">
        <v>184</v>
      </c>
      <c r="B28" s="3231" t="s">
        <v>259</v>
      </c>
      <c r="C28" s="3230"/>
      <c r="D28" s="3230">
        <v>31520</v>
      </c>
      <c r="E28" s="3230">
        <v>31410</v>
      </c>
      <c r="F28" s="3230"/>
      <c r="G28" s="3230">
        <v>22940</v>
      </c>
      <c r="L28" s="3230" t="s">
        <v>2947</v>
      </c>
      <c r="M28" s="3230" t="s">
        <v>2948</v>
      </c>
      <c r="N28" s="3230" t="s">
        <v>2949</v>
      </c>
      <c r="O28" s="3230" t="s">
        <v>2950</v>
      </c>
      <c r="P28" s="3230" t="s">
        <v>2951</v>
      </c>
      <c r="Q28" s="3230" t="s">
        <v>2952</v>
      </c>
      <c r="R28" s="3230" t="s">
        <v>2953</v>
      </c>
    </row>
    <row r="29" spans="1:19" ht="14.25" customHeight="1" thickBot="1">
      <c r="A29" s="3238" t="s">
        <v>184</v>
      </c>
      <c r="B29" s="3240" t="s">
        <v>2920</v>
      </c>
      <c r="C29" s="3241"/>
      <c r="D29" s="3241">
        <v>29460</v>
      </c>
      <c r="E29" s="3241">
        <v>28640</v>
      </c>
      <c r="F29" s="3241"/>
      <c r="G29" s="3241">
        <v>21430</v>
      </c>
      <c r="L29" s="3230" t="s">
        <v>2954</v>
      </c>
      <c r="M29" s="3230" t="s">
        <v>2955</v>
      </c>
      <c r="N29" s="3230" t="s">
        <v>2956</v>
      </c>
      <c r="O29" s="3230" t="s">
        <v>2957</v>
      </c>
      <c r="P29" s="3230" t="s">
        <v>2958</v>
      </c>
      <c r="Q29" s="3230" t="s">
        <v>2959</v>
      </c>
      <c r="R29" s="3230" t="s">
        <v>280</v>
      </c>
    </row>
    <row r="30" spans="1:19" ht="14.25" customHeight="1">
      <c r="A30" s="3235" t="s">
        <v>296</v>
      </c>
      <c r="B30" s="3226" t="s">
        <v>2853</v>
      </c>
      <c r="C30" s="3226">
        <v>26890</v>
      </c>
      <c r="D30" s="3226">
        <v>26770</v>
      </c>
      <c r="E30" s="3226">
        <v>25700</v>
      </c>
      <c r="F30" s="3226">
        <v>8180</v>
      </c>
      <c r="G30" s="3242">
        <v>18740</v>
      </c>
      <c r="L30" s="3230" t="s">
        <v>2960</v>
      </c>
      <c r="M30" s="3230" t="s">
        <v>2961</v>
      </c>
      <c r="N30" s="3230" t="s">
        <v>2962</v>
      </c>
      <c r="O30" s="3230" t="s">
        <v>2963</v>
      </c>
      <c r="P30" s="3230" t="s">
        <v>2964</v>
      </c>
      <c r="Q30" s="3230" t="s">
        <v>2965</v>
      </c>
      <c r="R30" s="3230" t="s">
        <v>2966</v>
      </c>
    </row>
    <row r="31" spans="1:19" ht="14.25" customHeight="1">
      <c r="A31" s="3230" t="s">
        <v>296</v>
      </c>
      <c r="B31" s="3231" t="s">
        <v>129</v>
      </c>
      <c r="C31" s="3230">
        <v>24550</v>
      </c>
      <c r="D31" s="3230">
        <v>23990</v>
      </c>
      <c r="E31" s="3230">
        <v>22930</v>
      </c>
      <c r="F31" s="3230">
        <v>7470</v>
      </c>
      <c r="G31" s="3243">
        <v>16790</v>
      </c>
      <c r="L31" s="3230" t="s">
        <v>2967</v>
      </c>
      <c r="M31" s="3230" t="s">
        <v>2968</v>
      </c>
      <c r="N31" s="3230" t="s">
        <v>2969</v>
      </c>
      <c r="O31" s="3230" t="s">
        <v>2970</v>
      </c>
      <c r="P31" s="3230" t="s">
        <v>2971</v>
      </c>
      <c r="Q31" s="3230" t="s">
        <v>2972</v>
      </c>
      <c r="R31" s="3230" t="s">
        <v>2973</v>
      </c>
    </row>
    <row r="32" spans="1:19" ht="14.25" customHeight="1" thickBot="1">
      <c r="A32" s="3230" t="s">
        <v>296</v>
      </c>
      <c r="B32" s="3231" t="s">
        <v>138</v>
      </c>
      <c r="C32" s="3230">
        <v>27210</v>
      </c>
      <c r="D32" s="3230">
        <v>23240</v>
      </c>
      <c r="E32" s="3230">
        <v>23260</v>
      </c>
      <c r="F32" s="3230">
        <v>7130</v>
      </c>
      <c r="G32" s="3243">
        <v>16270</v>
      </c>
      <c r="L32" s="3230" t="s">
        <v>2974</v>
      </c>
      <c r="M32" s="3230" t="s">
        <v>2975</v>
      </c>
      <c r="N32" s="3230" t="s">
        <v>300</v>
      </c>
      <c r="O32" s="3230" t="s">
        <v>2976</v>
      </c>
      <c r="P32" s="3230" t="s">
        <v>299</v>
      </c>
      <c r="Q32" s="3230" t="s">
        <v>2977</v>
      </c>
      <c r="R32" s="3237" t="s">
        <v>2978</v>
      </c>
    </row>
    <row r="33" spans="1:17" ht="14.25" customHeight="1" thickBot="1">
      <c r="A33" s="3230" t="s">
        <v>296</v>
      </c>
      <c r="B33" s="3231" t="s">
        <v>147</v>
      </c>
      <c r="C33" s="3230">
        <v>27300</v>
      </c>
      <c r="D33" s="3230">
        <v>22980</v>
      </c>
      <c r="E33" s="3230">
        <v>24260</v>
      </c>
      <c r="F33" s="3230">
        <v>5860</v>
      </c>
      <c r="G33" s="3243">
        <v>16090</v>
      </c>
      <c r="L33" s="3237" t="s">
        <v>2979</v>
      </c>
      <c r="M33" s="3230" t="s">
        <v>2980</v>
      </c>
      <c r="N33" s="3230" t="s">
        <v>301</v>
      </c>
      <c r="O33" s="3230" t="s">
        <v>2981</v>
      </c>
      <c r="P33" s="3230" t="s">
        <v>2982</v>
      </c>
      <c r="Q33" s="3230" t="s">
        <v>2983</v>
      </c>
    </row>
    <row r="34" spans="1:17" ht="14.25" customHeight="1">
      <c r="A34" s="3230" t="s">
        <v>296</v>
      </c>
      <c r="B34" s="3231" t="s">
        <v>156</v>
      </c>
      <c r="C34" s="3230">
        <v>23090</v>
      </c>
      <c r="D34" s="3230">
        <v>23390</v>
      </c>
      <c r="E34" s="3230">
        <v>23510</v>
      </c>
      <c r="F34" s="3230">
        <v>6700</v>
      </c>
      <c r="G34" s="3243">
        <v>16370</v>
      </c>
      <c r="M34" s="3230" t="s">
        <v>2984</v>
      </c>
      <c r="N34" s="3230" t="s">
        <v>302</v>
      </c>
      <c r="O34" s="3230" t="s">
        <v>2985</v>
      </c>
      <c r="P34" s="3230" t="s">
        <v>2986</v>
      </c>
      <c r="Q34" s="3230" t="s">
        <v>2987</v>
      </c>
    </row>
    <row r="35" spans="1:17" ht="14.25" customHeight="1">
      <c r="A35" s="3230" t="s">
        <v>296</v>
      </c>
      <c r="B35" s="3231" t="s">
        <v>163</v>
      </c>
      <c r="C35" s="3230">
        <v>27270</v>
      </c>
      <c r="D35" s="3230">
        <v>24270</v>
      </c>
      <c r="E35" s="3230">
        <v>24950</v>
      </c>
      <c r="F35" s="3230">
        <v>6600</v>
      </c>
      <c r="G35" s="3243">
        <v>16990</v>
      </c>
      <c r="M35" s="3230" t="s">
        <v>2988</v>
      </c>
      <c r="N35" s="3230" t="s">
        <v>2989</v>
      </c>
      <c r="O35" s="3230" t="s">
        <v>2990</v>
      </c>
      <c r="P35" s="3230" t="s">
        <v>2991</v>
      </c>
      <c r="Q35" s="3230" t="s">
        <v>2992</v>
      </c>
    </row>
    <row r="36" spans="1:17" ht="14.25" customHeight="1">
      <c r="A36" s="3230" t="s">
        <v>296</v>
      </c>
      <c r="B36" s="3231" t="s">
        <v>169</v>
      </c>
      <c r="C36" s="3230">
        <v>23490</v>
      </c>
      <c r="D36" s="3230">
        <v>23020</v>
      </c>
      <c r="E36" s="3230">
        <v>25230</v>
      </c>
      <c r="F36" s="3230">
        <v>6780</v>
      </c>
      <c r="G36" s="3243">
        <v>16120</v>
      </c>
      <c r="M36" s="3230" t="s">
        <v>2993</v>
      </c>
      <c r="N36" s="3230" t="s">
        <v>2994</v>
      </c>
      <c r="O36" s="3230" t="s">
        <v>2995</v>
      </c>
      <c r="P36" s="3230" t="s">
        <v>2996</v>
      </c>
      <c r="Q36" s="3230" t="s">
        <v>2997</v>
      </c>
    </row>
    <row r="37" spans="1:17" ht="14.25" customHeight="1">
      <c r="A37" s="3230" t="s">
        <v>296</v>
      </c>
      <c r="B37" s="3231" t="s">
        <v>176</v>
      </c>
      <c r="C37" s="3230">
        <v>24380</v>
      </c>
      <c r="D37" s="3230">
        <v>22240</v>
      </c>
      <c r="E37" s="3230">
        <v>25980</v>
      </c>
      <c r="F37" s="3230">
        <v>8160</v>
      </c>
      <c r="G37" s="3243">
        <v>15570</v>
      </c>
      <c r="M37" s="3230" t="s">
        <v>2998</v>
      </c>
      <c r="N37" s="3230" t="s">
        <v>2999</v>
      </c>
      <c r="O37" s="3230" t="s">
        <v>3000</v>
      </c>
      <c r="P37" s="3230" t="s">
        <v>3001</v>
      </c>
      <c r="Q37" s="3230" t="s">
        <v>3002</v>
      </c>
    </row>
    <row r="38" spans="1:17" ht="14.25" customHeight="1">
      <c r="A38" s="3230" t="s">
        <v>296</v>
      </c>
      <c r="B38" s="3231" t="s">
        <v>186</v>
      </c>
      <c r="C38" s="3230">
        <v>23120</v>
      </c>
      <c r="D38" s="3230">
        <v>24630</v>
      </c>
      <c r="E38" s="3230">
        <v>25030</v>
      </c>
      <c r="F38" s="3230">
        <v>7710</v>
      </c>
      <c r="G38" s="3243">
        <v>17240</v>
      </c>
      <c r="M38" s="3230" t="s">
        <v>3003</v>
      </c>
      <c r="N38" s="3230" t="s">
        <v>3004</v>
      </c>
      <c r="O38" s="3230" t="s">
        <v>3005</v>
      </c>
      <c r="P38" s="3230" t="s">
        <v>3006</v>
      </c>
      <c r="Q38" s="3230" t="s">
        <v>3007</v>
      </c>
    </row>
    <row r="39" spans="1:17" ht="14.25" customHeight="1">
      <c r="A39" s="3230" t="s">
        <v>296</v>
      </c>
      <c r="B39" s="3231" t="s">
        <v>195</v>
      </c>
      <c r="C39" s="3230">
        <v>22330</v>
      </c>
      <c r="D39" s="3230">
        <v>21140</v>
      </c>
      <c r="E39" s="3230">
        <v>23970</v>
      </c>
      <c r="F39" s="3230">
        <v>7940</v>
      </c>
      <c r="G39" s="3243">
        <v>14790</v>
      </c>
      <c r="M39" s="3230" t="s">
        <v>3008</v>
      </c>
      <c r="N39" s="3230" t="s">
        <v>3009</v>
      </c>
      <c r="O39" s="3230" t="s">
        <v>3010</v>
      </c>
      <c r="P39" s="3230" t="s">
        <v>3011</v>
      </c>
      <c r="Q39" s="3230" t="s">
        <v>3012</v>
      </c>
    </row>
    <row r="40" spans="1:17" ht="14.25" customHeight="1">
      <c r="A40" s="3230" t="s">
        <v>296</v>
      </c>
      <c r="B40" s="3231" t="s">
        <v>202</v>
      </c>
      <c r="C40" s="3230">
        <v>24740</v>
      </c>
      <c r="D40" s="3230">
        <v>24690</v>
      </c>
      <c r="E40" s="3230">
        <v>22610</v>
      </c>
      <c r="F40" s="3230"/>
      <c r="G40" s="3243">
        <v>17280</v>
      </c>
      <c r="M40" s="3230" t="s">
        <v>3013</v>
      </c>
      <c r="N40" s="3230" t="s">
        <v>3014</v>
      </c>
      <c r="O40" s="3230" t="s">
        <v>3015</v>
      </c>
      <c r="P40" s="3230" t="s">
        <v>3016</v>
      </c>
      <c r="Q40" s="3230" t="s">
        <v>3017</v>
      </c>
    </row>
    <row r="41" spans="1:17" ht="14.25" customHeight="1" thickBot="1">
      <c r="A41" s="3230" t="s">
        <v>296</v>
      </c>
      <c r="B41" s="3231" t="s">
        <v>209</v>
      </c>
      <c r="C41" s="3230">
        <v>21220</v>
      </c>
      <c r="D41" s="3230">
        <v>21120</v>
      </c>
      <c r="E41" s="3230">
        <v>22590</v>
      </c>
      <c r="F41" s="3230"/>
      <c r="G41" s="3243">
        <v>14780</v>
      </c>
      <c r="M41" s="3237" t="s">
        <v>3018</v>
      </c>
      <c r="N41" s="3230" t="s">
        <v>3019</v>
      </c>
      <c r="O41" s="3230" t="s">
        <v>3020</v>
      </c>
      <c r="P41" s="3230" t="s">
        <v>3021</v>
      </c>
      <c r="Q41" s="3230" t="s">
        <v>3022</v>
      </c>
    </row>
    <row r="42" spans="1:17" ht="14.25" customHeight="1">
      <c r="A42" s="3230" t="s">
        <v>296</v>
      </c>
      <c r="B42" s="3231" t="s">
        <v>215</v>
      </c>
      <c r="C42" s="3230">
        <v>24800</v>
      </c>
      <c r="D42" s="3230">
        <v>22280</v>
      </c>
      <c r="E42" s="3230">
        <v>24350</v>
      </c>
      <c r="F42" s="3230"/>
      <c r="G42" s="3243">
        <v>15590</v>
      </c>
      <c r="N42" s="3230" t="s">
        <v>3023</v>
      </c>
      <c r="O42" s="3230" t="s">
        <v>3024</v>
      </c>
      <c r="P42" s="3230" t="s">
        <v>3025</v>
      </c>
      <c r="Q42" s="3230" t="s">
        <v>3026</v>
      </c>
    </row>
    <row r="43" spans="1:17" ht="14.25" customHeight="1">
      <c r="A43" s="3230" t="s">
        <v>3027</v>
      </c>
      <c r="B43" s="3231" t="s">
        <v>223</v>
      </c>
      <c r="C43" s="3230">
        <v>21210</v>
      </c>
      <c r="D43" s="3230">
        <v>21160</v>
      </c>
      <c r="E43" s="3230">
        <v>22650</v>
      </c>
      <c r="F43" s="3230"/>
      <c r="G43" s="3243">
        <v>14800</v>
      </c>
      <c r="N43" s="3230" t="s">
        <v>3028</v>
      </c>
      <c r="O43" s="3230" t="s">
        <v>3029</v>
      </c>
      <c r="P43" s="3230" t="s">
        <v>3030</v>
      </c>
      <c r="Q43" s="3230" t="s">
        <v>3031</v>
      </c>
    </row>
    <row r="44" spans="1:17" ht="14.25" customHeight="1" thickBot="1">
      <c r="A44" s="3230" t="s">
        <v>296</v>
      </c>
      <c r="B44" s="3231" t="s">
        <v>231</v>
      </c>
      <c r="C44" s="3230">
        <v>22370</v>
      </c>
      <c r="D44" s="3230">
        <v>23140</v>
      </c>
      <c r="E44" s="3230">
        <v>25090</v>
      </c>
      <c r="F44" s="3230"/>
      <c r="G44" s="3243">
        <v>16190</v>
      </c>
      <c r="N44" s="3230" t="s">
        <v>3032</v>
      </c>
      <c r="O44" s="3230" t="s">
        <v>3033</v>
      </c>
      <c r="P44" s="3237" t="s">
        <v>3034</v>
      </c>
      <c r="Q44" s="3230" t="s">
        <v>3035</v>
      </c>
    </row>
    <row r="45" spans="1:17" ht="14.25" customHeight="1" thickBot="1">
      <c r="A45" s="3230" t="s">
        <v>296</v>
      </c>
      <c r="B45" s="3231" t="s">
        <v>236</v>
      </c>
      <c r="C45" s="3230">
        <v>21240</v>
      </c>
      <c r="D45" s="3230">
        <v>27050</v>
      </c>
      <c r="E45" s="3230">
        <v>28000</v>
      </c>
      <c r="F45" s="3230"/>
      <c r="G45" s="3243">
        <v>18940</v>
      </c>
      <c r="N45" s="3230" t="s">
        <v>3036</v>
      </c>
      <c r="O45" s="3237" t="s">
        <v>3037</v>
      </c>
      <c r="Q45" s="3230" t="s">
        <v>3038</v>
      </c>
    </row>
    <row r="46" spans="1:17" ht="14.25" customHeight="1">
      <c r="A46" s="3230" t="s">
        <v>296</v>
      </c>
      <c r="B46" s="3231" t="s">
        <v>245</v>
      </c>
      <c r="C46" s="3230">
        <v>23240</v>
      </c>
      <c r="D46" s="3230">
        <v>23000</v>
      </c>
      <c r="E46" s="3230">
        <v>24980</v>
      </c>
      <c r="F46" s="3230"/>
      <c r="G46" s="3243">
        <v>16100</v>
      </c>
      <c r="N46" s="3230" t="s">
        <v>3039</v>
      </c>
      <c r="Q46" s="3230" t="s">
        <v>3040</v>
      </c>
    </row>
    <row r="47" spans="1:17" ht="14.25" customHeight="1">
      <c r="A47" s="3230" t="s">
        <v>296</v>
      </c>
      <c r="B47" s="3231" t="s">
        <v>252</v>
      </c>
      <c r="C47" s="3230">
        <v>27150</v>
      </c>
      <c r="D47" s="3230">
        <v>23310</v>
      </c>
      <c r="E47" s="3230">
        <v>25150</v>
      </c>
      <c r="F47" s="3230"/>
      <c r="G47" s="3243">
        <v>16310</v>
      </c>
      <c r="N47" s="3230" t="s">
        <v>3041</v>
      </c>
      <c r="Q47" s="3230" t="s">
        <v>3042</v>
      </c>
    </row>
    <row r="48" spans="1:17" ht="14.25" customHeight="1">
      <c r="A48" s="3230" t="s">
        <v>296</v>
      </c>
      <c r="B48" s="3231" t="s">
        <v>260</v>
      </c>
      <c r="C48" s="3230">
        <v>23100</v>
      </c>
      <c r="D48" s="3230">
        <v>21110</v>
      </c>
      <c r="E48" s="3230">
        <v>23080</v>
      </c>
      <c r="F48" s="3230"/>
      <c r="G48" s="3243">
        <v>14780</v>
      </c>
      <c r="N48" s="3230" t="s">
        <v>3043</v>
      </c>
      <c r="Q48" s="3230" t="s">
        <v>3044</v>
      </c>
    </row>
    <row r="49" spans="1:17" ht="14.25" customHeight="1">
      <c r="A49" s="3230" t="s">
        <v>296</v>
      </c>
      <c r="B49" s="3231" t="s">
        <v>267</v>
      </c>
      <c r="C49" s="3230">
        <v>23400</v>
      </c>
      <c r="D49" s="3230">
        <v>22920</v>
      </c>
      <c r="E49" s="3230">
        <v>24900</v>
      </c>
      <c r="F49" s="3230"/>
      <c r="G49" s="3243">
        <v>16040</v>
      </c>
      <c r="N49" s="3230" t="s">
        <v>3045</v>
      </c>
      <c r="Q49" s="3230" t="s">
        <v>3046</v>
      </c>
    </row>
    <row r="50" spans="1:17" ht="14.25" customHeight="1">
      <c r="A50" s="3230" t="s">
        <v>296</v>
      </c>
      <c r="B50" s="3231" t="s">
        <v>2923</v>
      </c>
      <c r="C50" s="3230">
        <v>21200</v>
      </c>
      <c r="D50" s="3230">
        <v>26540</v>
      </c>
      <c r="E50" s="3230">
        <v>23200</v>
      </c>
      <c r="F50" s="3230"/>
      <c r="G50" s="3243">
        <v>18580</v>
      </c>
      <c r="N50" s="3230" t="s">
        <v>3047</v>
      </c>
      <c r="Q50" s="3231" t="s">
        <v>3048</v>
      </c>
    </row>
    <row r="51" spans="1:17" ht="14.25" customHeight="1" thickBot="1">
      <c r="A51" s="3230" t="s">
        <v>296</v>
      </c>
      <c r="B51" s="3231" t="s">
        <v>2925</v>
      </c>
      <c r="C51" s="3230">
        <v>23000</v>
      </c>
      <c r="D51" s="3230">
        <v>23460</v>
      </c>
      <c r="E51" s="3230">
        <v>25290</v>
      </c>
      <c r="F51" s="3230"/>
      <c r="G51" s="3243">
        <v>16420</v>
      </c>
      <c r="N51" s="3230" t="s">
        <v>3049</v>
      </c>
      <c r="Q51" s="3237" t="s">
        <v>3050</v>
      </c>
    </row>
    <row r="52" spans="1:17" ht="14.25" customHeight="1">
      <c r="A52" s="3230" t="s">
        <v>296</v>
      </c>
      <c r="B52" s="3231" t="s">
        <v>2929</v>
      </c>
      <c r="C52" s="3230">
        <v>26660</v>
      </c>
      <c r="D52" s="3230">
        <v>22350</v>
      </c>
      <c r="E52" s="3230">
        <v>22920</v>
      </c>
      <c r="F52" s="3230"/>
      <c r="G52" s="3243">
        <v>15640</v>
      </c>
      <c r="N52" s="3230" t="s">
        <v>3051</v>
      </c>
    </row>
    <row r="53" spans="1:17" ht="14.25" customHeight="1">
      <c r="A53" s="3230" t="s">
        <v>296</v>
      </c>
      <c r="B53" s="3231" t="s">
        <v>2934</v>
      </c>
      <c r="C53" s="3230">
        <v>23580</v>
      </c>
      <c r="D53" s="3230"/>
      <c r="E53" s="3230">
        <v>24280</v>
      </c>
      <c r="F53" s="3230"/>
      <c r="G53" s="3243"/>
      <c r="N53" s="3230" t="s">
        <v>3052</v>
      </c>
    </row>
    <row r="54" spans="1:17" ht="14.25" customHeight="1" thickBot="1">
      <c r="A54" s="3244" t="s">
        <v>296</v>
      </c>
      <c r="B54" s="3236" t="s">
        <v>2937</v>
      </c>
      <c r="C54" s="3237">
        <v>22460</v>
      </c>
      <c r="D54" s="3237"/>
      <c r="E54" s="3237"/>
      <c r="F54" s="3237"/>
      <c r="G54" s="3245"/>
      <c r="N54" s="3230" t="s">
        <v>3053</v>
      </c>
    </row>
    <row r="55" spans="1:17" ht="14.25" customHeight="1">
      <c r="A55" s="3235" t="s">
        <v>110</v>
      </c>
      <c r="B55" s="3226" t="s">
        <v>3054</v>
      </c>
      <c r="C55" s="3230">
        <v>21970</v>
      </c>
      <c r="D55" s="3230">
        <v>20370</v>
      </c>
      <c r="E55" s="3230">
        <v>20180</v>
      </c>
      <c r="F55" s="3230">
        <v>5730</v>
      </c>
      <c r="G55" s="3230">
        <v>13820</v>
      </c>
      <c r="N55" s="3230" t="s">
        <v>3055</v>
      </c>
    </row>
    <row r="56" spans="1:17" ht="14.25" customHeight="1">
      <c r="A56" s="3230" t="s">
        <v>110</v>
      </c>
      <c r="B56" s="3230" t="s">
        <v>130</v>
      </c>
      <c r="C56" s="3230">
        <v>20470</v>
      </c>
      <c r="D56" s="3230">
        <v>20700</v>
      </c>
      <c r="E56" s="3230">
        <v>20380</v>
      </c>
      <c r="F56" s="3230">
        <v>4760</v>
      </c>
      <c r="G56" s="3230">
        <v>14050</v>
      </c>
      <c r="N56" s="3230" t="s">
        <v>3056</v>
      </c>
    </row>
    <row r="57" spans="1:17" ht="14.25" customHeight="1">
      <c r="A57" s="3230" t="s">
        <v>110</v>
      </c>
      <c r="B57" s="3230" t="s">
        <v>139</v>
      </c>
      <c r="C57" s="3230">
        <v>20790</v>
      </c>
      <c r="D57" s="3230">
        <v>21370</v>
      </c>
      <c r="E57" s="3230">
        <v>20890</v>
      </c>
      <c r="F57" s="3230">
        <v>4910</v>
      </c>
      <c r="G57" s="3230">
        <v>14510</v>
      </c>
      <c r="N57" s="3230" t="s">
        <v>3057</v>
      </c>
    </row>
    <row r="58" spans="1:17" ht="14.25" customHeight="1">
      <c r="A58" s="3230" t="s">
        <v>110</v>
      </c>
      <c r="B58" s="3230" t="s">
        <v>148</v>
      </c>
      <c r="C58" s="3230">
        <v>21460</v>
      </c>
      <c r="D58" s="3230">
        <v>20920</v>
      </c>
      <c r="E58" s="3230">
        <v>23410</v>
      </c>
      <c r="F58" s="3230">
        <v>5100</v>
      </c>
      <c r="G58" s="3230">
        <v>14200</v>
      </c>
      <c r="N58" s="3230" t="s">
        <v>3058</v>
      </c>
    </row>
    <row r="59" spans="1:17" ht="14.25" customHeight="1">
      <c r="A59" s="3230" t="s">
        <v>110</v>
      </c>
      <c r="B59" s="3230" t="s">
        <v>157</v>
      </c>
      <c r="C59" s="3230">
        <v>21000</v>
      </c>
      <c r="D59" s="3230">
        <v>21550</v>
      </c>
      <c r="E59" s="3230">
        <v>21150</v>
      </c>
      <c r="F59" s="3230">
        <v>5250</v>
      </c>
      <c r="G59" s="3230">
        <v>14630</v>
      </c>
      <c r="N59" s="3230" t="s">
        <v>3059</v>
      </c>
    </row>
    <row r="60" spans="1:17" ht="14.25" customHeight="1">
      <c r="A60" s="3230" t="s">
        <v>110</v>
      </c>
      <c r="B60" s="3230" t="s">
        <v>164</v>
      </c>
      <c r="C60" s="3230">
        <v>21640</v>
      </c>
      <c r="D60" s="3230">
        <v>21260</v>
      </c>
      <c r="E60" s="3230">
        <v>24040</v>
      </c>
      <c r="F60" s="3230">
        <v>4470</v>
      </c>
      <c r="G60" s="3230">
        <v>14430</v>
      </c>
      <c r="N60" s="3230" t="s">
        <v>3060</v>
      </c>
    </row>
    <row r="61" spans="1:17" ht="14.25" customHeight="1">
      <c r="A61" s="3230" t="s">
        <v>110</v>
      </c>
      <c r="B61" s="3230" t="s">
        <v>170</v>
      </c>
      <c r="C61" s="3230">
        <v>21330</v>
      </c>
      <c r="D61" s="3230">
        <v>18640</v>
      </c>
      <c r="E61" s="3230">
        <v>21190</v>
      </c>
      <c r="F61" s="3230">
        <v>4180</v>
      </c>
      <c r="G61" s="3230">
        <v>12650</v>
      </c>
      <c r="N61" s="3230" t="s">
        <v>3061</v>
      </c>
    </row>
    <row r="62" spans="1:17" ht="14.25" customHeight="1">
      <c r="A62" s="3230" t="s">
        <v>110</v>
      </c>
      <c r="B62" s="3230" t="s">
        <v>177</v>
      </c>
      <c r="C62" s="3230">
        <v>18710</v>
      </c>
      <c r="D62" s="3230">
        <v>19400</v>
      </c>
      <c r="E62" s="3230">
        <v>23750</v>
      </c>
      <c r="F62" s="3230">
        <v>4860</v>
      </c>
      <c r="G62" s="3230">
        <v>13170</v>
      </c>
      <c r="N62" s="3230" t="s">
        <v>3062</v>
      </c>
    </row>
    <row r="63" spans="1:17" ht="14.25" customHeight="1">
      <c r="A63" s="3230" t="s">
        <v>110</v>
      </c>
      <c r="B63" s="3230" t="s">
        <v>187</v>
      </c>
      <c r="C63" s="3230">
        <v>19480</v>
      </c>
      <c r="D63" s="3230">
        <v>16830</v>
      </c>
      <c r="E63" s="3230">
        <v>21590</v>
      </c>
      <c r="F63" s="3230">
        <v>4560</v>
      </c>
      <c r="G63" s="3230">
        <v>11420</v>
      </c>
      <c r="N63" s="3230" t="s">
        <v>3063</v>
      </c>
    </row>
    <row r="64" spans="1:17" ht="14.25" customHeight="1" thickBot="1">
      <c r="A64" s="3230" t="s">
        <v>110</v>
      </c>
      <c r="B64" s="3230" t="s">
        <v>196</v>
      </c>
      <c r="C64" s="3230">
        <v>16920</v>
      </c>
      <c r="D64" s="3230">
        <v>19190</v>
      </c>
      <c r="E64" s="3230">
        <v>22200</v>
      </c>
      <c r="F64" s="3230">
        <v>4390</v>
      </c>
      <c r="G64" s="3230">
        <v>13030</v>
      </c>
      <c r="N64" s="3237" t="s">
        <v>3064</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2935</v>
      </c>
      <c r="C78" s="3230">
        <v>19820</v>
      </c>
      <c r="D78" s="3230">
        <v>19780</v>
      </c>
      <c r="E78" s="3230">
        <v>18560</v>
      </c>
      <c r="F78" s="3230"/>
      <c r="G78" s="3230">
        <v>13430</v>
      </c>
    </row>
    <row r="79" spans="1:7" s="3219" customFormat="1" ht="14.25" customHeight="1">
      <c r="A79" s="3230" t="s">
        <v>110</v>
      </c>
      <c r="B79" s="3230" t="s">
        <v>2938</v>
      </c>
      <c r="C79" s="3230">
        <v>21660</v>
      </c>
      <c r="D79" s="3230">
        <v>18000</v>
      </c>
      <c r="E79" s="3230">
        <v>22570</v>
      </c>
      <c r="F79" s="3230"/>
      <c r="G79" s="3230">
        <v>12220</v>
      </c>
    </row>
    <row r="80" spans="1:7" s="3219" customFormat="1" ht="14.25" customHeight="1">
      <c r="A80" s="3230" t="s">
        <v>110</v>
      </c>
      <c r="B80" s="3230" t="s">
        <v>2942</v>
      </c>
      <c r="C80" s="3230">
        <v>19850</v>
      </c>
      <c r="D80" s="3230"/>
      <c r="E80" s="3230">
        <v>21700</v>
      </c>
      <c r="F80" s="3230"/>
      <c r="G80" s="3230"/>
    </row>
    <row r="81" spans="1:7" s="3219" customFormat="1" ht="14.25" customHeight="1">
      <c r="A81" s="3230" t="s">
        <v>110</v>
      </c>
      <c r="B81" s="3230" t="s">
        <v>2947</v>
      </c>
      <c r="C81" s="3230">
        <v>18080</v>
      </c>
      <c r="D81" s="3230"/>
      <c r="E81" s="3230">
        <v>20900</v>
      </c>
      <c r="F81" s="3230"/>
      <c r="G81" s="3230"/>
    </row>
    <row r="82" spans="1:7" s="3219" customFormat="1" ht="14.25" customHeight="1">
      <c r="A82" s="3230" t="s">
        <v>110</v>
      </c>
      <c r="B82" s="3230" t="s">
        <v>2954</v>
      </c>
      <c r="C82" s="3230"/>
      <c r="D82" s="3230"/>
      <c r="E82" s="3230">
        <v>20840</v>
      </c>
      <c r="F82" s="3230"/>
      <c r="G82" s="3230"/>
    </row>
    <row r="83" spans="1:7" s="3219" customFormat="1" ht="14.25" customHeight="1">
      <c r="A83" s="3230" t="s">
        <v>110</v>
      </c>
      <c r="B83" s="3230" t="s">
        <v>3065</v>
      </c>
      <c r="C83" s="3230"/>
      <c r="D83" s="3230"/>
      <c r="E83" s="3230"/>
      <c r="F83" s="3230">
        <v>4770</v>
      </c>
      <c r="G83" s="3230"/>
    </row>
    <row r="84" spans="1:7" s="3219" customFormat="1" ht="14.25" customHeight="1">
      <c r="A84" s="3230" t="s">
        <v>110</v>
      </c>
      <c r="B84" s="3230" t="s">
        <v>3066</v>
      </c>
      <c r="C84" s="3230"/>
      <c r="D84" s="3230"/>
      <c r="E84" s="3230"/>
      <c r="F84" s="3230">
        <v>4600</v>
      </c>
      <c r="G84" s="3230"/>
    </row>
    <row r="85" spans="1:7" s="3219" customFormat="1" ht="14.25" customHeight="1">
      <c r="A85" s="3230" t="s">
        <v>110</v>
      </c>
      <c r="B85" s="3230" t="s">
        <v>3067</v>
      </c>
      <c r="C85" s="3230"/>
      <c r="D85" s="3230"/>
      <c r="E85" s="3230"/>
      <c r="F85" s="3230">
        <v>4680</v>
      </c>
      <c r="G85" s="3230"/>
    </row>
    <row r="86" spans="1:7" s="3219" customFormat="1" ht="14.25" customHeight="1" thickBot="1">
      <c r="A86" s="3238" t="s">
        <v>110</v>
      </c>
      <c r="B86" s="3240" t="s">
        <v>3068</v>
      </c>
      <c r="C86" s="3241">
        <v>16610</v>
      </c>
      <c r="D86" s="3241">
        <v>16540</v>
      </c>
      <c r="E86" s="3241">
        <v>18850</v>
      </c>
      <c r="F86" s="3241"/>
      <c r="G86" s="3241">
        <v>11220</v>
      </c>
    </row>
    <row r="87" spans="1:7" s="3219" customFormat="1" ht="14.25" customHeight="1">
      <c r="A87" s="3235" t="s">
        <v>303</v>
      </c>
      <c r="B87" s="3226" t="s">
        <v>3069</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2948</v>
      </c>
      <c r="C113" s="3230">
        <v>15520</v>
      </c>
      <c r="D113" s="3230">
        <v>15450</v>
      </c>
      <c r="E113" s="3230"/>
      <c r="F113" s="3230"/>
      <c r="G113" s="3243">
        <v>10210</v>
      </c>
    </row>
    <row r="114" spans="1:7" s="3219" customFormat="1" ht="14.25" customHeight="1">
      <c r="A114" s="3230" t="s">
        <v>303</v>
      </c>
      <c r="B114" s="3230" t="s">
        <v>2955</v>
      </c>
      <c r="C114" s="3230">
        <v>13110</v>
      </c>
      <c r="D114" s="3230">
        <v>13050</v>
      </c>
      <c r="E114" s="3230"/>
      <c r="F114" s="3230"/>
      <c r="G114" s="3243">
        <v>8620</v>
      </c>
    </row>
    <row r="115" spans="1:7" s="3219" customFormat="1" ht="14.25" customHeight="1">
      <c r="A115" s="3230" t="s">
        <v>303</v>
      </c>
      <c r="B115" s="3230" t="s">
        <v>2961</v>
      </c>
      <c r="C115" s="3230">
        <v>12460</v>
      </c>
      <c r="D115" s="3230">
        <v>12390</v>
      </c>
      <c r="E115" s="3230"/>
      <c r="F115" s="3230"/>
      <c r="G115" s="3243">
        <v>8190</v>
      </c>
    </row>
    <row r="116" spans="1:7" s="3219" customFormat="1" ht="14.25" customHeight="1">
      <c r="A116" s="3230" t="s">
        <v>303</v>
      </c>
      <c r="B116" s="3230" t="s">
        <v>2968</v>
      </c>
      <c r="C116" s="3230">
        <v>13580</v>
      </c>
      <c r="D116" s="3230">
        <v>13520</v>
      </c>
      <c r="E116" s="3230"/>
      <c r="F116" s="3230"/>
      <c r="G116" s="3243">
        <v>8930</v>
      </c>
    </row>
    <row r="117" spans="1:7" s="3219" customFormat="1" ht="14.25" customHeight="1">
      <c r="A117" s="3230" t="s">
        <v>303</v>
      </c>
      <c r="B117" s="3230" t="s">
        <v>2975</v>
      </c>
      <c r="C117" s="3230">
        <v>17120</v>
      </c>
      <c r="D117" s="3230">
        <v>17040</v>
      </c>
      <c r="E117" s="3230"/>
      <c r="F117" s="3230"/>
      <c r="G117" s="3243">
        <v>11260</v>
      </c>
    </row>
    <row r="118" spans="1:7" s="3219" customFormat="1" ht="14.25" customHeight="1">
      <c r="A118" s="3230" t="s">
        <v>303</v>
      </c>
      <c r="B118" s="3230" t="s">
        <v>2980</v>
      </c>
      <c r="C118" s="3230">
        <v>14860</v>
      </c>
      <c r="D118" s="3230">
        <v>14790</v>
      </c>
      <c r="E118" s="3230"/>
      <c r="F118" s="3230"/>
      <c r="G118" s="3243">
        <v>9780</v>
      </c>
    </row>
    <row r="119" spans="1:7" s="3219" customFormat="1" ht="14.25" customHeight="1">
      <c r="A119" s="3230" t="s">
        <v>303</v>
      </c>
      <c r="B119" s="3230" t="s">
        <v>2984</v>
      </c>
      <c r="C119" s="3230">
        <v>16470</v>
      </c>
      <c r="D119" s="3230">
        <v>16400</v>
      </c>
      <c r="E119" s="3230"/>
      <c r="F119" s="3230"/>
      <c r="G119" s="3243">
        <v>10840</v>
      </c>
    </row>
    <row r="120" spans="1:7" s="3219" customFormat="1" ht="14.25" customHeight="1">
      <c r="A120" s="3230" t="s">
        <v>303</v>
      </c>
      <c r="B120" s="3230" t="s">
        <v>3070</v>
      </c>
      <c r="C120" s="3230"/>
      <c r="D120" s="3230"/>
      <c r="E120" s="3230"/>
      <c r="F120" s="3230">
        <v>4160</v>
      </c>
      <c r="G120" s="3243"/>
    </row>
    <row r="121" spans="1:7" s="3219" customFormat="1" ht="14.25" customHeight="1">
      <c r="A121" s="3230" t="s">
        <v>303</v>
      </c>
      <c r="B121" s="3230" t="s">
        <v>3071</v>
      </c>
      <c r="C121" s="3230"/>
      <c r="D121" s="3230"/>
      <c r="E121" s="3230"/>
      <c r="F121" s="3230">
        <v>3880</v>
      </c>
      <c r="G121" s="3243"/>
    </row>
    <row r="122" spans="1:7" s="3219" customFormat="1" ht="14.25" customHeight="1">
      <c r="A122" s="3230" t="s">
        <v>303</v>
      </c>
      <c r="B122" s="3230" t="s">
        <v>3072</v>
      </c>
      <c r="C122" s="3230">
        <v>13750</v>
      </c>
      <c r="D122" s="3230">
        <v>13680</v>
      </c>
      <c r="E122" s="3230">
        <v>16460</v>
      </c>
      <c r="F122" s="3230">
        <v>2880</v>
      </c>
      <c r="G122" s="3243">
        <v>9040</v>
      </c>
    </row>
    <row r="123" spans="1:7" s="3219" customFormat="1" ht="14.25" customHeight="1">
      <c r="A123" s="3230" t="s">
        <v>303</v>
      </c>
      <c r="B123" s="3230" t="s">
        <v>3003</v>
      </c>
      <c r="C123" s="3230">
        <v>13590</v>
      </c>
      <c r="D123" s="3230">
        <v>13520</v>
      </c>
      <c r="E123" s="3230">
        <v>16290</v>
      </c>
      <c r="F123" s="3230">
        <v>2790</v>
      </c>
      <c r="G123" s="3243">
        <v>8930</v>
      </c>
    </row>
    <row r="124" spans="1:7" s="3219" customFormat="1" ht="14.25" customHeight="1">
      <c r="A124" s="3230" t="s">
        <v>303</v>
      </c>
      <c r="B124" s="3230" t="s">
        <v>3008</v>
      </c>
      <c r="C124" s="3230">
        <v>13400</v>
      </c>
      <c r="D124" s="3230">
        <v>13320</v>
      </c>
      <c r="E124" s="3230">
        <v>16100</v>
      </c>
      <c r="F124" s="3230">
        <v>2320</v>
      </c>
      <c r="G124" s="3243">
        <v>8800</v>
      </c>
    </row>
    <row r="125" spans="1:7" s="3219" customFormat="1" ht="14.25" customHeight="1">
      <c r="A125" s="3230" t="s">
        <v>303</v>
      </c>
      <c r="B125" s="3230" t="s">
        <v>3013</v>
      </c>
      <c r="C125" s="3230">
        <v>12860</v>
      </c>
      <c r="D125" s="3230">
        <v>12790</v>
      </c>
      <c r="E125" s="3230">
        <v>15370</v>
      </c>
      <c r="F125" s="3230">
        <v>2280</v>
      </c>
      <c r="G125" s="3243">
        <v>8450</v>
      </c>
    </row>
    <row r="126" spans="1:7" s="3219" customFormat="1" ht="14.25" customHeight="1" thickBot="1">
      <c r="A126" s="3244" t="s">
        <v>303</v>
      </c>
      <c r="B126" s="3237" t="s">
        <v>3018</v>
      </c>
      <c r="C126" s="3237">
        <v>12960</v>
      </c>
      <c r="D126" s="3237">
        <v>12890</v>
      </c>
      <c r="E126" s="3237">
        <v>15530</v>
      </c>
      <c r="F126" s="3237">
        <v>2910</v>
      </c>
      <c r="G126" s="3245">
        <v>8520</v>
      </c>
    </row>
    <row r="127" spans="1:7" s="3219" customFormat="1" ht="14.25" customHeight="1">
      <c r="A127" s="3235" t="s">
        <v>29</v>
      </c>
      <c r="B127" s="3226" t="s">
        <v>3073</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3074</v>
      </c>
      <c r="C148" s="3230">
        <v>10370</v>
      </c>
      <c r="D148" s="3230">
        <v>10310</v>
      </c>
      <c r="E148" s="3230">
        <v>12970</v>
      </c>
      <c r="F148" s="3230"/>
      <c r="G148" s="3230">
        <v>6630</v>
      </c>
    </row>
    <row r="149" spans="1:7" s="3219" customFormat="1" ht="14.25" customHeight="1">
      <c r="A149" s="3230" t="s">
        <v>29</v>
      </c>
      <c r="B149" s="3230" t="s">
        <v>3075</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2949</v>
      </c>
      <c r="C153" s="3230">
        <v>10880</v>
      </c>
      <c r="D153" s="3230">
        <v>10820</v>
      </c>
      <c r="E153" s="3230">
        <v>13660</v>
      </c>
      <c r="F153" s="3230">
        <v>2260</v>
      </c>
      <c r="G153" s="3230">
        <v>6970</v>
      </c>
    </row>
    <row r="154" spans="1:7" s="3219" customFormat="1" ht="14.25" customHeight="1">
      <c r="A154" s="3230" t="s">
        <v>29</v>
      </c>
      <c r="B154" s="3230" t="s">
        <v>3076</v>
      </c>
      <c r="C154" s="3230">
        <v>11220</v>
      </c>
      <c r="D154" s="3230">
        <v>11160</v>
      </c>
      <c r="E154" s="3230">
        <v>14130</v>
      </c>
      <c r="F154" s="3230">
        <v>2230</v>
      </c>
      <c r="G154" s="3230">
        <v>7180</v>
      </c>
    </row>
    <row r="155" spans="1:7" s="3219" customFormat="1" ht="14.25" customHeight="1">
      <c r="A155" s="3230" t="s">
        <v>29</v>
      </c>
      <c r="B155" s="3230" t="s">
        <v>2962</v>
      </c>
      <c r="C155" s="3230">
        <v>10430</v>
      </c>
      <c r="D155" s="3230">
        <v>10380</v>
      </c>
      <c r="E155" s="3230">
        <v>13140</v>
      </c>
      <c r="F155" s="3230">
        <v>2080</v>
      </c>
      <c r="G155" s="3230">
        <v>6650</v>
      </c>
    </row>
    <row r="156" spans="1:7" s="3219" customFormat="1" ht="14.25" customHeight="1">
      <c r="A156" s="3230" t="s">
        <v>29</v>
      </c>
      <c r="B156" s="3230" t="s">
        <v>3077</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3078</v>
      </c>
      <c r="C160" s="3230">
        <v>11180</v>
      </c>
      <c r="D160" s="3230">
        <v>11140</v>
      </c>
      <c r="E160" s="3230">
        <v>14050</v>
      </c>
      <c r="F160" s="3230">
        <v>2270</v>
      </c>
      <c r="G160" s="3230">
        <v>7170</v>
      </c>
    </row>
    <row r="161" spans="1:7" s="3219" customFormat="1" ht="14.25" customHeight="1">
      <c r="A161" s="3230" t="s">
        <v>29</v>
      </c>
      <c r="B161" s="3230" t="s">
        <v>2994</v>
      </c>
      <c r="C161" s="3230">
        <v>11160</v>
      </c>
      <c r="D161" s="3230">
        <v>11120</v>
      </c>
      <c r="E161" s="3230">
        <v>14020</v>
      </c>
      <c r="F161" s="3230">
        <v>2150</v>
      </c>
      <c r="G161" s="3230">
        <v>7160</v>
      </c>
    </row>
    <row r="162" spans="1:7" s="3219" customFormat="1" ht="14.25" customHeight="1">
      <c r="A162" s="3230" t="s">
        <v>29</v>
      </c>
      <c r="B162" s="3230" t="s">
        <v>2999</v>
      </c>
      <c r="C162" s="3230">
        <v>9620</v>
      </c>
      <c r="D162" s="3230">
        <v>9570</v>
      </c>
      <c r="E162" s="3230">
        <v>12320</v>
      </c>
      <c r="F162" s="3230">
        <v>2010</v>
      </c>
      <c r="G162" s="3230">
        <v>6160</v>
      </c>
    </row>
    <row r="163" spans="1:7" s="3219" customFormat="1" ht="14.25" customHeight="1">
      <c r="A163" s="3230" t="s">
        <v>29</v>
      </c>
      <c r="B163" s="3230" t="s">
        <v>3004</v>
      </c>
      <c r="C163" s="3230">
        <v>9320</v>
      </c>
      <c r="D163" s="3230">
        <v>9270</v>
      </c>
      <c r="E163" s="3230">
        <v>11790</v>
      </c>
      <c r="F163" s="3230">
        <v>1920</v>
      </c>
      <c r="G163" s="3230">
        <v>5960</v>
      </c>
    </row>
    <row r="164" spans="1:7" s="3219" customFormat="1" ht="14.25" customHeight="1">
      <c r="A164" s="3230" t="s">
        <v>29</v>
      </c>
      <c r="B164" s="3230" t="s">
        <v>3009</v>
      </c>
      <c r="C164" s="3230"/>
      <c r="D164" s="3230"/>
      <c r="E164" s="3230"/>
      <c r="F164" s="3230">
        <v>1980</v>
      </c>
      <c r="G164" s="3230"/>
    </row>
    <row r="165" spans="1:7" s="3219" customFormat="1" ht="14.25" customHeight="1">
      <c r="A165" s="3230" t="s">
        <v>29</v>
      </c>
      <c r="B165" s="3230" t="s">
        <v>3079</v>
      </c>
      <c r="C165" s="3230">
        <v>11060</v>
      </c>
      <c r="D165" s="3230">
        <v>11030</v>
      </c>
      <c r="E165" s="3230">
        <v>13850</v>
      </c>
      <c r="F165" s="3230">
        <v>2170</v>
      </c>
      <c r="G165" s="3230">
        <v>7090</v>
      </c>
    </row>
    <row r="166" spans="1:7" s="3219" customFormat="1" ht="14.25" customHeight="1">
      <c r="A166" s="3230" t="s">
        <v>29</v>
      </c>
      <c r="B166" s="3230" t="s">
        <v>3019</v>
      </c>
      <c r="C166" s="3230">
        <v>11050</v>
      </c>
      <c r="D166" s="3230">
        <v>11010</v>
      </c>
      <c r="E166" s="3230">
        <v>13920</v>
      </c>
      <c r="F166" s="3230">
        <v>2140</v>
      </c>
      <c r="G166" s="3230">
        <v>7080</v>
      </c>
    </row>
    <row r="167" spans="1:7" s="3219" customFormat="1" ht="14.25" customHeight="1">
      <c r="A167" s="3230" t="s">
        <v>29</v>
      </c>
      <c r="B167" s="3230" t="s">
        <v>3023</v>
      </c>
      <c r="C167" s="3230">
        <v>10930</v>
      </c>
      <c r="D167" s="3230">
        <v>10890</v>
      </c>
      <c r="E167" s="3230">
        <v>13790</v>
      </c>
      <c r="F167" s="3230">
        <v>2010</v>
      </c>
      <c r="G167" s="3230">
        <v>7000</v>
      </c>
    </row>
    <row r="168" spans="1:7" s="3219" customFormat="1" ht="14.25" customHeight="1">
      <c r="A168" s="3230" t="s">
        <v>29</v>
      </c>
      <c r="B168" s="3230" t="s">
        <v>3028</v>
      </c>
      <c r="C168" s="3230">
        <v>9420</v>
      </c>
      <c r="D168" s="3230">
        <v>9380</v>
      </c>
      <c r="E168" s="3230">
        <v>11970</v>
      </c>
      <c r="F168" s="3230"/>
      <c r="G168" s="3230">
        <v>6040</v>
      </c>
    </row>
    <row r="169" spans="1:7" s="3219" customFormat="1" ht="14.25" customHeight="1">
      <c r="A169" s="3230" t="s">
        <v>29</v>
      </c>
      <c r="B169" s="3230" t="s">
        <v>3080</v>
      </c>
      <c r="C169" s="3230"/>
      <c r="D169" s="3230"/>
      <c r="E169" s="3230"/>
      <c r="F169" s="3230">
        <v>2880</v>
      </c>
      <c r="G169" s="3230"/>
    </row>
    <row r="170" spans="1:7" s="3219" customFormat="1" ht="14.25" customHeight="1">
      <c r="A170" s="3230" t="s">
        <v>29</v>
      </c>
      <c r="B170" s="3230" t="s">
        <v>3036</v>
      </c>
      <c r="C170" s="3230"/>
      <c r="D170" s="3230"/>
      <c r="E170" s="3230"/>
      <c r="F170" s="3230">
        <v>2880</v>
      </c>
      <c r="G170" s="3230"/>
    </row>
    <row r="171" spans="1:7" s="3219" customFormat="1" ht="14.25" customHeight="1">
      <c r="A171" s="3230" t="s">
        <v>29</v>
      </c>
      <c r="B171" s="3230" t="s">
        <v>3039</v>
      </c>
      <c r="C171" s="3230"/>
      <c r="D171" s="3230"/>
      <c r="E171" s="3230"/>
      <c r="F171" s="3230">
        <v>2880</v>
      </c>
      <c r="G171" s="3230"/>
    </row>
    <row r="172" spans="1:7" s="3219" customFormat="1" ht="14.25" customHeight="1">
      <c r="A172" s="3230" t="s">
        <v>29</v>
      </c>
      <c r="B172" s="3230" t="s">
        <v>3041</v>
      </c>
      <c r="C172" s="3230"/>
      <c r="D172" s="3230"/>
      <c r="E172" s="3230"/>
      <c r="F172" s="3230">
        <v>2880</v>
      </c>
      <c r="G172" s="3230"/>
    </row>
    <row r="173" spans="1:7" s="3219" customFormat="1" ht="14.25" customHeight="1">
      <c r="A173" s="3230" t="s">
        <v>29</v>
      </c>
      <c r="B173" s="3230" t="s">
        <v>3043</v>
      </c>
      <c r="C173" s="3230"/>
      <c r="D173" s="3230"/>
      <c r="E173" s="3230"/>
      <c r="F173" s="3230">
        <v>2150</v>
      </c>
      <c r="G173" s="3230"/>
    </row>
    <row r="174" spans="1:7" s="3219" customFormat="1" ht="14.25" customHeight="1">
      <c r="A174" s="3230" t="s">
        <v>29</v>
      </c>
      <c r="B174" s="3230" t="s">
        <v>3045</v>
      </c>
      <c r="C174" s="3230"/>
      <c r="D174" s="3230"/>
      <c r="E174" s="3230"/>
      <c r="F174" s="3230">
        <v>2030</v>
      </c>
      <c r="G174" s="3230"/>
    </row>
    <row r="175" spans="1:7" s="3219" customFormat="1" ht="14.25" customHeight="1">
      <c r="A175" s="3230" t="s">
        <v>29</v>
      </c>
      <c r="B175" s="3230" t="s">
        <v>3047</v>
      </c>
      <c r="C175" s="3230"/>
      <c r="D175" s="3230"/>
      <c r="E175" s="3230"/>
      <c r="F175" s="3230">
        <v>2780</v>
      </c>
      <c r="G175" s="3230"/>
    </row>
    <row r="176" spans="1:7" s="3219" customFormat="1" ht="14.25" customHeight="1">
      <c r="A176" s="3230" t="s">
        <v>29</v>
      </c>
      <c r="B176" s="3230" t="s">
        <v>3049</v>
      </c>
      <c r="C176" s="3230"/>
      <c r="D176" s="3230"/>
      <c r="E176" s="3230"/>
      <c r="F176" s="3230">
        <v>2780</v>
      </c>
      <c r="G176" s="3230"/>
    </row>
    <row r="177" spans="1:7" s="3219" customFormat="1" ht="14.25" customHeight="1">
      <c r="A177" s="3230" t="s">
        <v>29</v>
      </c>
      <c r="B177" s="3230" t="s">
        <v>3081</v>
      </c>
      <c r="C177" s="3230"/>
      <c r="D177" s="3230"/>
      <c r="E177" s="3230"/>
      <c r="F177" s="3230">
        <v>2780</v>
      </c>
      <c r="G177" s="3230"/>
    </row>
    <row r="178" spans="1:7" s="3219" customFormat="1" ht="14.25" customHeight="1">
      <c r="A178" s="3230" t="s">
        <v>29</v>
      </c>
      <c r="B178" s="3230" t="s">
        <v>3082</v>
      </c>
      <c r="C178" s="3230"/>
      <c r="D178" s="3230"/>
      <c r="E178" s="3230"/>
      <c r="F178" s="3230">
        <v>2060</v>
      </c>
      <c r="G178" s="3230"/>
    </row>
    <row r="179" spans="1:7" s="3219" customFormat="1" ht="14.25" customHeight="1">
      <c r="A179" s="3230" t="s">
        <v>29</v>
      </c>
      <c r="B179" s="3230" t="s">
        <v>3083</v>
      </c>
      <c r="C179" s="3230"/>
      <c r="D179" s="3230"/>
      <c r="E179" s="3230"/>
      <c r="F179" s="3230">
        <v>2120</v>
      </c>
      <c r="G179" s="3230"/>
    </row>
    <row r="180" spans="1:7" s="3219" customFormat="1" ht="14.25" customHeight="1">
      <c r="A180" s="3230" t="s">
        <v>29</v>
      </c>
      <c r="B180" s="3230" t="s">
        <v>3055</v>
      </c>
      <c r="C180" s="3230"/>
      <c r="D180" s="3230"/>
      <c r="E180" s="3230"/>
      <c r="F180" s="3230">
        <v>2340</v>
      </c>
      <c r="G180" s="3230"/>
    </row>
    <row r="181" spans="1:7" s="3219" customFormat="1" ht="14.25" customHeight="1">
      <c r="A181" s="3230" t="s">
        <v>29</v>
      </c>
      <c r="B181" s="3230" t="s">
        <v>3056</v>
      </c>
      <c r="C181" s="3230"/>
      <c r="D181" s="3230"/>
      <c r="E181" s="3230"/>
      <c r="F181" s="3230">
        <v>2340</v>
      </c>
      <c r="G181" s="3230"/>
    </row>
    <row r="182" spans="1:7" s="3219" customFormat="1" ht="14.25" customHeight="1">
      <c r="A182" s="3230" t="s">
        <v>29</v>
      </c>
      <c r="B182" s="3230" t="s">
        <v>3057</v>
      </c>
      <c r="C182" s="3230"/>
      <c r="D182" s="3230"/>
      <c r="E182" s="3230"/>
      <c r="F182" s="3230">
        <v>2340</v>
      </c>
      <c r="G182" s="3230"/>
    </row>
    <row r="183" spans="1:7" s="3219" customFormat="1" ht="14.25" customHeight="1">
      <c r="A183" s="3230" t="s">
        <v>29</v>
      </c>
      <c r="B183" s="3230" t="s">
        <v>3058</v>
      </c>
      <c r="C183" s="3230"/>
      <c r="D183" s="3230"/>
      <c r="E183" s="3230"/>
      <c r="F183" s="3230">
        <v>2340</v>
      </c>
      <c r="G183" s="3230"/>
    </row>
    <row r="184" spans="1:7" s="3219" customFormat="1" ht="14.25" customHeight="1">
      <c r="A184" s="3230" t="s">
        <v>29</v>
      </c>
      <c r="B184" s="3230" t="s">
        <v>3059</v>
      </c>
      <c r="C184" s="3230"/>
      <c r="D184" s="3230"/>
      <c r="E184" s="3230"/>
      <c r="F184" s="3230">
        <v>2340</v>
      </c>
      <c r="G184" s="3230"/>
    </row>
    <row r="185" spans="1:7" s="3219" customFormat="1" ht="14.25" customHeight="1">
      <c r="A185" s="3230" t="s">
        <v>29</v>
      </c>
      <c r="B185" s="3230" t="s">
        <v>3060</v>
      </c>
      <c r="C185" s="3230"/>
      <c r="D185" s="3230"/>
      <c r="E185" s="3230"/>
      <c r="F185" s="3230">
        <v>2530</v>
      </c>
      <c r="G185" s="3230"/>
    </row>
    <row r="186" spans="1:7" s="3219" customFormat="1" ht="14.25" customHeight="1">
      <c r="A186" s="3230" t="s">
        <v>29</v>
      </c>
      <c r="B186" s="3230" t="s">
        <v>3061</v>
      </c>
      <c r="C186" s="3230"/>
      <c r="D186" s="3230"/>
      <c r="E186" s="3230"/>
      <c r="F186" s="3230">
        <v>2550</v>
      </c>
      <c r="G186" s="3230"/>
    </row>
    <row r="187" spans="1:7" s="3219" customFormat="1" ht="14.25" customHeight="1">
      <c r="A187" s="3230" t="s">
        <v>29</v>
      </c>
      <c r="B187" s="3230" t="s">
        <v>3062</v>
      </c>
      <c r="C187" s="3230"/>
      <c r="D187" s="3230"/>
      <c r="E187" s="3230"/>
      <c r="F187" s="3230">
        <v>2070</v>
      </c>
      <c r="G187" s="3230"/>
    </row>
    <row r="188" spans="1:7" s="3219" customFormat="1" ht="14.25" customHeight="1">
      <c r="A188" s="3230" t="s">
        <v>29</v>
      </c>
      <c r="B188" s="3230" t="s">
        <v>3063</v>
      </c>
      <c r="C188" s="3230"/>
      <c r="D188" s="3230"/>
      <c r="E188" s="3230"/>
      <c r="F188" s="3230">
        <v>2340</v>
      </c>
      <c r="G188" s="3230"/>
    </row>
    <row r="189" spans="1:7" s="3219" customFormat="1" ht="14.25" customHeight="1" thickBot="1">
      <c r="A189" s="3238" t="s">
        <v>29</v>
      </c>
      <c r="B189" s="3241" t="s">
        <v>3064</v>
      </c>
      <c r="C189" s="3241"/>
      <c r="D189" s="3241"/>
      <c r="E189" s="3241"/>
      <c r="F189" s="3241">
        <v>2050</v>
      </c>
      <c r="G189" s="3241"/>
    </row>
    <row r="190" spans="1:7" s="3219" customFormat="1" ht="14.25" customHeight="1">
      <c r="A190" s="3235" t="s">
        <v>304</v>
      </c>
      <c r="B190" s="3226" t="s">
        <v>3084</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3085</v>
      </c>
      <c r="C199" s="3230">
        <v>8690</v>
      </c>
      <c r="D199" s="3230">
        <v>8630</v>
      </c>
      <c r="E199" s="3230">
        <v>11350</v>
      </c>
      <c r="F199" s="3230">
        <v>1600</v>
      </c>
      <c r="G199" s="3243">
        <v>5450</v>
      </c>
    </row>
    <row r="200" spans="1:7" s="3219" customFormat="1" ht="14.25" customHeight="1">
      <c r="A200" s="3230" t="s">
        <v>304</v>
      </c>
      <c r="B200" s="3230" t="s">
        <v>2896</v>
      </c>
      <c r="C200" s="3230"/>
      <c r="D200" s="3230"/>
      <c r="E200" s="3230"/>
      <c r="F200" s="3230">
        <v>1510</v>
      </c>
      <c r="G200" s="3243"/>
    </row>
    <row r="201" spans="1:7" s="3219" customFormat="1" ht="14.25" customHeight="1">
      <c r="A201" s="3230" t="s">
        <v>304</v>
      </c>
      <c r="B201" s="3230" t="s">
        <v>3086</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3087</v>
      </c>
      <c r="C203" s="3230">
        <v>8130</v>
      </c>
      <c r="D203" s="3230">
        <v>8070</v>
      </c>
      <c r="E203" s="3230">
        <v>10820</v>
      </c>
      <c r="F203" s="3230">
        <v>1690</v>
      </c>
      <c r="G203" s="3243">
        <v>5100</v>
      </c>
    </row>
    <row r="204" spans="1:7" s="3219" customFormat="1" ht="14.25" customHeight="1">
      <c r="A204" s="3230" t="s">
        <v>304</v>
      </c>
      <c r="B204" s="3230" t="s">
        <v>2907</v>
      </c>
      <c r="C204" s="3230">
        <v>8350</v>
      </c>
      <c r="D204" s="3230">
        <v>8290</v>
      </c>
      <c r="E204" s="3230">
        <v>11080</v>
      </c>
      <c r="F204" s="3230">
        <v>1450</v>
      </c>
      <c r="G204" s="3243">
        <v>5240</v>
      </c>
    </row>
    <row r="205" spans="1:7" s="3219" customFormat="1" ht="14.25" customHeight="1">
      <c r="A205" s="3230" t="s">
        <v>304</v>
      </c>
      <c r="B205" s="3230" t="s">
        <v>2909</v>
      </c>
      <c r="C205" s="3230">
        <v>7190</v>
      </c>
      <c r="D205" s="3230">
        <v>7130</v>
      </c>
      <c r="E205" s="3230">
        <v>9490</v>
      </c>
      <c r="F205" s="3230">
        <v>1470</v>
      </c>
      <c r="G205" s="3243">
        <v>4510</v>
      </c>
    </row>
    <row r="206" spans="1:7" s="3219" customFormat="1" ht="14.25" customHeight="1">
      <c r="A206" s="3230" t="s">
        <v>304</v>
      </c>
      <c r="B206" s="3230" t="s">
        <v>2912</v>
      </c>
      <c r="C206" s="3230">
        <v>7000</v>
      </c>
      <c r="D206" s="3230">
        <v>6950</v>
      </c>
      <c r="E206" s="3230">
        <v>9170</v>
      </c>
      <c r="F206" s="3230">
        <v>1400</v>
      </c>
      <c r="G206" s="3243">
        <v>4380</v>
      </c>
    </row>
    <row r="207" spans="1:7" s="3219" customFormat="1" ht="14.25" customHeight="1">
      <c r="A207" s="3230" t="s">
        <v>304</v>
      </c>
      <c r="B207" s="3230" t="s">
        <v>2914</v>
      </c>
      <c r="C207" s="3230">
        <v>6950</v>
      </c>
      <c r="D207" s="3230">
        <v>6900</v>
      </c>
      <c r="E207" s="3230">
        <v>9110</v>
      </c>
      <c r="F207" s="3230">
        <v>1790</v>
      </c>
      <c r="G207" s="3243">
        <v>4360</v>
      </c>
    </row>
    <row r="208" spans="1:7" s="3219" customFormat="1" ht="14.25" customHeight="1">
      <c r="A208" s="3230" t="s">
        <v>304</v>
      </c>
      <c r="B208" s="3230" t="s">
        <v>3088</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2924</v>
      </c>
      <c r="C210" s="3230">
        <v>8710</v>
      </c>
      <c r="D210" s="3230">
        <v>8660</v>
      </c>
      <c r="E210" s="3230">
        <v>11440</v>
      </c>
      <c r="F210" s="3230">
        <v>1740</v>
      </c>
      <c r="G210" s="3243">
        <v>5470</v>
      </c>
    </row>
    <row r="211" spans="1:7" s="3219" customFormat="1" ht="14.25" customHeight="1">
      <c r="A211" s="3230" t="s">
        <v>304</v>
      </c>
      <c r="B211" s="3230" t="s">
        <v>3089</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3090</v>
      </c>
      <c r="C214" s="3230">
        <v>8090</v>
      </c>
      <c r="D214" s="3230">
        <v>8030</v>
      </c>
      <c r="E214" s="3230">
        <v>10780</v>
      </c>
      <c r="F214" s="3230">
        <v>1570</v>
      </c>
      <c r="G214" s="3243">
        <v>5070</v>
      </c>
    </row>
    <row r="215" spans="1:7" s="3219" customFormat="1" ht="14.25" customHeight="1">
      <c r="A215" s="3230" t="s">
        <v>304</v>
      </c>
      <c r="B215" s="3230" t="s">
        <v>3091</v>
      </c>
      <c r="C215" s="3230">
        <v>7950</v>
      </c>
      <c r="D215" s="3230">
        <v>7900</v>
      </c>
      <c r="E215" s="3230">
        <v>10560</v>
      </c>
      <c r="F215" s="3230">
        <v>1630</v>
      </c>
      <c r="G215" s="3243">
        <v>4990</v>
      </c>
    </row>
    <row r="216" spans="1:7" s="3219" customFormat="1" ht="14.25" customHeight="1">
      <c r="A216" s="3230" t="s">
        <v>304</v>
      </c>
      <c r="B216" s="3230" t="s">
        <v>3092</v>
      </c>
      <c r="C216" s="3230">
        <v>8490</v>
      </c>
      <c r="D216" s="3230">
        <v>8440</v>
      </c>
      <c r="E216" s="3230">
        <v>11260</v>
      </c>
      <c r="F216" s="3230">
        <v>1690</v>
      </c>
      <c r="G216" s="3243">
        <v>5330</v>
      </c>
    </row>
    <row r="217" spans="1:7" s="3219" customFormat="1" ht="14.25" customHeight="1">
      <c r="A217" s="3230" t="s">
        <v>304</v>
      </c>
      <c r="B217" s="3230" t="s">
        <v>2957</v>
      </c>
      <c r="C217" s="3230">
        <v>8200</v>
      </c>
      <c r="D217" s="3230">
        <v>8150</v>
      </c>
      <c r="E217" s="3230">
        <v>10910</v>
      </c>
      <c r="F217" s="3230">
        <v>1670</v>
      </c>
      <c r="G217" s="3243">
        <v>5150</v>
      </c>
    </row>
    <row r="218" spans="1:7" s="3219" customFormat="1" ht="14.25" customHeight="1">
      <c r="A218" s="3230" t="s">
        <v>304</v>
      </c>
      <c r="B218" s="3230" t="s">
        <v>3093</v>
      </c>
      <c r="C218" s="3230"/>
      <c r="D218" s="3230"/>
      <c r="E218" s="3230"/>
      <c r="F218" s="3230">
        <v>2040</v>
      </c>
      <c r="G218" s="3243"/>
    </row>
    <row r="219" spans="1:7" s="3219" customFormat="1" ht="14.25" customHeight="1">
      <c r="A219" s="3230" t="s">
        <v>304</v>
      </c>
      <c r="B219" s="3230" t="s">
        <v>3094</v>
      </c>
      <c r="C219" s="3230"/>
      <c r="D219" s="3230"/>
      <c r="E219" s="3230"/>
      <c r="F219" s="3230">
        <v>2040</v>
      </c>
      <c r="G219" s="3243"/>
    </row>
    <row r="220" spans="1:7" s="3219" customFormat="1" ht="14.25" customHeight="1">
      <c r="A220" s="3230" t="s">
        <v>304</v>
      </c>
      <c r="B220" s="3230" t="s">
        <v>3095</v>
      </c>
      <c r="C220" s="3230"/>
      <c r="D220" s="3230"/>
      <c r="E220" s="3230"/>
      <c r="F220" s="3230">
        <v>2040</v>
      </c>
      <c r="G220" s="3243"/>
    </row>
    <row r="221" spans="1:7" s="3219" customFormat="1" ht="14.25" customHeight="1">
      <c r="A221" s="3230" t="s">
        <v>304</v>
      </c>
      <c r="B221" s="3230" t="s">
        <v>3096</v>
      </c>
      <c r="C221" s="3230"/>
      <c r="D221" s="3230"/>
      <c r="E221" s="3230"/>
      <c r="F221" s="3230">
        <v>2040</v>
      </c>
      <c r="G221" s="3243"/>
    </row>
    <row r="222" spans="1:7" s="3219" customFormat="1" ht="14.25" customHeight="1">
      <c r="A222" s="3230" t="s">
        <v>304</v>
      </c>
      <c r="B222" s="3230" t="s">
        <v>3097</v>
      </c>
      <c r="C222" s="3230"/>
      <c r="D222" s="3230"/>
      <c r="E222" s="3230"/>
      <c r="F222" s="3230">
        <v>2040</v>
      </c>
      <c r="G222" s="3243"/>
    </row>
    <row r="223" spans="1:7" s="3219" customFormat="1" ht="14.25" customHeight="1">
      <c r="A223" s="3230" t="s">
        <v>304</v>
      </c>
      <c r="B223" s="3230" t="s">
        <v>3098</v>
      </c>
      <c r="C223" s="3230"/>
      <c r="D223" s="3230"/>
      <c r="E223" s="3230"/>
      <c r="F223" s="3230">
        <v>1930</v>
      </c>
      <c r="G223" s="3243"/>
    </row>
    <row r="224" spans="1:7" s="3219" customFormat="1" ht="14.25" customHeight="1">
      <c r="A224" s="3230" t="s">
        <v>304</v>
      </c>
      <c r="B224" s="3230" t="s">
        <v>3099</v>
      </c>
      <c r="C224" s="3230"/>
      <c r="D224" s="3230"/>
      <c r="E224" s="3230"/>
      <c r="F224" s="3230">
        <v>1930</v>
      </c>
      <c r="G224" s="3243"/>
    </row>
    <row r="225" spans="1:7" s="3219" customFormat="1" ht="14.25" customHeight="1">
      <c r="A225" s="3230" t="s">
        <v>304</v>
      </c>
      <c r="B225" s="3230" t="s">
        <v>3100</v>
      </c>
      <c r="C225" s="3230"/>
      <c r="D225" s="3230"/>
      <c r="E225" s="3230"/>
      <c r="F225" s="3230">
        <v>1930</v>
      </c>
      <c r="G225" s="3243"/>
    </row>
    <row r="226" spans="1:7" s="3219" customFormat="1" ht="14.25" customHeight="1">
      <c r="A226" s="3230" t="s">
        <v>304</v>
      </c>
      <c r="B226" s="3230" t="s">
        <v>3101</v>
      </c>
      <c r="C226" s="3230"/>
      <c r="D226" s="3230"/>
      <c r="E226" s="3230"/>
      <c r="F226" s="3230">
        <v>1700</v>
      </c>
      <c r="G226" s="3243"/>
    </row>
    <row r="227" spans="1:7" s="3219" customFormat="1" ht="14.25" customHeight="1">
      <c r="A227" s="3230" t="s">
        <v>304</v>
      </c>
      <c r="B227" s="3230" t="s">
        <v>3102</v>
      </c>
      <c r="C227" s="3230"/>
      <c r="D227" s="3230"/>
      <c r="E227" s="3230"/>
      <c r="F227" s="3230">
        <v>1520</v>
      </c>
      <c r="G227" s="3243"/>
    </row>
    <row r="228" spans="1:7" s="3219" customFormat="1" ht="14.25" customHeight="1">
      <c r="A228" s="3230" t="s">
        <v>304</v>
      </c>
      <c r="B228" s="3230" t="s">
        <v>3103</v>
      </c>
      <c r="C228" s="3230"/>
      <c r="D228" s="3230"/>
      <c r="E228" s="3230"/>
      <c r="F228" s="3230">
        <v>1520</v>
      </c>
      <c r="G228" s="3243"/>
    </row>
    <row r="229" spans="1:7" s="3219" customFormat="1" ht="14.25" customHeight="1">
      <c r="A229" s="3230" t="s">
        <v>304</v>
      </c>
      <c r="B229" s="3230" t="s">
        <v>3020</v>
      </c>
      <c r="C229" s="3230"/>
      <c r="D229" s="3230"/>
      <c r="E229" s="3230"/>
      <c r="F229" s="3230">
        <v>1520</v>
      </c>
      <c r="G229" s="3243"/>
    </row>
    <row r="230" spans="1:7" s="3219" customFormat="1" ht="14.25" customHeight="1">
      <c r="A230" s="3230" t="s">
        <v>304</v>
      </c>
      <c r="B230" s="3230" t="s">
        <v>3104</v>
      </c>
      <c r="C230" s="3230"/>
      <c r="D230" s="3230"/>
      <c r="E230" s="3230"/>
      <c r="F230" s="3230">
        <v>1820</v>
      </c>
      <c r="G230" s="3243"/>
    </row>
    <row r="231" spans="1:7" s="3219" customFormat="1" ht="14.25" customHeight="1">
      <c r="A231" s="3230" t="s">
        <v>304</v>
      </c>
      <c r="B231" s="3230" t="s">
        <v>3105</v>
      </c>
      <c r="C231" s="3230"/>
      <c r="D231" s="3230"/>
      <c r="E231" s="3230"/>
      <c r="F231" s="3230">
        <v>1760</v>
      </c>
      <c r="G231" s="3243"/>
    </row>
    <row r="232" spans="1:7" s="3219" customFormat="1" ht="14.25" customHeight="1">
      <c r="A232" s="3230" t="s">
        <v>304</v>
      </c>
      <c r="B232" s="3230" t="s">
        <v>3106</v>
      </c>
      <c r="C232" s="3230"/>
      <c r="D232" s="3230"/>
      <c r="E232" s="3230"/>
      <c r="F232" s="3230">
        <v>1840</v>
      </c>
      <c r="G232" s="3243"/>
    </row>
    <row r="233" spans="1:7" s="3219" customFormat="1" ht="14.25" customHeight="1" thickBot="1">
      <c r="A233" s="3244" t="s">
        <v>304</v>
      </c>
      <c r="B233" s="3237" t="s">
        <v>3037</v>
      </c>
      <c r="C233" s="3237"/>
      <c r="D233" s="3237"/>
      <c r="E233" s="3237"/>
      <c r="F233" s="3237">
        <v>1770</v>
      </c>
      <c r="G233" s="3245"/>
    </row>
    <row r="234" spans="1:7" s="3219" customFormat="1" ht="14.25" customHeight="1">
      <c r="A234" s="3235" t="s">
        <v>305</v>
      </c>
      <c r="B234" s="3226" t="s">
        <v>3107</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2878</v>
      </c>
      <c r="C238" s="3230">
        <v>6920</v>
      </c>
      <c r="D238" s="3230">
        <v>6890</v>
      </c>
      <c r="E238" s="3230">
        <v>8640</v>
      </c>
      <c r="F238" s="3230">
        <v>1310</v>
      </c>
      <c r="G238" s="3230">
        <v>4230</v>
      </c>
    </row>
    <row r="239" spans="1:7" s="3219" customFormat="1" ht="14.25" customHeight="1">
      <c r="A239" s="3230" t="s">
        <v>305</v>
      </c>
      <c r="B239" s="3230" t="s">
        <v>3108</v>
      </c>
      <c r="C239" s="3230">
        <v>6780</v>
      </c>
      <c r="D239" s="3230">
        <v>6750</v>
      </c>
      <c r="E239" s="3230">
        <v>8440</v>
      </c>
      <c r="F239" s="3230">
        <v>1160</v>
      </c>
      <c r="G239" s="3230">
        <v>4140</v>
      </c>
    </row>
    <row r="240" spans="1:7" s="3219" customFormat="1" ht="14.25" customHeight="1">
      <c r="A240" s="3230" t="s">
        <v>305</v>
      </c>
      <c r="B240" s="3230" t="s">
        <v>3109</v>
      </c>
      <c r="C240" s="3230">
        <v>5420</v>
      </c>
      <c r="D240" s="3230">
        <v>5380</v>
      </c>
      <c r="E240" s="3230">
        <v>6640</v>
      </c>
      <c r="F240" s="3230">
        <v>1020</v>
      </c>
      <c r="G240" s="3230">
        <v>3300</v>
      </c>
    </row>
    <row r="241" spans="1:7" s="3219" customFormat="1" ht="14.25" customHeight="1">
      <c r="A241" s="3230" t="s">
        <v>305</v>
      </c>
      <c r="B241" s="3230" t="s">
        <v>3110</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3111</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3112</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3113</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3114</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3115</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2940</v>
      </c>
      <c r="C258" s="3230">
        <v>6190</v>
      </c>
      <c r="D258" s="3230">
        <v>6160</v>
      </c>
      <c r="E258" s="3230">
        <v>7680</v>
      </c>
      <c r="F258" s="3230">
        <v>1170</v>
      </c>
      <c r="G258" s="3230">
        <v>3780</v>
      </c>
    </row>
    <row r="259" spans="1:7" s="3219" customFormat="1" ht="14.25" customHeight="1">
      <c r="A259" s="3230" t="s">
        <v>305</v>
      </c>
      <c r="B259" s="3230" t="s">
        <v>3116</v>
      </c>
      <c r="C259" s="3230">
        <v>7610</v>
      </c>
      <c r="D259" s="3230">
        <v>7570</v>
      </c>
      <c r="E259" s="3230">
        <v>9350</v>
      </c>
      <c r="F259" s="3230">
        <v>1350</v>
      </c>
      <c r="G259" s="3230">
        <v>4650</v>
      </c>
    </row>
    <row r="260" spans="1:7" s="3219" customFormat="1" ht="14.25" customHeight="1">
      <c r="A260" s="3230" t="s">
        <v>305</v>
      </c>
      <c r="B260" s="3230" t="s">
        <v>3117</v>
      </c>
      <c r="C260" s="3230">
        <v>6920</v>
      </c>
      <c r="D260" s="3230">
        <v>6880</v>
      </c>
      <c r="E260" s="3230">
        <v>8380</v>
      </c>
      <c r="F260" s="3230">
        <v>1160</v>
      </c>
      <c r="G260" s="3230">
        <v>4220</v>
      </c>
    </row>
    <row r="261" spans="1:7" s="3219" customFormat="1" ht="14.25" customHeight="1">
      <c r="A261" s="3230" t="s">
        <v>305</v>
      </c>
      <c r="B261" s="3230" t="s">
        <v>3118</v>
      </c>
      <c r="C261" s="3230">
        <v>6850</v>
      </c>
      <c r="D261" s="3230">
        <v>6810</v>
      </c>
      <c r="E261" s="3230">
        <v>8290</v>
      </c>
      <c r="F261" s="3230">
        <v>1130</v>
      </c>
      <c r="G261" s="3230">
        <v>4180</v>
      </c>
    </row>
    <row r="262" spans="1:7" s="3219" customFormat="1" ht="14.25" customHeight="1">
      <c r="A262" s="3230" t="s">
        <v>305</v>
      </c>
      <c r="B262" s="3230" t="s">
        <v>3119</v>
      </c>
      <c r="C262" s="3230">
        <v>5860</v>
      </c>
      <c r="D262" s="3230">
        <v>5820</v>
      </c>
      <c r="E262" s="3230">
        <v>7640</v>
      </c>
      <c r="F262" s="3230">
        <v>1070</v>
      </c>
      <c r="G262" s="3230">
        <v>3570</v>
      </c>
    </row>
    <row r="263" spans="1:7" s="3219" customFormat="1" ht="14.25" customHeight="1">
      <c r="A263" s="3230" t="s">
        <v>305</v>
      </c>
      <c r="B263" s="3230" t="s">
        <v>3120</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3121</v>
      </c>
      <c r="C265" s="3230"/>
      <c r="D265" s="3230"/>
      <c r="E265" s="3230"/>
      <c r="F265" s="3230">
        <v>1500</v>
      </c>
      <c r="G265" s="3230"/>
    </row>
    <row r="266" spans="1:7" s="3219" customFormat="1" ht="14.25" customHeight="1">
      <c r="A266" s="3230" t="s">
        <v>305</v>
      </c>
      <c r="B266" s="3230" t="s">
        <v>3122</v>
      </c>
      <c r="C266" s="3230"/>
      <c r="D266" s="3230"/>
      <c r="E266" s="3230"/>
      <c r="F266" s="3230">
        <v>1500</v>
      </c>
      <c r="G266" s="3230"/>
    </row>
    <row r="267" spans="1:7" s="3219" customFormat="1" ht="14.25" customHeight="1">
      <c r="A267" s="3230" t="s">
        <v>305</v>
      </c>
      <c r="B267" s="3230" t="s">
        <v>3123</v>
      </c>
      <c r="C267" s="3230"/>
      <c r="D267" s="3230"/>
      <c r="E267" s="3230"/>
      <c r="F267" s="3230">
        <v>1500</v>
      </c>
      <c r="G267" s="3230"/>
    </row>
    <row r="268" spans="1:7" s="3219" customFormat="1" ht="14.25" customHeight="1">
      <c r="A268" s="3230" t="s">
        <v>305</v>
      </c>
      <c r="B268" s="3230" t="s">
        <v>3124</v>
      </c>
      <c r="C268" s="3230"/>
      <c r="D268" s="3230"/>
      <c r="E268" s="3230"/>
      <c r="F268" s="3230">
        <v>1290</v>
      </c>
      <c r="G268" s="3230"/>
    </row>
    <row r="269" spans="1:7" s="3219" customFormat="1" ht="14.25" customHeight="1">
      <c r="A269" s="3230" t="s">
        <v>305</v>
      </c>
      <c r="B269" s="3230" t="s">
        <v>3125</v>
      </c>
      <c r="C269" s="3230"/>
      <c r="D269" s="3230"/>
      <c r="E269" s="3230"/>
      <c r="F269" s="3230">
        <v>1150</v>
      </c>
      <c r="G269" s="3230"/>
    </row>
    <row r="270" spans="1:7" s="3219" customFormat="1" ht="14.25" customHeight="1">
      <c r="A270" s="3230" t="s">
        <v>305</v>
      </c>
      <c r="B270" s="3230" t="s">
        <v>3126</v>
      </c>
      <c r="C270" s="3230"/>
      <c r="D270" s="3230"/>
      <c r="E270" s="3230"/>
      <c r="F270" s="3230">
        <v>1380</v>
      </c>
      <c r="G270" s="3230"/>
    </row>
    <row r="271" spans="1:7" s="3219" customFormat="1" ht="14.25" customHeight="1">
      <c r="A271" s="3230" t="s">
        <v>305</v>
      </c>
      <c r="B271" s="3230" t="s">
        <v>3127</v>
      </c>
      <c r="C271" s="3230"/>
      <c r="D271" s="3230"/>
      <c r="E271" s="3230"/>
      <c r="F271" s="3230">
        <v>1460</v>
      </c>
      <c r="G271" s="3230"/>
    </row>
    <row r="272" spans="1:7" s="3219" customFormat="1" ht="14.25" customHeight="1">
      <c r="A272" s="3230" t="s">
        <v>305</v>
      </c>
      <c r="B272" s="3230" t="s">
        <v>3128</v>
      </c>
      <c r="C272" s="3230"/>
      <c r="D272" s="3230"/>
      <c r="E272" s="3230"/>
      <c r="F272" s="3230">
        <v>1460</v>
      </c>
      <c r="G272" s="3230"/>
    </row>
    <row r="273" spans="1:7" s="3219" customFormat="1" ht="14.25" customHeight="1">
      <c r="A273" s="3230" t="s">
        <v>305</v>
      </c>
      <c r="B273" s="3230" t="s">
        <v>3021</v>
      </c>
      <c r="C273" s="3230"/>
      <c r="D273" s="3230"/>
      <c r="E273" s="3230"/>
      <c r="F273" s="3230">
        <v>1490</v>
      </c>
      <c r="G273" s="3230"/>
    </row>
    <row r="274" spans="1:7" s="3219" customFormat="1" ht="14.25" customHeight="1">
      <c r="A274" s="3230" t="s">
        <v>305</v>
      </c>
      <c r="B274" s="3230" t="s">
        <v>3129</v>
      </c>
      <c r="C274" s="3230"/>
      <c r="D274" s="3230"/>
      <c r="E274" s="3230"/>
      <c r="F274" s="3230">
        <v>1490</v>
      </c>
      <c r="G274" s="3230"/>
    </row>
    <row r="275" spans="1:7" s="3219" customFormat="1" ht="14.25" customHeight="1">
      <c r="A275" s="3230" t="s">
        <v>305</v>
      </c>
      <c r="B275" s="3230" t="s">
        <v>3130</v>
      </c>
      <c r="C275" s="3230"/>
      <c r="D275" s="3230"/>
      <c r="E275" s="3230"/>
      <c r="F275" s="3230">
        <v>1220</v>
      </c>
      <c r="G275" s="3230"/>
    </row>
    <row r="276" spans="1:7" s="3219" customFormat="1" ht="14.25" customHeight="1" thickBot="1">
      <c r="A276" s="3238" t="s">
        <v>305</v>
      </c>
      <c r="B276" s="3240" t="s">
        <v>3131</v>
      </c>
      <c r="C276" s="3241"/>
      <c r="D276" s="3241"/>
      <c r="E276" s="3241"/>
      <c r="F276" s="3241">
        <v>1380</v>
      </c>
      <c r="G276" s="3241"/>
    </row>
    <row r="277" spans="1:7" s="3219" customFormat="1" ht="14.25" customHeight="1">
      <c r="A277" s="3235" t="s">
        <v>306</v>
      </c>
      <c r="B277" s="3226" t="s">
        <v>3132</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3133</v>
      </c>
      <c r="C279" s="3230">
        <v>4760</v>
      </c>
      <c r="D279" s="3230">
        <v>4720</v>
      </c>
      <c r="E279" s="3230">
        <v>5540</v>
      </c>
      <c r="F279" s="3230">
        <v>810</v>
      </c>
      <c r="G279" s="3243">
        <v>2850</v>
      </c>
    </row>
    <row r="280" spans="1:7" s="3219" customFormat="1" ht="14.25" customHeight="1">
      <c r="A280" s="3230" t="s">
        <v>306</v>
      </c>
      <c r="B280" s="3230" t="s">
        <v>3134</v>
      </c>
      <c r="C280" s="3230">
        <v>4010</v>
      </c>
      <c r="D280" s="3230">
        <v>3950</v>
      </c>
      <c r="E280" s="3230">
        <v>4710</v>
      </c>
      <c r="F280" s="3230">
        <v>800</v>
      </c>
      <c r="G280" s="3243">
        <v>2390</v>
      </c>
    </row>
    <row r="281" spans="1:7" s="3219" customFormat="1" ht="14.25" customHeight="1">
      <c r="A281" s="3230" t="s">
        <v>306</v>
      </c>
      <c r="B281" s="3230" t="s">
        <v>3135</v>
      </c>
      <c r="C281" s="3230">
        <v>4480</v>
      </c>
      <c r="D281" s="3230">
        <v>4420</v>
      </c>
      <c r="E281" s="3230">
        <v>5230</v>
      </c>
      <c r="F281" s="3230">
        <v>870</v>
      </c>
      <c r="G281" s="3243">
        <v>2660</v>
      </c>
    </row>
    <row r="282" spans="1:7" s="3219" customFormat="1" ht="14.25" customHeight="1">
      <c r="A282" s="3230" t="s">
        <v>306</v>
      </c>
      <c r="B282" s="3230" t="s">
        <v>3136</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3137</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3138</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2913</v>
      </c>
      <c r="C293" s="3230">
        <v>5320</v>
      </c>
      <c r="D293" s="3230">
        <v>5270</v>
      </c>
      <c r="E293" s="3230">
        <v>6160</v>
      </c>
      <c r="F293" s="3230">
        <v>990</v>
      </c>
      <c r="G293" s="3243">
        <v>3170</v>
      </c>
    </row>
    <row r="294" spans="1:7" s="3219" customFormat="1" ht="14.25" customHeight="1">
      <c r="A294" s="3230" t="s">
        <v>306</v>
      </c>
      <c r="B294" s="3230" t="s">
        <v>3139</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2932</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3140</v>
      </c>
      <c r="C302" s="3230">
        <v>5520</v>
      </c>
      <c r="D302" s="3230">
        <v>5470</v>
      </c>
      <c r="E302" s="3230">
        <v>6410</v>
      </c>
      <c r="F302" s="3230">
        <v>950</v>
      </c>
      <c r="G302" s="3243">
        <v>3300</v>
      </c>
    </row>
    <row r="303" spans="1:7" s="3219" customFormat="1" ht="14.25" customHeight="1">
      <c r="A303" s="3230" t="s">
        <v>306</v>
      </c>
      <c r="B303" s="3230" t="s">
        <v>2952</v>
      </c>
      <c r="C303" s="3230">
        <v>5630</v>
      </c>
      <c r="D303" s="3230">
        <v>5590</v>
      </c>
      <c r="E303" s="3230">
        <v>6550</v>
      </c>
      <c r="F303" s="3230">
        <v>1010</v>
      </c>
      <c r="G303" s="3243">
        <v>3370</v>
      </c>
    </row>
    <row r="304" spans="1:7" s="3219" customFormat="1" ht="14.25" customHeight="1">
      <c r="A304" s="3230" t="s">
        <v>306</v>
      </c>
      <c r="B304" s="3230" t="s">
        <v>2959</v>
      </c>
      <c r="C304" s="3230">
        <v>5680</v>
      </c>
      <c r="D304" s="3230">
        <v>5620</v>
      </c>
      <c r="E304" s="3230">
        <v>6620</v>
      </c>
      <c r="F304" s="3230">
        <v>1050</v>
      </c>
      <c r="G304" s="3243">
        <v>3390</v>
      </c>
    </row>
    <row r="305" spans="1:7" s="3219" customFormat="1" ht="14.25" customHeight="1">
      <c r="A305" s="3230" t="s">
        <v>306</v>
      </c>
      <c r="B305" s="3230" t="s">
        <v>2965</v>
      </c>
      <c r="C305" s="3230">
        <v>5590</v>
      </c>
      <c r="D305" s="3230">
        <v>5530</v>
      </c>
      <c r="E305" s="3230">
        <v>6460</v>
      </c>
      <c r="F305" s="3230">
        <v>900</v>
      </c>
      <c r="G305" s="3243">
        <v>3340</v>
      </c>
    </row>
    <row r="306" spans="1:7" s="3219" customFormat="1" ht="14.25" customHeight="1">
      <c r="A306" s="3230" t="s">
        <v>306</v>
      </c>
      <c r="B306" s="3230" t="s">
        <v>3141</v>
      </c>
      <c r="C306" s="3230">
        <v>5560</v>
      </c>
      <c r="D306" s="3230">
        <v>5510</v>
      </c>
      <c r="E306" s="3230">
        <v>6440</v>
      </c>
      <c r="F306" s="3230">
        <v>900</v>
      </c>
      <c r="G306" s="3243">
        <v>3320</v>
      </c>
    </row>
    <row r="307" spans="1:7" s="3219" customFormat="1" ht="14.25" customHeight="1">
      <c r="A307" s="3230" t="s">
        <v>306</v>
      </c>
      <c r="B307" s="3230" t="s">
        <v>2977</v>
      </c>
      <c r="C307" s="3230">
        <v>5650</v>
      </c>
      <c r="D307" s="3230">
        <v>5600</v>
      </c>
      <c r="E307" s="3230">
        <v>6590</v>
      </c>
      <c r="F307" s="3230">
        <v>930</v>
      </c>
      <c r="G307" s="3243">
        <v>3380</v>
      </c>
    </row>
    <row r="308" spans="1:7" s="3219" customFormat="1" ht="14.25" customHeight="1">
      <c r="A308" s="3230" t="s">
        <v>306</v>
      </c>
      <c r="B308" s="3230" t="s">
        <v>3142</v>
      </c>
      <c r="C308" s="3230">
        <v>5620</v>
      </c>
      <c r="D308" s="3230">
        <v>5580</v>
      </c>
      <c r="E308" s="3230">
        <v>6540</v>
      </c>
      <c r="F308" s="3230">
        <v>910</v>
      </c>
      <c r="G308" s="3243">
        <v>3370</v>
      </c>
    </row>
    <row r="309" spans="1:7" s="3219" customFormat="1" ht="14.25" customHeight="1">
      <c r="A309" s="3230" t="s">
        <v>306</v>
      </c>
      <c r="B309" s="3230" t="s">
        <v>3143</v>
      </c>
      <c r="C309" s="3230">
        <v>5060</v>
      </c>
      <c r="D309" s="3230">
        <v>5020</v>
      </c>
      <c r="E309" s="3230">
        <v>6370</v>
      </c>
      <c r="F309" s="3230">
        <v>800</v>
      </c>
      <c r="G309" s="3243">
        <v>3020</v>
      </c>
    </row>
    <row r="310" spans="1:7" s="3219" customFormat="1" ht="14.25" customHeight="1">
      <c r="A310" s="3230" t="s">
        <v>306</v>
      </c>
      <c r="B310" s="3230" t="s">
        <v>2992</v>
      </c>
      <c r="C310" s="3230">
        <v>5150</v>
      </c>
      <c r="D310" s="3230">
        <v>5110</v>
      </c>
      <c r="E310" s="3230">
        <v>6500</v>
      </c>
      <c r="F310" s="3230">
        <v>880</v>
      </c>
      <c r="G310" s="3243">
        <v>3080</v>
      </c>
    </row>
    <row r="311" spans="1:7" s="3219" customFormat="1" ht="14.25" customHeight="1">
      <c r="A311" s="3230" t="s">
        <v>306</v>
      </c>
      <c r="B311" s="3230" t="s">
        <v>3144</v>
      </c>
      <c r="C311" s="3230">
        <v>4750</v>
      </c>
      <c r="D311" s="3230">
        <v>4710</v>
      </c>
      <c r="E311" s="3230">
        <v>5510</v>
      </c>
      <c r="F311" s="3230">
        <v>880</v>
      </c>
      <c r="G311" s="3243">
        <v>2840</v>
      </c>
    </row>
    <row r="312" spans="1:7" s="3219" customFormat="1" ht="14.25" customHeight="1">
      <c r="A312" s="3230" t="s">
        <v>306</v>
      </c>
      <c r="B312" s="3230" t="s">
        <v>3002</v>
      </c>
      <c r="C312" s="3230">
        <v>4690</v>
      </c>
      <c r="D312" s="3230">
        <v>4640</v>
      </c>
      <c r="E312" s="3230">
        <v>5420</v>
      </c>
      <c r="F312" s="3230">
        <v>800</v>
      </c>
      <c r="G312" s="3243">
        <v>2800</v>
      </c>
    </row>
    <row r="313" spans="1:7" s="3219" customFormat="1" ht="14.25" customHeight="1">
      <c r="A313" s="3230" t="s">
        <v>306</v>
      </c>
      <c r="B313" s="3230" t="s">
        <v>3007</v>
      </c>
      <c r="C313" s="3230">
        <v>4810</v>
      </c>
      <c r="D313" s="3230">
        <v>4760</v>
      </c>
      <c r="E313" s="3230">
        <v>5550</v>
      </c>
      <c r="F313" s="3230">
        <v>920</v>
      </c>
      <c r="G313" s="3243">
        <v>2870</v>
      </c>
    </row>
    <row r="314" spans="1:7" s="3219" customFormat="1" ht="14.25" customHeight="1">
      <c r="A314" s="3230" t="s">
        <v>306</v>
      </c>
      <c r="B314" s="3230" t="s">
        <v>3145</v>
      </c>
      <c r="C314" s="3230"/>
      <c r="D314" s="3230"/>
      <c r="E314" s="3230"/>
      <c r="F314" s="3230">
        <v>1020</v>
      </c>
      <c r="G314" s="3243"/>
    </row>
    <row r="315" spans="1:7" s="3219" customFormat="1" ht="14.25" customHeight="1">
      <c r="A315" s="3230" t="s">
        <v>306</v>
      </c>
      <c r="B315" s="3230" t="s">
        <v>3146</v>
      </c>
      <c r="C315" s="3230"/>
      <c r="D315" s="3230"/>
      <c r="E315" s="3230"/>
      <c r="F315" s="3230">
        <v>1050</v>
      </c>
      <c r="G315" s="3243"/>
    </row>
    <row r="316" spans="1:7" s="3219" customFormat="1" ht="14.25" customHeight="1">
      <c r="A316" s="3230" t="s">
        <v>306</v>
      </c>
      <c r="B316" s="3230" t="s">
        <v>3022</v>
      </c>
      <c r="C316" s="3230"/>
      <c r="D316" s="3230"/>
      <c r="E316" s="3230"/>
      <c r="F316" s="3230">
        <v>900</v>
      </c>
      <c r="G316" s="3243"/>
    </row>
    <row r="317" spans="1:7" s="3219" customFormat="1" ht="14.25" customHeight="1">
      <c r="A317" s="3230" t="s">
        <v>306</v>
      </c>
      <c r="B317" s="3230" t="s">
        <v>3147</v>
      </c>
      <c r="C317" s="3230"/>
      <c r="D317" s="3230"/>
      <c r="E317" s="3230"/>
      <c r="F317" s="3230">
        <v>920</v>
      </c>
      <c r="G317" s="3243"/>
    </row>
    <row r="318" spans="1:7" s="3219" customFormat="1" ht="14.25" customHeight="1">
      <c r="A318" s="3230" t="s">
        <v>306</v>
      </c>
      <c r="B318" s="3230" t="s">
        <v>3148</v>
      </c>
      <c r="C318" s="3230"/>
      <c r="D318" s="3230"/>
      <c r="E318" s="3230"/>
      <c r="F318" s="3230">
        <v>1080</v>
      </c>
      <c r="G318" s="3243"/>
    </row>
    <row r="319" spans="1:7" s="3219" customFormat="1" ht="14.25" customHeight="1">
      <c r="A319" s="3230" t="s">
        <v>306</v>
      </c>
      <c r="B319" s="3230" t="s">
        <v>3035</v>
      </c>
      <c r="C319" s="3230"/>
      <c r="D319" s="3230"/>
      <c r="E319" s="3230"/>
      <c r="F319" s="3230">
        <v>1020</v>
      </c>
      <c r="G319" s="3243"/>
    </row>
    <row r="320" spans="1:7" s="3219" customFormat="1" ht="14.25" customHeight="1">
      <c r="A320" s="3230" t="s">
        <v>306</v>
      </c>
      <c r="B320" s="3230" t="s">
        <v>3038</v>
      </c>
      <c r="C320" s="3230"/>
      <c r="D320" s="3230"/>
      <c r="E320" s="3230"/>
      <c r="F320" s="3230">
        <v>1050</v>
      </c>
      <c r="G320" s="3243"/>
    </row>
    <row r="321" spans="1:7" s="3219" customFormat="1" ht="14.25" customHeight="1">
      <c r="A321" s="3230" t="s">
        <v>306</v>
      </c>
      <c r="B321" s="3230" t="s">
        <v>3040</v>
      </c>
      <c r="C321" s="3230"/>
      <c r="D321" s="3230"/>
      <c r="E321" s="3230"/>
      <c r="F321" s="3230">
        <v>960</v>
      </c>
      <c r="G321" s="3243"/>
    </row>
    <row r="322" spans="1:7" s="3219" customFormat="1" ht="14.25" customHeight="1">
      <c r="A322" s="3230" t="s">
        <v>306</v>
      </c>
      <c r="B322" s="3230" t="s">
        <v>3042</v>
      </c>
      <c r="C322" s="3230"/>
      <c r="D322" s="3230"/>
      <c r="E322" s="3230"/>
      <c r="F322" s="3230">
        <v>960</v>
      </c>
      <c r="G322" s="3243"/>
    </row>
    <row r="323" spans="1:7" s="3219" customFormat="1" ht="14.25" customHeight="1">
      <c r="A323" s="3230" t="s">
        <v>306</v>
      </c>
      <c r="B323" s="3230" t="s">
        <v>3044</v>
      </c>
      <c r="C323" s="3230"/>
      <c r="D323" s="3230"/>
      <c r="E323" s="3230"/>
      <c r="F323" s="3230">
        <v>880</v>
      </c>
      <c r="G323" s="3243"/>
    </row>
    <row r="324" spans="1:7" s="3219" customFormat="1" ht="14.25" customHeight="1">
      <c r="A324" s="3230" t="s">
        <v>306</v>
      </c>
      <c r="B324" s="3230" t="s">
        <v>3046</v>
      </c>
      <c r="C324" s="3230"/>
      <c r="D324" s="3230"/>
      <c r="E324" s="3230"/>
      <c r="F324" s="3230">
        <v>930</v>
      </c>
      <c r="G324" s="3243"/>
    </row>
    <row r="325" spans="1:7" s="3219" customFormat="1" ht="14.25" customHeight="1">
      <c r="A325" s="3230" t="s">
        <v>306</v>
      </c>
      <c r="B325" s="3231" t="s">
        <v>3048</v>
      </c>
      <c r="C325" s="3230"/>
      <c r="D325" s="3230"/>
      <c r="E325" s="3230"/>
      <c r="F325" s="3230">
        <v>900</v>
      </c>
      <c r="G325" s="3243"/>
    </row>
    <row r="326" spans="1:7" s="3219" customFormat="1" ht="14.25" customHeight="1" thickBot="1">
      <c r="A326" s="3244" t="s">
        <v>306</v>
      </c>
      <c r="B326" s="3237" t="s">
        <v>3050</v>
      </c>
      <c r="C326" s="3237"/>
      <c r="D326" s="3237"/>
      <c r="E326" s="3237"/>
      <c r="F326" s="3237">
        <v>790</v>
      </c>
      <c r="G326" s="3245"/>
    </row>
    <row r="327" spans="1:7" s="3219" customFormat="1" ht="14.25" customHeight="1">
      <c r="A327" s="3235" t="s">
        <v>307</v>
      </c>
      <c r="B327" s="3226" t="s">
        <v>3149</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3150</v>
      </c>
      <c r="C329" s="3230">
        <v>2730</v>
      </c>
      <c r="D329" s="3230">
        <v>2690</v>
      </c>
      <c r="E329" s="3230">
        <v>3100</v>
      </c>
      <c r="F329" s="3230">
        <v>660</v>
      </c>
      <c r="G329" s="3230">
        <v>1610</v>
      </c>
    </row>
    <row r="330" spans="1:7" s="3219" customFormat="1" ht="14.25" customHeight="1">
      <c r="A330" s="3230" t="s">
        <v>307</v>
      </c>
      <c r="B330" s="3230" t="s">
        <v>3151</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2884</v>
      </c>
      <c r="C332" s="3230">
        <v>3520</v>
      </c>
      <c r="D332" s="3230">
        <v>3480</v>
      </c>
      <c r="E332" s="3230">
        <v>3830</v>
      </c>
      <c r="F332" s="3230">
        <v>720</v>
      </c>
      <c r="G332" s="3230">
        <v>2090</v>
      </c>
    </row>
    <row r="333" spans="1:7" s="3219" customFormat="1" ht="14.25" customHeight="1">
      <c r="A333" s="3230" t="s">
        <v>307</v>
      </c>
      <c r="B333" s="3230" t="s">
        <v>3152</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2894</v>
      </c>
      <c r="C336" s="3230">
        <v>3570</v>
      </c>
      <c r="D336" s="3230">
        <v>3530</v>
      </c>
      <c r="E336" s="3230">
        <v>3880</v>
      </c>
      <c r="F336" s="3230">
        <v>770</v>
      </c>
      <c r="G336" s="3230">
        <v>2110</v>
      </c>
    </row>
    <row r="337" spans="1:10" s="3219" customFormat="1" ht="14.25" customHeight="1">
      <c r="A337" s="3230" t="s">
        <v>307</v>
      </c>
      <c r="B337" s="3230" t="s">
        <v>3153</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3154</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3155</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2919</v>
      </c>
      <c r="C345" s="3230">
        <v>3190</v>
      </c>
      <c r="D345" s="3230">
        <v>3140</v>
      </c>
      <c r="E345" s="3230">
        <v>3450</v>
      </c>
      <c r="F345" s="3230">
        <v>720</v>
      </c>
      <c r="G345" s="3230">
        <v>1880</v>
      </c>
      <c r="J345" s="3219"/>
    </row>
    <row r="346" spans="1:10">
      <c r="A346" s="3230" t="s">
        <v>307</v>
      </c>
      <c r="B346" s="3230" t="s">
        <v>3156</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2928</v>
      </c>
      <c r="C348" s="3230">
        <v>4000</v>
      </c>
      <c r="D348" s="3230">
        <v>3950</v>
      </c>
      <c r="E348" s="3230">
        <v>4430</v>
      </c>
      <c r="F348" s="3230">
        <v>760</v>
      </c>
      <c r="G348" s="3230">
        <v>2360</v>
      </c>
      <c r="J348" s="3219"/>
    </row>
    <row r="349" spans="1:10">
      <c r="A349" s="3230" t="s">
        <v>307</v>
      </c>
      <c r="B349" s="3230" t="s">
        <v>2933</v>
      </c>
      <c r="C349" s="3230">
        <v>3820</v>
      </c>
      <c r="D349" s="3230">
        <v>3780</v>
      </c>
      <c r="E349" s="3230">
        <v>4170</v>
      </c>
      <c r="F349" s="3230">
        <v>710</v>
      </c>
      <c r="G349" s="3230">
        <v>2260</v>
      </c>
      <c r="J349" s="3219"/>
    </row>
    <row r="350" spans="1:10">
      <c r="A350" s="3230" t="s">
        <v>307</v>
      </c>
      <c r="B350" s="3230" t="s">
        <v>3157</v>
      </c>
      <c r="C350" s="3230">
        <v>3760</v>
      </c>
      <c r="D350" s="3230">
        <v>3730</v>
      </c>
      <c r="E350" s="3230">
        <v>4100</v>
      </c>
      <c r="F350" s="3230">
        <v>800</v>
      </c>
      <c r="G350" s="3230">
        <v>2230</v>
      </c>
      <c r="J350" s="3219"/>
    </row>
    <row r="351" spans="1:10">
      <c r="A351" s="3230" t="s">
        <v>307</v>
      </c>
      <c r="B351" s="3230" t="s">
        <v>2941</v>
      </c>
      <c r="C351" s="3230">
        <v>3610</v>
      </c>
      <c r="D351" s="3230">
        <v>3580</v>
      </c>
      <c r="E351" s="3230">
        <v>3930</v>
      </c>
      <c r="F351" s="3230">
        <v>700</v>
      </c>
      <c r="G351" s="3230">
        <v>2140</v>
      </c>
      <c r="J351" s="3219"/>
    </row>
    <row r="352" spans="1:10">
      <c r="A352" s="3230" t="s">
        <v>307</v>
      </c>
      <c r="B352" s="3230" t="s">
        <v>2946</v>
      </c>
      <c r="C352" s="3230">
        <v>3670</v>
      </c>
      <c r="D352" s="3230">
        <v>3630</v>
      </c>
      <c r="E352" s="3230">
        <v>4000</v>
      </c>
      <c r="F352" s="3230">
        <v>750</v>
      </c>
      <c r="G352" s="3230">
        <v>2180</v>
      </c>
    </row>
    <row r="353" spans="1:7" s="3223" customFormat="1">
      <c r="A353" s="3230" t="s">
        <v>307</v>
      </c>
      <c r="B353" s="3230" t="s">
        <v>3158</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2966</v>
      </c>
      <c r="C355" s="3230">
        <v>3650</v>
      </c>
      <c r="D355" s="3230">
        <v>3610</v>
      </c>
      <c r="E355" s="3230">
        <v>4200</v>
      </c>
      <c r="F355" s="3230">
        <v>640</v>
      </c>
      <c r="G355" s="3230">
        <v>2160</v>
      </c>
    </row>
    <row r="356" spans="1:7" s="3223" customFormat="1">
      <c r="A356" s="3230" t="s">
        <v>307</v>
      </c>
      <c r="B356" s="3230" t="s">
        <v>2973</v>
      </c>
      <c r="C356" s="3230">
        <v>3260</v>
      </c>
      <c r="D356" s="3230">
        <v>3230</v>
      </c>
      <c r="E356" s="3230">
        <v>3740</v>
      </c>
      <c r="F356" s="3230">
        <v>600</v>
      </c>
      <c r="G356" s="3230">
        <v>1930</v>
      </c>
    </row>
    <row r="357" spans="1:7" s="3223" customFormat="1" ht="11.4" thickBot="1">
      <c r="A357" s="3238" t="s">
        <v>307</v>
      </c>
      <c r="B357" s="3241" t="s">
        <v>3159</v>
      </c>
      <c r="C357" s="3241">
        <v>3690</v>
      </c>
      <c r="D357" s="3241">
        <v>3650</v>
      </c>
      <c r="E357" s="3241">
        <v>4020</v>
      </c>
      <c r="F357" s="3241">
        <v>700</v>
      </c>
      <c r="G357" s="3241">
        <v>2190</v>
      </c>
    </row>
    <row r="358" spans="1:7" s="3223" customFormat="1">
      <c r="A358" s="3235" t="s">
        <v>3160</v>
      </c>
      <c r="B358" s="3226" t="s">
        <v>3161</v>
      </c>
      <c r="C358" s="3226">
        <v>2080</v>
      </c>
      <c r="D358" s="3226">
        <v>2040</v>
      </c>
      <c r="E358" s="3226">
        <v>2010</v>
      </c>
      <c r="F358" s="3226">
        <v>530</v>
      </c>
      <c r="G358" s="3242">
        <v>1230</v>
      </c>
    </row>
    <row r="359" spans="1:7" s="3223" customFormat="1">
      <c r="A359" s="3230" t="s">
        <v>3160</v>
      </c>
      <c r="B359" s="3230" t="s">
        <v>3162</v>
      </c>
      <c r="C359" s="3230">
        <v>1850</v>
      </c>
      <c r="D359" s="3230">
        <v>1820</v>
      </c>
      <c r="E359" s="3230">
        <v>1780</v>
      </c>
      <c r="F359" s="3230">
        <v>520</v>
      </c>
      <c r="G359" s="3243">
        <v>1100</v>
      </c>
    </row>
    <row r="360" spans="1:7" s="3223" customFormat="1">
      <c r="A360" s="3230" t="s">
        <v>3160</v>
      </c>
      <c r="B360" s="3230" t="s">
        <v>3163</v>
      </c>
      <c r="C360" s="3230">
        <v>2020</v>
      </c>
      <c r="D360" s="3230">
        <v>1990</v>
      </c>
      <c r="E360" s="3230">
        <v>1950</v>
      </c>
      <c r="F360" s="3230">
        <v>500</v>
      </c>
      <c r="G360" s="3243">
        <v>1200</v>
      </c>
    </row>
    <row r="361" spans="1:7" s="3223" customFormat="1">
      <c r="A361" s="3230" t="s">
        <v>3160</v>
      </c>
      <c r="B361" s="3230" t="s">
        <v>153</v>
      </c>
      <c r="C361" s="3230">
        <v>2260</v>
      </c>
      <c r="D361" s="3230">
        <v>2220</v>
      </c>
      <c r="E361" s="3230">
        <v>2180</v>
      </c>
      <c r="F361" s="3230">
        <v>580</v>
      </c>
      <c r="G361" s="3243">
        <v>1340</v>
      </c>
    </row>
    <row r="362" spans="1:7" s="3223" customFormat="1">
      <c r="A362" s="3230" t="s">
        <v>3160</v>
      </c>
      <c r="B362" s="3230" t="s">
        <v>3164</v>
      </c>
      <c r="C362" s="3230">
        <v>2650</v>
      </c>
      <c r="D362" s="3230">
        <v>2610</v>
      </c>
      <c r="E362" s="3230">
        <v>2570</v>
      </c>
      <c r="F362" s="3230">
        <v>630</v>
      </c>
      <c r="G362" s="3243">
        <v>1570</v>
      </c>
    </row>
    <row r="363" spans="1:7" s="3223" customFormat="1">
      <c r="A363" s="3230" t="s">
        <v>3160</v>
      </c>
      <c r="B363" s="3230" t="s">
        <v>2885</v>
      </c>
      <c r="C363" s="3230">
        <v>2390</v>
      </c>
      <c r="D363" s="3230">
        <v>2360</v>
      </c>
      <c r="E363" s="3230">
        <v>2320</v>
      </c>
      <c r="F363" s="3230">
        <v>600</v>
      </c>
      <c r="G363" s="3243">
        <v>1420</v>
      </c>
    </row>
    <row r="364" spans="1:7" s="3223" customFormat="1">
      <c r="A364" s="3230" t="s">
        <v>3160</v>
      </c>
      <c r="B364" s="3230" t="s">
        <v>3165</v>
      </c>
      <c r="C364" s="3230">
        <v>2050</v>
      </c>
      <c r="D364" s="3230">
        <v>2030</v>
      </c>
      <c r="E364" s="3230">
        <v>1990</v>
      </c>
      <c r="F364" s="3230">
        <v>550</v>
      </c>
      <c r="G364" s="3243">
        <v>1220</v>
      </c>
    </row>
    <row r="365" spans="1:7" s="3223" customFormat="1">
      <c r="A365" s="3230" t="s">
        <v>3160</v>
      </c>
      <c r="B365" s="3230" t="s">
        <v>200</v>
      </c>
      <c r="C365" s="3230">
        <v>2140</v>
      </c>
      <c r="D365" s="3230">
        <v>2100</v>
      </c>
      <c r="E365" s="3230">
        <v>2060</v>
      </c>
      <c r="F365" s="3230">
        <v>540</v>
      </c>
      <c r="G365" s="3243">
        <v>1270</v>
      </c>
    </row>
    <row r="366" spans="1:7" s="3223" customFormat="1">
      <c r="A366" s="3230" t="s">
        <v>3160</v>
      </c>
      <c r="B366" s="3230" t="s">
        <v>2892</v>
      </c>
      <c r="C366" s="3230">
        <v>2410</v>
      </c>
      <c r="D366" s="3230">
        <v>2370</v>
      </c>
      <c r="E366" s="3230">
        <v>2330</v>
      </c>
      <c r="F366" s="3230">
        <v>570</v>
      </c>
      <c r="G366" s="3243">
        <v>1440</v>
      </c>
    </row>
    <row r="367" spans="1:7" s="3223" customFormat="1">
      <c r="A367" s="3230" t="s">
        <v>3160</v>
      </c>
      <c r="B367" s="3230" t="s">
        <v>3166</v>
      </c>
      <c r="C367" s="3230">
        <v>2300</v>
      </c>
      <c r="D367" s="3230">
        <v>2260</v>
      </c>
      <c r="E367" s="3230">
        <v>2220</v>
      </c>
      <c r="F367" s="3230">
        <v>560</v>
      </c>
      <c r="G367" s="3243">
        <v>1370</v>
      </c>
    </row>
    <row r="368" spans="1:7" s="3223" customFormat="1">
      <c r="A368" s="3230" t="s">
        <v>3160</v>
      </c>
      <c r="B368" s="3230" t="s">
        <v>3167</v>
      </c>
      <c r="C368" s="3230">
        <v>2430</v>
      </c>
      <c r="D368" s="3230">
        <v>2390</v>
      </c>
      <c r="E368" s="3230">
        <v>2350</v>
      </c>
      <c r="F368" s="3230">
        <v>570</v>
      </c>
      <c r="G368" s="3243">
        <v>1450</v>
      </c>
    </row>
    <row r="369" spans="1:7" s="3223" customFormat="1">
      <c r="A369" s="3230" t="s">
        <v>3160</v>
      </c>
      <c r="B369" s="3230" t="s">
        <v>214</v>
      </c>
      <c r="C369" s="3230">
        <v>2320</v>
      </c>
      <c r="D369" s="3230">
        <v>2290</v>
      </c>
      <c r="E369" s="3230">
        <v>2250</v>
      </c>
      <c r="F369" s="3230">
        <v>550</v>
      </c>
      <c r="G369" s="3243">
        <v>1380</v>
      </c>
    </row>
    <row r="370" spans="1:7" s="3223" customFormat="1">
      <c r="A370" s="3230" t="s">
        <v>3160</v>
      </c>
      <c r="B370" s="3230" t="s">
        <v>221</v>
      </c>
      <c r="C370" s="3230">
        <v>2190</v>
      </c>
      <c r="D370" s="3230">
        <v>2170</v>
      </c>
      <c r="E370" s="3230">
        <v>2130</v>
      </c>
      <c r="F370" s="3230">
        <v>530</v>
      </c>
      <c r="G370" s="3243">
        <v>1310</v>
      </c>
    </row>
    <row r="371" spans="1:7" s="3223" customFormat="1">
      <c r="A371" s="3230" t="s">
        <v>3160</v>
      </c>
      <c r="B371" s="3230" t="s">
        <v>229</v>
      </c>
      <c r="C371" s="3230">
        <v>2460</v>
      </c>
      <c r="D371" s="3230">
        <v>2420</v>
      </c>
      <c r="E371" s="3230">
        <v>2370</v>
      </c>
      <c r="F371" s="3230">
        <v>560</v>
      </c>
      <c r="G371" s="3243">
        <v>1470</v>
      </c>
    </row>
    <row r="372" spans="1:7" s="3223" customFormat="1">
      <c r="A372" s="3230" t="s">
        <v>3160</v>
      </c>
      <c r="B372" s="3230" t="s">
        <v>3168</v>
      </c>
      <c r="C372" s="3230">
        <v>2250</v>
      </c>
      <c r="D372" s="3230">
        <v>2210</v>
      </c>
      <c r="E372" s="3230">
        <v>2180</v>
      </c>
      <c r="F372" s="3230">
        <v>550</v>
      </c>
      <c r="G372" s="3243">
        <v>1340</v>
      </c>
    </row>
    <row r="373" spans="1:7" s="3223" customFormat="1">
      <c r="A373" s="3230" t="s">
        <v>3160</v>
      </c>
      <c r="B373" s="3230" t="s">
        <v>258</v>
      </c>
      <c r="C373" s="3230">
        <v>2210</v>
      </c>
      <c r="D373" s="3230">
        <v>2190</v>
      </c>
      <c r="E373" s="3230">
        <v>2150</v>
      </c>
      <c r="F373" s="3230">
        <v>530</v>
      </c>
      <c r="G373" s="3243">
        <v>1320</v>
      </c>
    </row>
    <row r="374" spans="1:7" s="3223" customFormat="1">
      <c r="A374" s="3230" t="s">
        <v>3160</v>
      </c>
      <c r="B374" s="3230" t="s">
        <v>266</v>
      </c>
      <c r="C374" s="3230">
        <v>2320</v>
      </c>
      <c r="D374" s="3230">
        <v>2280</v>
      </c>
      <c r="E374" s="3230">
        <v>2230</v>
      </c>
      <c r="F374" s="3230">
        <v>580</v>
      </c>
      <c r="G374" s="3243">
        <v>1380</v>
      </c>
    </row>
    <row r="375" spans="1:7" s="3223" customFormat="1">
      <c r="A375" s="3230" t="s">
        <v>3160</v>
      </c>
      <c r="B375" s="3230" t="s">
        <v>3169</v>
      </c>
      <c r="C375" s="3230">
        <v>2090</v>
      </c>
      <c r="D375" s="3230">
        <v>2050</v>
      </c>
      <c r="E375" s="3230">
        <v>2020</v>
      </c>
      <c r="F375" s="3230">
        <v>520</v>
      </c>
      <c r="G375" s="3243">
        <v>1240</v>
      </c>
    </row>
    <row r="376" spans="1:7" s="3223" customFormat="1">
      <c r="A376" s="3230" t="s">
        <v>3160</v>
      </c>
      <c r="B376" s="3230" t="s">
        <v>277</v>
      </c>
      <c r="C376" s="3230">
        <v>2010</v>
      </c>
      <c r="D376" s="3230">
        <v>1980</v>
      </c>
      <c r="E376" s="3230">
        <v>1940</v>
      </c>
      <c r="F376" s="3230">
        <v>540</v>
      </c>
      <c r="G376" s="3243">
        <v>1190</v>
      </c>
    </row>
    <row r="377" spans="1:7" s="3223" customFormat="1" ht="11.4" thickBot="1">
      <c r="A377" s="3238" t="s">
        <v>3160</v>
      </c>
      <c r="B377" s="3241" t="s">
        <v>2922</v>
      </c>
      <c r="C377" s="3241">
        <v>1930</v>
      </c>
      <c r="D377" s="3241">
        <v>1890</v>
      </c>
      <c r="E377" s="3241">
        <v>1860</v>
      </c>
      <c r="F377" s="3241">
        <v>530</v>
      </c>
      <c r="G377" s="3246">
        <v>1150</v>
      </c>
    </row>
    <row r="378" spans="1:7" s="3223" customFormat="1">
      <c r="A378" s="3247" t="s">
        <v>3170</v>
      </c>
      <c r="B378" s="3226" t="s">
        <v>3171</v>
      </c>
      <c r="C378" s="3226">
        <v>1520</v>
      </c>
      <c r="D378" s="3226">
        <v>1490</v>
      </c>
      <c r="E378" s="3226">
        <v>1460</v>
      </c>
      <c r="F378" s="3226">
        <v>460</v>
      </c>
      <c r="G378" s="3242">
        <v>940</v>
      </c>
    </row>
    <row r="379" spans="1:7" s="3223" customFormat="1">
      <c r="A379" s="3248" t="s">
        <v>3170</v>
      </c>
      <c r="B379" s="3230" t="s">
        <v>3172</v>
      </c>
      <c r="C379" s="3230">
        <v>1500</v>
      </c>
      <c r="D379" s="3230">
        <v>1470</v>
      </c>
      <c r="E379" s="3230">
        <v>1430</v>
      </c>
      <c r="F379" s="3230">
        <v>460</v>
      </c>
      <c r="G379" s="3243">
        <v>920</v>
      </c>
    </row>
    <row r="380" spans="1:7" s="3223" customFormat="1">
      <c r="A380" s="3248" t="s">
        <v>3170</v>
      </c>
      <c r="B380" s="3230" t="s">
        <v>3173</v>
      </c>
      <c r="C380" s="3230">
        <v>1620</v>
      </c>
      <c r="D380" s="3230">
        <v>1590</v>
      </c>
      <c r="E380" s="3230">
        <v>1560</v>
      </c>
      <c r="F380" s="3230">
        <v>480</v>
      </c>
      <c r="G380" s="3243">
        <v>1000</v>
      </c>
    </row>
    <row r="381" spans="1:7" s="3223" customFormat="1">
      <c r="A381" s="3248" t="s">
        <v>3170</v>
      </c>
      <c r="B381" s="3230" t="s">
        <v>3174</v>
      </c>
      <c r="C381" s="3230">
        <v>1460</v>
      </c>
      <c r="D381" s="3230">
        <v>1430</v>
      </c>
      <c r="E381" s="3230">
        <v>1390</v>
      </c>
      <c r="F381" s="3230">
        <v>450</v>
      </c>
      <c r="G381" s="3243">
        <v>900</v>
      </c>
    </row>
    <row r="382" spans="1:7" s="3223" customFormat="1">
      <c r="A382" s="3248" t="s">
        <v>3170</v>
      </c>
      <c r="B382" s="3230" t="s">
        <v>3175</v>
      </c>
      <c r="C382" s="3230">
        <v>1310</v>
      </c>
      <c r="D382" s="3230">
        <v>1280</v>
      </c>
      <c r="E382" s="3230">
        <v>1250</v>
      </c>
      <c r="F382" s="3230">
        <v>440</v>
      </c>
      <c r="G382" s="3243">
        <v>800</v>
      </c>
    </row>
    <row r="383" spans="1:7" s="3223" customFormat="1">
      <c r="A383" s="3248" t="s">
        <v>3170</v>
      </c>
      <c r="B383" s="3230" t="s">
        <v>3176</v>
      </c>
      <c r="C383" s="3230">
        <v>1260</v>
      </c>
      <c r="D383" s="3230">
        <v>1230</v>
      </c>
      <c r="E383" s="3230">
        <v>1200</v>
      </c>
      <c r="F383" s="3230">
        <v>420</v>
      </c>
      <c r="G383" s="3243">
        <v>770</v>
      </c>
    </row>
    <row r="384" spans="1:7" s="3223" customFormat="1" ht="11.4" thickBot="1">
      <c r="A384" s="3249" t="s">
        <v>3170</v>
      </c>
      <c r="B384" s="3237" t="s">
        <v>3177</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6" customWidth="1"/>
    <col min="2" max="2" width="20" style="3286" customWidth="1"/>
    <col min="3" max="7" width="8.88671875" style="3250"/>
    <col min="8" max="16384" width="8.88671875" style="3251"/>
  </cols>
  <sheetData>
    <row r="1" spans="1:7">
      <c r="A1" s="3800" t="s">
        <v>3178</v>
      </c>
      <c r="B1" s="3800"/>
    </row>
    <row r="2" spans="1:7" ht="15" thickBot="1">
      <c r="A2" s="3252"/>
      <c r="B2" s="3252"/>
    </row>
    <row r="3" spans="1:7" ht="15" thickBot="1">
      <c r="A3" s="3252"/>
      <c r="B3" s="3252"/>
      <c r="C3" s="3253" t="s">
        <v>2808</v>
      </c>
      <c r="D3" s="3253" t="s">
        <v>2864</v>
      </c>
      <c r="E3" s="3253" t="s">
        <v>2810</v>
      </c>
      <c r="F3" s="3253" t="s">
        <v>2865</v>
      </c>
      <c r="G3" s="3253" t="s">
        <v>2628</v>
      </c>
    </row>
    <row r="4" spans="1:7" ht="15" thickBot="1">
      <c r="A4" s="3254" t="s">
        <v>2863</v>
      </c>
      <c r="B4" s="3255" t="s">
        <v>2869</v>
      </c>
      <c r="C4" s="3253"/>
      <c r="D4" s="3253"/>
      <c r="E4" s="3253"/>
      <c r="F4" s="3253"/>
      <c r="G4" s="3253"/>
    </row>
    <row r="5" spans="1:7">
      <c r="A5" s="3256" t="s">
        <v>2837</v>
      </c>
      <c r="B5" s="3257" t="s">
        <v>2851</v>
      </c>
      <c r="C5" s="3258">
        <v>9.8000000000000004E-2</v>
      </c>
      <c r="D5" s="3258">
        <v>8.6999999999999994E-2</v>
      </c>
      <c r="E5" s="3258">
        <v>8.6999999999999994E-2</v>
      </c>
      <c r="F5" s="3258">
        <v>9.8000000000000004E-2</v>
      </c>
      <c r="G5" s="3259">
        <v>9.5000000000000001E-2</v>
      </c>
    </row>
    <row r="6" spans="1:7">
      <c r="A6" s="3260" t="s">
        <v>144</v>
      </c>
      <c r="B6" s="3261" t="s">
        <v>2866</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5" thickBot="1">
      <c r="A9" s="3264" t="s">
        <v>144</v>
      </c>
      <c r="B9" s="3265" t="s">
        <v>154</v>
      </c>
      <c r="C9" s="3266">
        <v>0.1</v>
      </c>
      <c r="D9" s="3266">
        <v>0.1</v>
      </c>
      <c r="E9" s="3266">
        <v>0.1</v>
      </c>
      <c r="F9" s="3267"/>
      <c r="G9" s="3268">
        <v>0.1</v>
      </c>
    </row>
    <row r="10" spans="1:7">
      <c r="A10" s="3256" t="s">
        <v>184</v>
      </c>
      <c r="B10" s="3257" t="s">
        <v>2852</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2902</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5" thickBot="1">
      <c r="A29" s="3264" t="s">
        <v>184</v>
      </c>
      <c r="B29" s="3265" t="s">
        <v>2920</v>
      </c>
      <c r="C29" s="3270"/>
      <c r="D29" s="3266">
        <v>5.1999999999999998E-2</v>
      </c>
      <c r="E29" s="3266">
        <v>7.0000000000000007E-2</v>
      </c>
      <c r="F29" s="3270"/>
      <c r="G29" s="3268">
        <v>7.0999999999999994E-2</v>
      </c>
    </row>
    <row r="30" spans="1:7">
      <c r="A30" s="3271" t="s">
        <v>296</v>
      </c>
      <c r="B30" s="3257" t="s">
        <v>2853</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2839</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2923</v>
      </c>
      <c r="C50" s="3262">
        <v>9.8000000000000004E-2</v>
      </c>
      <c r="D50" s="3262">
        <v>7.2999999999999995E-2</v>
      </c>
      <c r="E50" s="3262">
        <v>7.0999999999999994E-2</v>
      </c>
      <c r="F50" s="3273"/>
      <c r="G50" s="3263">
        <v>7.2999999999999995E-2</v>
      </c>
    </row>
    <row r="51" spans="1:7">
      <c r="A51" s="3272" t="s">
        <v>296</v>
      </c>
      <c r="B51" s="3261" t="s">
        <v>2925</v>
      </c>
      <c r="C51" s="3262">
        <v>9.9000000000000005E-2</v>
      </c>
      <c r="D51" s="3262">
        <v>8.5000000000000006E-2</v>
      </c>
      <c r="E51" s="3262">
        <v>6.3E-2</v>
      </c>
      <c r="F51" s="3273"/>
      <c r="G51" s="3263">
        <v>9.6000000000000002E-2</v>
      </c>
    </row>
    <row r="52" spans="1:7">
      <c r="A52" s="3272" t="s">
        <v>296</v>
      </c>
      <c r="B52" s="3261" t="s">
        <v>2929</v>
      </c>
      <c r="C52" s="3262">
        <v>7.3999999999999996E-2</v>
      </c>
      <c r="D52" s="3262">
        <v>9.6000000000000002E-2</v>
      </c>
      <c r="E52" s="3262">
        <v>0.05</v>
      </c>
      <c r="F52" s="3273"/>
      <c r="G52" s="3263">
        <v>9.8000000000000004E-2</v>
      </c>
    </row>
    <row r="53" spans="1:7">
      <c r="A53" s="3272" t="s">
        <v>296</v>
      </c>
      <c r="B53" s="3261" t="s">
        <v>2934</v>
      </c>
      <c r="C53" s="3262">
        <v>8.5999999999999993E-2</v>
      </c>
      <c r="D53" s="3273"/>
      <c r="E53" s="3262">
        <v>9.1999999999999998E-2</v>
      </c>
      <c r="F53" s="3273"/>
      <c r="G53" s="3274"/>
    </row>
    <row r="54" spans="1:7" ht="15" thickBot="1">
      <c r="A54" s="3275" t="s">
        <v>296</v>
      </c>
      <c r="B54" s="3265" t="s">
        <v>2937</v>
      </c>
      <c r="C54" s="3266">
        <v>9.6000000000000002E-2</v>
      </c>
      <c r="D54" s="3267"/>
      <c r="E54" s="3276"/>
      <c r="F54" s="3267"/>
      <c r="G54" s="3277"/>
    </row>
    <row r="55" spans="1:7">
      <c r="A55" s="3271" t="s">
        <v>110</v>
      </c>
      <c r="B55" s="3257" t="s">
        <v>2854</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2935</v>
      </c>
      <c r="C78" s="3262">
        <v>0.1</v>
      </c>
      <c r="D78" s="3262">
        <v>8.5000000000000006E-2</v>
      </c>
      <c r="E78" s="3262">
        <v>9.6000000000000002E-2</v>
      </c>
      <c r="F78" s="3273"/>
      <c r="G78" s="3263">
        <v>9.6000000000000002E-2</v>
      </c>
    </row>
    <row r="79" spans="1:7">
      <c r="A79" s="3272" t="s">
        <v>110</v>
      </c>
      <c r="B79" s="3261" t="s">
        <v>2938</v>
      </c>
      <c r="C79" s="3262">
        <v>0.05</v>
      </c>
      <c r="D79" s="3262">
        <v>9.6000000000000002E-2</v>
      </c>
      <c r="E79" s="3262">
        <v>9.5000000000000001E-2</v>
      </c>
      <c r="F79" s="3273"/>
      <c r="G79" s="3263">
        <v>9.8000000000000004E-2</v>
      </c>
    </row>
    <row r="80" spans="1:7">
      <c r="A80" s="3272" t="s">
        <v>110</v>
      </c>
      <c r="B80" s="3261" t="s">
        <v>2942</v>
      </c>
      <c r="C80" s="3262">
        <v>8.5999999999999993E-2</v>
      </c>
      <c r="D80" s="3278"/>
      <c r="E80" s="3262">
        <v>0.1</v>
      </c>
      <c r="F80" s="3273"/>
      <c r="G80" s="3274"/>
    </row>
    <row r="81" spans="1:7">
      <c r="A81" s="3272" t="s">
        <v>110</v>
      </c>
      <c r="B81" s="3261" t="s">
        <v>2947</v>
      </c>
      <c r="C81" s="3262">
        <v>9.6000000000000002E-2</v>
      </c>
      <c r="D81" s="3273"/>
      <c r="E81" s="3262">
        <v>9.8000000000000004E-2</v>
      </c>
      <c r="F81" s="3273"/>
      <c r="G81" s="3274"/>
    </row>
    <row r="82" spans="1:7">
      <c r="A82" s="3272" t="s">
        <v>110</v>
      </c>
      <c r="B82" s="3261" t="s">
        <v>2954</v>
      </c>
      <c r="C82" s="3278"/>
      <c r="D82" s="3273"/>
      <c r="E82" s="3262">
        <v>7.6999999999999999E-2</v>
      </c>
      <c r="F82" s="3273"/>
      <c r="G82" s="3274"/>
    </row>
    <row r="83" spans="1:7">
      <c r="A83" s="3272" t="s">
        <v>110</v>
      </c>
      <c r="B83" s="3261" t="s">
        <v>2960</v>
      </c>
      <c r="C83" s="3273"/>
      <c r="D83" s="3273"/>
      <c r="E83" s="3273"/>
      <c r="F83" s="3262">
        <v>0.1</v>
      </c>
      <c r="G83" s="3279"/>
    </row>
    <row r="84" spans="1:7">
      <c r="A84" s="3272" t="s">
        <v>110</v>
      </c>
      <c r="B84" s="3261" t="s">
        <v>2967</v>
      </c>
      <c r="C84" s="3273"/>
      <c r="D84" s="3273"/>
      <c r="E84" s="3273"/>
      <c r="F84" s="3262">
        <v>0.1</v>
      </c>
      <c r="G84" s="3279"/>
    </row>
    <row r="85" spans="1:7">
      <c r="A85" s="3272" t="s">
        <v>110</v>
      </c>
      <c r="B85" s="3261" t="s">
        <v>2974</v>
      </c>
      <c r="C85" s="3273"/>
      <c r="D85" s="3273"/>
      <c r="E85" s="3273"/>
      <c r="F85" s="3262">
        <v>0.1</v>
      </c>
      <c r="G85" s="3279"/>
    </row>
    <row r="86" spans="1:7" ht="15" thickBot="1">
      <c r="A86" s="3275" t="s">
        <v>110</v>
      </c>
      <c r="B86" s="3265" t="s">
        <v>2979</v>
      </c>
      <c r="C86" s="3266">
        <v>9.8000000000000004E-2</v>
      </c>
      <c r="D86" s="3266">
        <v>9.8000000000000004E-2</v>
      </c>
      <c r="E86" s="3266">
        <v>9.6000000000000002E-2</v>
      </c>
      <c r="F86" s="3276"/>
      <c r="G86" s="3268">
        <v>0.1</v>
      </c>
    </row>
    <row r="87" spans="1:7">
      <c r="A87" s="3271" t="s">
        <v>303</v>
      </c>
      <c r="B87" s="3257" t="s">
        <v>2855</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2948</v>
      </c>
      <c r="C113" s="3262">
        <v>0.1</v>
      </c>
      <c r="D113" s="3262">
        <v>0.1</v>
      </c>
      <c r="E113" s="3273"/>
      <c r="F113" s="3273"/>
      <c r="G113" s="3263">
        <v>0.1</v>
      </c>
    </row>
    <row r="114" spans="1:7">
      <c r="A114" s="3272" t="s">
        <v>303</v>
      </c>
      <c r="B114" s="3261" t="s">
        <v>2955</v>
      </c>
      <c r="C114" s="3262">
        <v>9.7000000000000003E-2</v>
      </c>
      <c r="D114" s="3262">
        <v>9.7000000000000003E-2</v>
      </c>
      <c r="E114" s="3273"/>
      <c r="F114" s="3273"/>
      <c r="G114" s="3263">
        <v>9.9000000000000005E-2</v>
      </c>
    </row>
    <row r="115" spans="1:7">
      <c r="A115" s="3272" t="s">
        <v>303</v>
      </c>
      <c r="B115" s="3261" t="s">
        <v>2961</v>
      </c>
      <c r="C115" s="3262">
        <v>0.1</v>
      </c>
      <c r="D115" s="3262">
        <v>0.1</v>
      </c>
      <c r="E115" s="3273"/>
      <c r="F115" s="3273"/>
      <c r="G115" s="3263">
        <v>0.1</v>
      </c>
    </row>
    <row r="116" spans="1:7">
      <c r="A116" s="3272" t="s">
        <v>303</v>
      </c>
      <c r="B116" s="3261" t="s">
        <v>2968</v>
      </c>
      <c r="C116" s="3262">
        <v>0.1</v>
      </c>
      <c r="D116" s="3262">
        <v>0.1</v>
      </c>
      <c r="E116" s="3273"/>
      <c r="F116" s="3273"/>
      <c r="G116" s="3263">
        <v>0.1</v>
      </c>
    </row>
    <row r="117" spans="1:7">
      <c r="A117" s="3272" t="s">
        <v>303</v>
      </c>
      <c r="B117" s="3261" t="s">
        <v>2975</v>
      </c>
      <c r="C117" s="3262">
        <v>9.7000000000000003E-2</v>
      </c>
      <c r="D117" s="3262">
        <v>9.7000000000000003E-2</v>
      </c>
      <c r="E117" s="3273"/>
      <c r="F117" s="3273"/>
      <c r="G117" s="3263">
        <v>9.7000000000000003E-2</v>
      </c>
    </row>
    <row r="118" spans="1:7">
      <c r="A118" s="3272" t="s">
        <v>303</v>
      </c>
      <c r="B118" s="3261" t="s">
        <v>2980</v>
      </c>
      <c r="C118" s="3262">
        <v>0.1</v>
      </c>
      <c r="D118" s="3262">
        <v>0.1</v>
      </c>
      <c r="E118" s="3273"/>
      <c r="F118" s="3273"/>
      <c r="G118" s="3263">
        <v>0.1</v>
      </c>
    </row>
    <row r="119" spans="1:7">
      <c r="A119" s="3272" t="s">
        <v>303</v>
      </c>
      <c r="B119" s="3261" t="s">
        <v>2984</v>
      </c>
      <c r="C119" s="3262">
        <v>5.0999999999999997E-2</v>
      </c>
      <c r="D119" s="3262">
        <v>5.1999999999999998E-2</v>
      </c>
      <c r="E119" s="3273"/>
      <c r="F119" s="3278"/>
      <c r="G119" s="3263">
        <v>0.06</v>
      </c>
    </row>
    <row r="120" spans="1:7">
      <c r="A120" s="3272" t="s">
        <v>303</v>
      </c>
      <c r="B120" s="3261" t="s">
        <v>2988</v>
      </c>
      <c r="C120" s="3273"/>
      <c r="D120" s="3273"/>
      <c r="E120" s="3273"/>
      <c r="F120" s="3262">
        <v>0.1</v>
      </c>
      <c r="G120" s="3279"/>
    </row>
    <row r="121" spans="1:7">
      <c r="A121" s="3272" t="s">
        <v>303</v>
      </c>
      <c r="B121" s="3261" t="s">
        <v>2993</v>
      </c>
      <c r="C121" s="3273"/>
      <c r="D121" s="3273"/>
      <c r="E121" s="3273"/>
      <c r="F121" s="3262">
        <v>0.1</v>
      </c>
      <c r="G121" s="3279"/>
    </row>
    <row r="122" spans="1:7">
      <c r="A122" s="3272" t="s">
        <v>303</v>
      </c>
      <c r="B122" s="3261" t="s">
        <v>2998</v>
      </c>
      <c r="C122" s="3262">
        <v>0.1</v>
      </c>
      <c r="D122" s="3262">
        <v>0.1</v>
      </c>
      <c r="E122" s="3262">
        <v>9.8000000000000004E-2</v>
      </c>
      <c r="F122" s="3262">
        <v>0.1</v>
      </c>
      <c r="G122" s="3263">
        <v>0.1</v>
      </c>
    </row>
    <row r="123" spans="1:7">
      <c r="A123" s="3272" t="s">
        <v>303</v>
      </c>
      <c r="B123" s="3261" t="s">
        <v>3003</v>
      </c>
      <c r="C123" s="3262">
        <v>0.1</v>
      </c>
      <c r="D123" s="3262">
        <v>0.1</v>
      </c>
      <c r="E123" s="3262">
        <v>9.8000000000000004E-2</v>
      </c>
      <c r="F123" s="3262">
        <v>0.1</v>
      </c>
      <c r="G123" s="3263">
        <v>0.1</v>
      </c>
    </row>
    <row r="124" spans="1:7">
      <c r="A124" s="3272" t="s">
        <v>303</v>
      </c>
      <c r="B124" s="3261" t="s">
        <v>3008</v>
      </c>
      <c r="C124" s="3262">
        <v>0.1</v>
      </c>
      <c r="D124" s="3262">
        <v>0.1</v>
      </c>
      <c r="E124" s="3262">
        <v>9.8000000000000004E-2</v>
      </c>
      <c r="F124" s="3278"/>
      <c r="G124" s="3263">
        <v>0.1</v>
      </c>
    </row>
    <row r="125" spans="1:7">
      <c r="A125" s="3272" t="s">
        <v>303</v>
      </c>
      <c r="B125" s="3261" t="s">
        <v>3013</v>
      </c>
      <c r="C125" s="3262">
        <v>9.8000000000000004E-2</v>
      </c>
      <c r="D125" s="3262">
        <v>9.8000000000000004E-2</v>
      </c>
      <c r="E125" s="3262">
        <v>9.6000000000000002E-2</v>
      </c>
      <c r="F125" s="3278"/>
      <c r="G125" s="3263">
        <v>0.1</v>
      </c>
    </row>
    <row r="126" spans="1:7" ht="15" thickBot="1">
      <c r="A126" s="3275" t="s">
        <v>303</v>
      </c>
      <c r="B126" s="3265" t="s">
        <v>3179</v>
      </c>
      <c r="C126" s="3266">
        <v>0.1</v>
      </c>
      <c r="D126" s="3266">
        <v>0.1</v>
      </c>
      <c r="E126" s="3266">
        <v>9.8000000000000004E-2</v>
      </c>
      <c r="F126" s="3266">
        <v>0.1</v>
      </c>
      <c r="G126" s="3268">
        <v>0.1</v>
      </c>
    </row>
    <row r="127" spans="1:7">
      <c r="A127" s="3271" t="s">
        <v>29</v>
      </c>
      <c r="B127" s="3257" t="s">
        <v>2856</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2926</v>
      </c>
      <c r="C148" s="3262">
        <v>0.13</v>
      </c>
      <c r="D148" s="3262">
        <v>0.13</v>
      </c>
      <c r="E148" s="3262">
        <v>0.13</v>
      </c>
      <c r="F148" s="3273"/>
      <c r="G148" s="3263">
        <v>0.13</v>
      </c>
    </row>
    <row r="149" spans="1:7">
      <c r="A149" s="3272" t="s">
        <v>29</v>
      </c>
      <c r="B149" s="3261" t="s">
        <v>2930</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2949</v>
      </c>
      <c r="C153" s="3262">
        <v>0.13</v>
      </c>
      <c r="D153" s="3262">
        <v>0.13</v>
      </c>
      <c r="E153" s="3262">
        <v>0.13</v>
      </c>
      <c r="F153" s="3262">
        <v>0.13</v>
      </c>
      <c r="G153" s="3263">
        <v>0.13</v>
      </c>
    </row>
    <row r="154" spans="1:7">
      <c r="A154" s="3272" t="s">
        <v>29</v>
      </c>
      <c r="B154" s="3261" t="s">
        <v>2956</v>
      </c>
      <c r="C154" s="3262">
        <v>0.121</v>
      </c>
      <c r="D154" s="3262">
        <v>0.121</v>
      </c>
      <c r="E154" s="3262">
        <v>0.105</v>
      </c>
      <c r="F154" s="3262">
        <v>0.121</v>
      </c>
      <c r="G154" s="3263">
        <v>0.123</v>
      </c>
    </row>
    <row r="155" spans="1:7">
      <c r="A155" s="3272" t="s">
        <v>29</v>
      </c>
      <c r="B155" s="3261" t="s">
        <v>2962</v>
      </c>
      <c r="C155" s="3262">
        <v>0.1</v>
      </c>
      <c r="D155" s="3262">
        <v>0.1</v>
      </c>
      <c r="E155" s="3262">
        <v>0.1</v>
      </c>
      <c r="F155" s="3262">
        <v>0.1</v>
      </c>
      <c r="G155" s="3263">
        <v>0.1</v>
      </c>
    </row>
    <row r="156" spans="1:7">
      <c r="A156" s="3272" t="s">
        <v>29</v>
      </c>
      <c r="B156" s="3261" t="s">
        <v>2969</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2989</v>
      </c>
      <c r="C160" s="3262">
        <v>0.13</v>
      </c>
      <c r="D160" s="3262">
        <v>0.13</v>
      </c>
      <c r="E160" s="3262">
        <v>0.124</v>
      </c>
      <c r="F160" s="3262">
        <v>0.126</v>
      </c>
      <c r="G160" s="3263">
        <v>0.13</v>
      </c>
    </row>
    <row r="161" spans="1:7">
      <c r="A161" s="3272" t="s">
        <v>29</v>
      </c>
      <c r="B161" s="3261" t="s">
        <v>2994</v>
      </c>
      <c r="C161" s="3262">
        <v>0.13</v>
      </c>
      <c r="D161" s="3262">
        <v>0.13</v>
      </c>
      <c r="E161" s="3262">
        <v>0.124</v>
      </c>
      <c r="F161" s="3262">
        <v>0.127</v>
      </c>
      <c r="G161" s="3263">
        <v>0.13</v>
      </c>
    </row>
    <row r="162" spans="1:7">
      <c r="A162" s="3272" t="s">
        <v>29</v>
      </c>
      <c r="B162" s="3261" t="s">
        <v>2999</v>
      </c>
      <c r="C162" s="3262">
        <v>0.1</v>
      </c>
      <c r="D162" s="3262">
        <v>0.1</v>
      </c>
      <c r="E162" s="3262">
        <v>0.1</v>
      </c>
      <c r="F162" s="3262">
        <v>0.121</v>
      </c>
      <c r="G162" s="3263">
        <v>0.105</v>
      </c>
    </row>
    <row r="163" spans="1:7">
      <c r="A163" s="3272" t="s">
        <v>29</v>
      </c>
      <c r="B163" s="3261" t="s">
        <v>3004</v>
      </c>
      <c r="C163" s="3262">
        <v>0.1</v>
      </c>
      <c r="D163" s="3262">
        <v>0.1</v>
      </c>
      <c r="E163" s="3262">
        <v>0.1</v>
      </c>
      <c r="F163" s="3262">
        <v>0.1</v>
      </c>
      <c r="G163" s="3263">
        <v>0.1</v>
      </c>
    </row>
    <row r="164" spans="1:7">
      <c r="A164" s="3272" t="s">
        <v>29</v>
      </c>
      <c r="B164" s="3261" t="s">
        <v>3009</v>
      </c>
      <c r="C164" s="3278"/>
      <c r="D164" s="3278"/>
      <c r="E164" s="3278"/>
      <c r="F164" s="3262">
        <v>0.1</v>
      </c>
      <c r="G164" s="3274"/>
    </row>
    <row r="165" spans="1:7">
      <c r="A165" s="3272" t="s">
        <v>29</v>
      </c>
      <c r="B165" s="3261" t="s">
        <v>3180</v>
      </c>
      <c r="C165" s="3262">
        <v>0.126</v>
      </c>
      <c r="D165" s="3262">
        <v>0.126</v>
      </c>
      <c r="E165" s="3262">
        <v>0.11899999999999999</v>
      </c>
      <c r="F165" s="3262">
        <v>0.13</v>
      </c>
      <c r="G165" s="3263">
        <v>0.128</v>
      </c>
    </row>
    <row r="166" spans="1:7">
      <c r="A166" s="3272" t="s">
        <v>29</v>
      </c>
      <c r="B166" s="3261" t="s">
        <v>3019</v>
      </c>
      <c r="C166" s="3262">
        <v>0.129</v>
      </c>
      <c r="D166" s="3262">
        <v>0.129</v>
      </c>
      <c r="E166" s="3262">
        <v>0.123</v>
      </c>
      <c r="F166" s="3262">
        <v>0.128</v>
      </c>
      <c r="G166" s="3263">
        <v>0.13</v>
      </c>
    </row>
    <row r="167" spans="1:7">
      <c r="A167" s="3272" t="s">
        <v>29</v>
      </c>
      <c r="B167" s="3261" t="s">
        <v>3023</v>
      </c>
      <c r="C167" s="3262">
        <v>0.125</v>
      </c>
      <c r="D167" s="3262">
        <v>0.125</v>
      </c>
      <c r="E167" s="3262">
        <v>0.11700000000000001</v>
      </c>
      <c r="F167" s="3262">
        <v>0.13</v>
      </c>
      <c r="G167" s="3263">
        <v>0.126</v>
      </c>
    </row>
    <row r="168" spans="1:7">
      <c r="A168" s="3272" t="s">
        <v>29</v>
      </c>
      <c r="B168" s="3261" t="s">
        <v>3028</v>
      </c>
      <c r="C168" s="3262">
        <v>0.128</v>
      </c>
      <c r="D168" s="3262">
        <v>0.128</v>
      </c>
      <c r="E168" s="3262">
        <v>0.123</v>
      </c>
      <c r="F168" s="3273"/>
      <c r="G168" s="3263">
        <v>0.13</v>
      </c>
    </row>
    <row r="169" spans="1:7">
      <c r="A169" s="3272" t="s">
        <v>29</v>
      </c>
      <c r="B169" s="3261" t="s">
        <v>3181</v>
      </c>
      <c r="C169" s="3278"/>
      <c r="D169" s="3278"/>
      <c r="E169" s="3278"/>
      <c r="F169" s="3262">
        <v>0.05</v>
      </c>
      <c r="G169" s="3274"/>
    </row>
    <row r="170" spans="1:7">
      <c r="A170" s="3272" t="s">
        <v>29</v>
      </c>
      <c r="B170" s="3261" t="s">
        <v>3182</v>
      </c>
      <c r="C170" s="3278"/>
      <c r="D170" s="3278"/>
      <c r="E170" s="3278"/>
      <c r="F170" s="3262">
        <v>0.05</v>
      </c>
      <c r="G170" s="3274"/>
    </row>
    <row r="171" spans="1:7">
      <c r="A171" s="3272" t="s">
        <v>29</v>
      </c>
      <c r="B171" s="3261" t="s">
        <v>3183</v>
      </c>
      <c r="C171" s="3278"/>
      <c r="D171" s="3278"/>
      <c r="E171" s="3278"/>
      <c r="F171" s="3262">
        <v>0.05</v>
      </c>
      <c r="G171" s="3279"/>
    </row>
    <row r="172" spans="1:7">
      <c r="A172" s="3272" t="s">
        <v>29</v>
      </c>
      <c r="B172" s="3261" t="s">
        <v>3184</v>
      </c>
      <c r="C172" s="3278"/>
      <c r="D172" s="3278"/>
      <c r="E172" s="3278"/>
      <c r="F172" s="3262">
        <v>0.05</v>
      </c>
      <c r="G172" s="3279"/>
    </row>
    <row r="173" spans="1:7">
      <c r="A173" s="3272" t="s">
        <v>29</v>
      </c>
      <c r="B173" s="3261" t="s">
        <v>3185</v>
      </c>
      <c r="C173" s="3278"/>
      <c r="D173" s="3278"/>
      <c r="E173" s="3278"/>
      <c r="F173" s="3262">
        <v>0.05</v>
      </c>
      <c r="G173" s="3274"/>
    </row>
    <row r="174" spans="1:7">
      <c r="A174" s="3272" t="s">
        <v>29</v>
      </c>
      <c r="B174" s="3261" t="s">
        <v>3186</v>
      </c>
      <c r="C174" s="3278"/>
      <c r="D174" s="3278"/>
      <c r="E174" s="3278"/>
      <c r="F174" s="3262">
        <v>0.05</v>
      </c>
      <c r="G174" s="3274"/>
    </row>
    <row r="175" spans="1:7">
      <c r="A175" s="3272" t="s">
        <v>29</v>
      </c>
      <c r="B175" s="3261" t="s">
        <v>3187</v>
      </c>
      <c r="C175" s="3278"/>
      <c r="D175" s="3278"/>
      <c r="E175" s="3278"/>
      <c r="F175" s="3262">
        <v>0.05</v>
      </c>
      <c r="G175" s="3274"/>
    </row>
    <row r="176" spans="1:7">
      <c r="A176" s="3272" t="s">
        <v>29</v>
      </c>
      <c r="B176" s="3261" t="s">
        <v>3188</v>
      </c>
      <c r="C176" s="3278"/>
      <c r="D176" s="3278"/>
      <c r="E176" s="3278"/>
      <c r="F176" s="3262">
        <v>0.05</v>
      </c>
      <c r="G176" s="3274"/>
    </row>
    <row r="177" spans="1:7">
      <c r="A177" s="3272" t="s">
        <v>29</v>
      </c>
      <c r="B177" s="3261" t="s">
        <v>3189</v>
      </c>
      <c r="C177" s="3273"/>
      <c r="D177" s="3273"/>
      <c r="E177" s="3273"/>
      <c r="F177" s="3262">
        <v>0.05</v>
      </c>
      <c r="G177" s="3279"/>
    </row>
    <row r="178" spans="1:7">
      <c r="A178" s="3272" t="s">
        <v>29</v>
      </c>
      <c r="B178" s="3261" t="s">
        <v>3190</v>
      </c>
      <c r="C178" s="3273"/>
      <c r="D178" s="3273"/>
      <c r="E178" s="3273"/>
      <c r="F178" s="3262">
        <v>0.05</v>
      </c>
      <c r="G178" s="3279"/>
    </row>
    <row r="179" spans="1:7">
      <c r="A179" s="3272" t="s">
        <v>29</v>
      </c>
      <c r="B179" s="3261" t="s">
        <v>3191</v>
      </c>
      <c r="C179" s="3273"/>
      <c r="D179" s="3273"/>
      <c r="E179" s="3273"/>
      <c r="F179" s="3262">
        <v>0.05</v>
      </c>
      <c r="G179" s="3279"/>
    </row>
    <row r="180" spans="1:7">
      <c r="A180" s="3272" t="s">
        <v>29</v>
      </c>
      <c r="B180" s="3261" t="s">
        <v>3192</v>
      </c>
      <c r="C180" s="3273"/>
      <c r="D180" s="3273"/>
      <c r="E180" s="3273"/>
      <c r="F180" s="3262">
        <v>0.05</v>
      </c>
      <c r="G180" s="3279"/>
    </row>
    <row r="181" spans="1:7">
      <c r="A181" s="3272" t="s">
        <v>29</v>
      </c>
      <c r="B181" s="3261" t="s">
        <v>3193</v>
      </c>
      <c r="C181" s="3273"/>
      <c r="D181" s="3273"/>
      <c r="E181" s="3273"/>
      <c r="F181" s="3262">
        <v>0.05</v>
      </c>
      <c r="G181" s="3279"/>
    </row>
    <row r="182" spans="1:7">
      <c r="A182" s="3272" t="s">
        <v>29</v>
      </c>
      <c r="B182" s="3261" t="s">
        <v>3194</v>
      </c>
      <c r="C182" s="3273"/>
      <c r="D182" s="3273"/>
      <c r="E182" s="3273"/>
      <c r="F182" s="3262">
        <v>0.05</v>
      </c>
      <c r="G182" s="3279"/>
    </row>
    <row r="183" spans="1:7">
      <c r="A183" s="3272" t="s">
        <v>29</v>
      </c>
      <c r="B183" s="3261" t="s">
        <v>3195</v>
      </c>
      <c r="C183" s="3273"/>
      <c r="D183" s="3273"/>
      <c r="E183" s="3273"/>
      <c r="F183" s="3262">
        <v>0.05</v>
      </c>
      <c r="G183" s="3279"/>
    </row>
    <row r="184" spans="1:7">
      <c r="A184" s="3272" t="s">
        <v>29</v>
      </c>
      <c r="B184" s="3261" t="s">
        <v>3196</v>
      </c>
      <c r="C184" s="3273"/>
      <c r="D184" s="3273"/>
      <c r="E184" s="3273"/>
      <c r="F184" s="3262">
        <v>0.05</v>
      </c>
      <c r="G184" s="3279"/>
    </row>
    <row r="185" spans="1:7">
      <c r="A185" s="3272" t="s">
        <v>29</v>
      </c>
      <c r="B185" s="3261" t="s">
        <v>3197</v>
      </c>
      <c r="C185" s="3273"/>
      <c r="D185" s="3273"/>
      <c r="E185" s="3273"/>
      <c r="F185" s="3262">
        <v>0.05</v>
      </c>
      <c r="G185" s="3279"/>
    </row>
    <row r="186" spans="1:7">
      <c r="A186" s="3272" t="s">
        <v>29</v>
      </c>
      <c r="B186" s="3261" t="s">
        <v>3198</v>
      </c>
      <c r="C186" s="3273"/>
      <c r="D186" s="3273"/>
      <c r="E186" s="3273"/>
      <c r="F186" s="3262">
        <v>0.05</v>
      </c>
      <c r="G186" s="3279"/>
    </row>
    <row r="187" spans="1:7">
      <c r="A187" s="3272" t="s">
        <v>29</v>
      </c>
      <c r="B187" s="3261" t="s">
        <v>3199</v>
      </c>
      <c r="C187" s="3273"/>
      <c r="D187" s="3273"/>
      <c r="E187" s="3273"/>
      <c r="F187" s="3262">
        <v>0.05</v>
      </c>
      <c r="G187" s="3279"/>
    </row>
    <row r="188" spans="1:7">
      <c r="A188" s="3272" t="s">
        <v>29</v>
      </c>
      <c r="B188" s="3261" t="s">
        <v>3200</v>
      </c>
      <c r="C188" s="3273"/>
      <c r="D188" s="3273"/>
      <c r="E188" s="3273"/>
      <c r="F188" s="3262">
        <v>0.05</v>
      </c>
      <c r="G188" s="3279"/>
    </row>
    <row r="189" spans="1:7" ht="15" thickBot="1">
      <c r="A189" s="3275" t="s">
        <v>29</v>
      </c>
      <c r="B189" s="3265" t="s">
        <v>3201</v>
      </c>
      <c r="C189" s="3267"/>
      <c r="D189" s="3267"/>
      <c r="E189" s="3267"/>
      <c r="F189" s="3266">
        <v>0.05</v>
      </c>
      <c r="G189" s="3280"/>
    </row>
    <row r="190" spans="1:7">
      <c r="A190" s="3271" t="s">
        <v>304</v>
      </c>
      <c r="B190" s="3257" t="s">
        <v>2857</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2893</v>
      </c>
      <c r="C199" s="3262">
        <v>0.13</v>
      </c>
      <c r="D199" s="3262">
        <v>0.13</v>
      </c>
      <c r="E199" s="3262">
        <v>0.13</v>
      </c>
      <c r="F199" s="3262">
        <v>0.13</v>
      </c>
      <c r="G199" s="3263">
        <v>0.13</v>
      </c>
    </row>
    <row r="200" spans="1:7">
      <c r="A200" s="3272" t="s">
        <v>304</v>
      </c>
      <c r="B200" s="3261" t="s">
        <v>2896</v>
      </c>
      <c r="C200" s="3278"/>
      <c r="D200" s="3278"/>
      <c r="E200" s="3278"/>
      <c r="F200" s="3262">
        <v>0.13</v>
      </c>
      <c r="G200" s="3274"/>
    </row>
    <row r="201" spans="1:7">
      <c r="A201" s="3272" t="s">
        <v>304</v>
      </c>
      <c r="B201" s="3261" t="s">
        <v>2901</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2904</v>
      </c>
      <c r="C203" s="3262">
        <v>0.129</v>
      </c>
      <c r="D203" s="3262">
        <v>0.129</v>
      </c>
      <c r="E203" s="3262">
        <v>0.13</v>
      </c>
      <c r="F203" s="3262">
        <v>0.13</v>
      </c>
      <c r="G203" s="3263">
        <v>0.13</v>
      </c>
    </row>
    <row r="204" spans="1:7">
      <c r="A204" s="3272" t="s">
        <v>304</v>
      </c>
      <c r="B204" s="3261" t="s">
        <v>2907</v>
      </c>
      <c r="C204" s="3262">
        <v>0.129</v>
      </c>
      <c r="D204" s="3262">
        <v>0.129</v>
      </c>
      <c r="E204" s="3262">
        <v>0.123</v>
      </c>
      <c r="F204" s="3262">
        <v>0.13</v>
      </c>
      <c r="G204" s="3263">
        <v>0.13</v>
      </c>
    </row>
    <row r="205" spans="1:7">
      <c r="A205" s="3272" t="s">
        <v>304</v>
      </c>
      <c r="B205" s="3261" t="s">
        <v>2909</v>
      </c>
      <c r="C205" s="3262">
        <v>0.13</v>
      </c>
      <c r="D205" s="3262">
        <v>0.13</v>
      </c>
      <c r="E205" s="3262">
        <v>0.13</v>
      </c>
      <c r="F205" s="3262">
        <v>0.13</v>
      </c>
      <c r="G205" s="3263">
        <v>0.13</v>
      </c>
    </row>
    <row r="206" spans="1:7">
      <c r="A206" s="3272" t="s">
        <v>304</v>
      </c>
      <c r="B206" s="3261" t="s">
        <v>2912</v>
      </c>
      <c r="C206" s="3262">
        <v>0.13</v>
      </c>
      <c r="D206" s="3262">
        <v>0.13</v>
      </c>
      <c r="E206" s="3262">
        <v>0.13</v>
      </c>
      <c r="F206" s="3262">
        <v>0.128</v>
      </c>
      <c r="G206" s="3263">
        <v>0.13</v>
      </c>
    </row>
    <row r="207" spans="1:7">
      <c r="A207" s="3272" t="s">
        <v>304</v>
      </c>
      <c r="B207" s="3261" t="s">
        <v>2914</v>
      </c>
      <c r="C207" s="3262">
        <v>0.13</v>
      </c>
      <c r="D207" s="3262">
        <v>0.13</v>
      </c>
      <c r="E207" s="3262">
        <v>0.13</v>
      </c>
      <c r="F207" s="3262">
        <v>0.13</v>
      </c>
      <c r="G207" s="3263">
        <v>0.13</v>
      </c>
    </row>
    <row r="208" spans="1:7">
      <c r="A208" s="3272" t="s">
        <v>304</v>
      </c>
      <c r="B208" s="3261" t="s">
        <v>2917</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2924</v>
      </c>
      <c r="C210" s="3262">
        <v>0.121</v>
      </c>
      <c r="D210" s="3262">
        <v>0.121</v>
      </c>
      <c r="E210" s="3262">
        <v>0.125</v>
      </c>
      <c r="F210" s="3262">
        <v>0.13</v>
      </c>
      <c r="G210" s="3263">
        <v>0.123</v>
      </c>
    </row>
    <row r="211" spans="1:7">
      <c r="A211" s="3272" t="s">
        <v>304</v>
      </c>
      <c r="B211" s="3261" t="s">
        <v>2927</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2939</v>
      </c>
      <c r="C214" s="3262">
        <v>0.128</v>
      </c>
      <c r="D214" s="3262">
        <v>0.128</v>
      </c>
      <c r="E214" s="3262">
        <v>0.13</v>
      </c>
      <c r="F214" s="3262">
        <v>0.13</v>
      </c>
      <c r="G214" s="3263">
        <v>0.13</v>
      </c>
    </row>
    <row r="215" spans="1:7">
      <c r="A215" s="3272" t="s">
        <v>304</v>
      </c>
      <c r="B215" s="3261" t="s">
        <v>2943</v>
      </c>
      <c r="C215" s="3262">
        <v>0.13</v>
      </c>
      <c r="D215" s="3262">
        <v>0.13</v>
      </c>
      <c r="E215" s="3262">
        <v>0.13</v>
      </c>
      <c r="F215" s="3262">
        <v>0.129</v>
      </c>
      <c r="G215" s="3263">
        <v>0.13</v>
      </c>
    </row>
    <row r="216" spans="1:7">
      <c r="A216" s="3272" t="s">
        <v>304</v>
      </c>
      <c r="B216" s="3261" t="s">
        <v>2950</v>
      </c>
      <c r="C216" s="3262">
        <v>0.13</v>
      </c>
      <c r="D216" s="3262">
        <v>0.13</v>
      </c>
      <c r="E216" s="3262">
        <v>0.13</v>
      </c>
      <c r="F216" s="3262">
        <v>0.13</v>
      </c>
      <c r="G216" s="3263">
        <v>0.13</v>
      </c>
    </row>
    <row r="217" spans="1:7">
      <c r="A217" s="3272" t="s">
        <v>304</v>
      </c>
      <c r="B217" s="3261" t="s">
        <v>2957</v>
      </c>
      <c r="C217" s="3262">
        <v>0.129</v>
      </c>
      <c r="D217" s="3262">
        <v>0.129</v>
      </c>
      <c r="E217" s="3262">
        <v>0.13</v>
      </c>
      <c r="F217" s="3262">
        <v>0.13</v>
      </c>
      <c r="G217" s="3263">
        <v>0.13</v>
      </c>
    </row>
    <row r="218" spans="1:7">
      <c r="A218" s="3272" t="s">
        <v>304</v>
      </c>
      <c r="B218" s="3261" t="s">
        <v>2963</v>
      </c>
      <c r="C218" s="3273"/>
      <c r="D218" s="3273"/>
      <c r="E218" s="3273"/>
      <c r="F218" s="3262">
        <v>0.05</v>
      </c>
      <c r="G218" s="3279"/>
    </row>
    <row r="219" spans="1:7">
      <c r="A219" s="3272" t="s">
        <v>304</v>
      </c>
      <c r="B219" s="3261" t="s">
        <v>2970</v>
      </c>
      <c r="C219" s="3273"/>
      <c r="D219" s="3273"/>
      <c r="E219" s="3273"/>
      <c r="F219" s="3262">
        <v>0.05</v>
      </c>
      <c r="G219" s="3279"/>
    </row>
    <row r="220" spans="1:7">
      <c r="A220" s="3272" t="s">
        <v>304</v>
      </c>
      <c r="B220" s="3261" t="s">
        <v>2976</v>
      </c>
      <c r="C220" s="3273"/>
      <c r="D220" s="3273"/>
      <c r="E220" s="3273"/>
      <c r="F220" s="3262">
        <v>0.05</v>
      </c>
      <c r="G220" s="3279"/>
    </row>
    <row r="221" spans="1:7">
      <c r="A221" s="3272" t="s">
        <v>304</v>
      </c>
      <c r="B221" s="3261" t="s">
        <v>2981</v>
      </c>
      <c r="C221" s="3273"/>
      <c r="D221" s="3273"/>
      <c r="E221" s="3273"/>
      <c r="F221" s="3262">
        <v>0.05</v>
      </c>
      <c r="G221" s="3279"/>
    </row>
    <row r="222" spans="1:7">
      <c r="A222" s="3272" t="s">
        <v>304</v>
      </c>
      <c r="B222" s="3261" t="s">
        <v>2985</v>
      </c>
      <c r="C222" s="3273"/>
      <c r="D222" s="3273"/>
      <c r="E222" s="3273"/>
      <c r="F222" s="3262">
        <v>0.05</v>
      </c>
      <c r="G222" s="3279"/>
    </row>
    <row r="223" spans="1:7">
      <c r="A223" s="3272" t="s">
        <v>304</v>
      </c>
      <c r="B223" s="3261" t="s">
        <v>2990</v>
      </c>
      <c r="C223" s="3273"/>
      <c r="D223" s="3273"/>
      <c r="E223" s="3273"/>
      <c r="F223" s="3262">
        <v>0.05</v>
      </c>
      <c r="G223" s="3279"/>
    </row>
    <row r="224" spans="1:7">
      <c r="A224" s="3272" t="s">
        <v>304</v>
      </c>
      <c r="B224" s="3261" t="s">
        <v>2995</v>
      </c>
      <c r="C224" s="3273"/>
      <c r="D224" s="3273"/>
      <c r="E224" s="3273"/>
      <c r="F224" s="3262">
        <v>0.05</v>
      </c>
      <c r="G224" s="3279"/>
    </row>
    <row r="225" spans="1:7">
      <c r="A225" s="3272" t="s">
        <v>304</v>
      </c>
      <c r="B225" s="3261" t="s">
        <v>3000</v>
      </c>
      <c r="C225" s="3273"/>
      <c r="D225" s="3273"/>
      <c r="E225" s="3273"/>
      <c r="F225" s="3262">
        <v>0.05</v>
      </c>
      <c r="G225" s="3279"/>
    </row>
    <row r="226" spans="1:7">
      <c r="A226" s="3272" t="s">
        <v>304</v>
      </c>
      <c r="B226" s="3261" t="s">
        <v>3202</v>
      </c>
      <c r="C226" s="3273"/>
      <c r="D226" s="3273"/>
      <c r="E226" s="3273"/>
      <c r="F226" s="3262">
        <v>0.05</v>
      </c>
      <c r="G226" s="3279"/>
    </row>
    <row r="227" spans="1:7">
      <c r="A227" s="3272" t="s">
        <v>304</v>
      </c>
      <c r="B227" s="3261" t="s">
        <v>3203</v>
      </c>
      <c r="C227" s="3273"/>
      <c r="D227" s="3273"/>
      <c r="E227" s="3273"/>
      <c r="F227" s="3262">
        <v>0.05</v>
      </c>
      <c r="G227" s="3279"/>
    </row>
    <row r="228" spans="1:7">
      <c r="A228" s="3272" t="s">
        <v>304</v>
      </c>
      <c r="B228" s="3261" t="s">
        <v>3204</v>
      </c>
      <c r="C228" s="3273"/>
      <c r="D228" s="3273"/>
      <c r="E228" s="3273"/>
      <c r="F228" s="3262">
        <v>0.05</v>
      </c>
      <c r="G228" s="3279"/>
    </row>
    <row r="229" spans="1:7">
      <c r="A229" s="3272" t="s">
        <v>304</v>
      </c>
      <c r="B229" s="3261" t="s">
        <v>3205</v>
      </c>
      <c r="C229" s="3273"/>
      <c r="D229" s="3273"/>
      <c r="E229" s="3273"/>
      <c r="F229" s="3262">
        <v>0.05</v>
      </c>
      <c r="G229" s="3279"/>
    </row>
    <row r="230" spans="1:7">
      <c r="A230" s="3272" t="s">
        <v>304</v>
      </c>
      <c r="B230" s="3261" t="s">
        <v>3206</v>
      </c>
      <c r="C230" s="3273"/>
      <c r="D230" s="3273"/>
      <c r="E230" s="3273"/>
      <c r="F230" s="3262">
        <v>0.05</v>
      </c>
      <c r="G230" s="3279"/>
    </row>
    <row r="231" spans="1:7">
      <c r="A231" s="3272" t="s">
        <v>304</v>
      </c>
      <c r="B231" s="3261" t="s">
        <v>3207</v>
      </c>
      <c r="C231" s="3273"/>
      <c r="D231" s="3273"/>
      <c r="E231" s="3273"/>
      <c r="F231" s="3262">
        <v>0.05</v>
      </c>
      <c r="G231" s="3279"/>
    </row>
    <row r="232" spans="1:7">
      <c r="A232" s="3272" t="s">
        <v>304</v>
      </c>
      <c r="B232" s="3261" t="s">
        <v>3208</v>
      </c>
      <c r="C232" s="3273"/>
      <c r="D232" s="3273"/>
      <c r="E232" s="3273"/>
      <c r="F232" s="3262">
        <v>0.05</v>
      </c>
      <c r="G232" s="3279"/>
    </row>
    <row r="233" spans="1:7" ht="15" thickBot="1">
      <c r="A233" s="3275" t="s">
        <v>304</v>
      </c>
      <c r="B233" s="3265" t="s">
        <v>3209</v>
      </c>
      <c r="C233" s="3267"/>
      <c r="D233" s="3267"/>
      <c r="E233" s="3267"/>
      <c r="F233" s="3266">
        <v>0.05</v>
      </c>
      <c r="G233" s="3280"/>
    </row>
    <row r="234" spans="1:7">
      <c r="A234" s="3271" t="s">
        <v>305</v>
      </c>
      <c r="B234" s="3257" t="s">
        <v>2858</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2878</v>
      </c>
      <c r="C238" s="3262">
        <v>0.14899999999999999</v>
      </c>
      <c r="D238" s="3262">
        <v>0.14899999999999999</v>
      </c>
      <c r="E238" s="3262">
        <v>0.15</v>
      </c>
      <c r="F238" s="3262">
        <v>0.15</v>
      </c>
      <c r="G238" s="3263">
        <v>0.15</v>
      </c>
    </row>
    <row r="239" spans="1:7">
      <c r="A239" s="3272" t="s">
        <v>305</v>
      </c>
      <c r="B239" s="3261" t="s">
        <v>2882</v>
      </c>
      <c r="C239" s="3262">
        <v>0.15</v>
      </c>
      <c r="D239" s="3262">
        <v>0.15</v>
      </c>
      <c r="E239" s="3262">
        <v>0.15</v>
      </c>
      <c r="F239" s="3262">
        <v>0.15</v>
      </c>
      <c r="G239" s="3263">
        <v>0.15</v>
      </c>
    </row>
    <row r="240" spans="1:7">
      <c r="A240" s="3272" t="s">
        <v>305</v>
      </c>
      <c r="B240" s="3261" t="s">
        <v>2887</v>
      </c>
      <c r="C240" s="3262">
        <v>0.15</v>
      </c>
      <c r="D240" s="3262">
        <v>0.15</v>
      </c>
      <c r="E240" s="3262">
        <v>0.15</v>
      </c>
      <c r="F240" s="3262">
        <v>0.15</v>
      </c>
      <c r="G240" s="3263">
        <v>0.15</v>
      </c>
    </row>
    <row r="241" spans="1:7">
      <c r="A241" s="3272" t="s">
        <v>305</v>
      </c>
      <c r="B241" s="3261" t="s">
        <v>2891</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2897</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2905</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2910</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2918</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2931</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2940</v>
      </c>
      <c r="C258" s="3262">
        <v>0.14299999999999999</v>
      </c>
      <c r="D258" s="3262">
        <v>0.14299999999999999</v>
      </c>
      <c r="E258" s="3262">
        <v>0.15</v>
      </c>
      <c r="F258" s="3262">
        <v>0.14799999999999999</v>
      </c>
      <c r="G258" s="3263">
        <v>0.14599999999999999</v>
      </c>
    </row>
    <row r="259" spans="1:7">
      <c r="A259" s="3272" t="s">
        <v>305</v>
      </c>
      <c r="B259" s="3261" t="s">
        <v>2944</v>
      </c>
      <c r="C259" s="3262">
        <v>0.14399999999999999</v>
      </c>
      <c r="D259" s="3262">
        <v>0.14399999999999999</v>
      </c>
      <c r="E259" s="3262">
        <v>0.14899999999999999</v>
      </c>
      <c r="F259" s="3262">
        <v>0.14699999999999999</v>
      </c>
      <c r="G259" s="3263">
        <v>0.14599999999999999</v>
      </c>
    </row>
    <row r="260" spans="1:7">
      <c r="A260" s="3272" t="s">
        <v>305</v>
      </c>
      <c r="B260" s="3261" t="s">
        <v>2951</v>
      </c>
      <c r="C260" s="3262">
        <v>0.109</v>
      </c>
      <c r="D260" s="3262">
        <v>0.111</v>
      </c>
      <c r="E260" s="3262">
        <v>0.13100000000000001</v>
      </c>
      <c r="F260" s="3262">
        <v>0.126</v>
      </c>
      <c r="G260" s="3263">
        <v>0.11899999999999999</v>
      </c>
    </row>
    <row r="261" spans="1:7">
      <c r="A261" s="3272" t="s">
        <v>305</v>
      </c>
      <c r="B261" s="3261" t="s">
        <v>2958</v>
      </c>
      <c r="C261" s="3262">
        <v>0.1</v>
      </c>
      <c r="D261" s="3262">
        <v>0.1</v>
      </c>
      <c r="E261" s="3262">
        <v>0.11799999999999999</v>
      </c>
      <c r="F261" s="3262">
        <v>0.108</v>
      </c>
      <c r="G261" s="3263">
        <v>0.107</v>
      </c>
    </row>
    <row r="262" spans="1:7">
      <c r="A262" s="3272" t="s">
        <v>305</v>
      </c>
      <c r="B262" s="3261" t="s">
        <v>2964</v>
      </c>
      <c r="C262" s="3262">
        <v>0.1</v>
      </c>
      <c r="D262" s="3262">
        <v>0.1</v>
      </c>
      <c r="E262" s="3262">
        <v>0.1</v>
      </c>
      <c r="F262" s="3262">
        <v>0.14099999999999999</v>
      </c>
      <c r="G262" s="3263">
        <v>0.1</v>
      </c>
    </row>
    <row r="263" spans="1:7">
      <c r="A263" s="3272" t="s">
        <v>305</v>
      </c>
      <c r="B263" s="3261" t="s">
        <v>2971</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2982</v>
      </c>
      <c r="C265" s="3273"/>
      <c r="D265" s="3273"/>
      <c r="E265" s="3273"/>
      <c r="F265" s="3262">
        <v>0.05</v>
      </c>
      <c r="G265" s="3279"/>
    </row>
    <row r="266" spans="1:7">
      <c r="A266" s="3272" t="s">
        <v>305</v>
      </c>
      <c r="B266" s="3261" t="s">
        <v>2986</v>
      </c>
      <c r="C266" s="3273"/>
      <c r="D266" s="3273"/>
      <c r="E266" s="3273"/>
      <c r="F266" s="3262">
        <v>0.05</v>
      </c>
      <c r="G266" s="3279"/>
    </row>
    <row r="267" spans="1:7">
      <c r="A267" s="3272" t="s">
        <v>305</v>
      </c>
      <c r="B267" s="3261" t="s">
        <v>2991</v>
      </c>
      <c r="C267" s="3273"/>
      <c r="D267" s="3273"/>
      <c r="E267" s="3273"/>
      <c r="F267" s="3262">
        <v>0.05</v>
      </c>
      <c r="G267" s="3279"/>
    </row>
    <row r="268" spans="1:7">
      <c r="A268" s="3272" t="s">
        <v>305</v>
      </c>
      <c r="B268" s="3261" t="s">
        <v>2996</v>
      </c>
      <c r="C268" s="3273"/>
      <c r="D268" s="3273"/>
      <c r="E268" s="3273"/>
      <c r="F268" s="3262">
        <v>0.05</v>
      </c>
      <c r="G268" s="3279"/>
    </row>
    <row r="269" spans="1:7">
      <c r="A269" s="3272" t="s">
        <v>305</v>
      </c>
      <c r="B269" s="3261" t="s">
        <v>3001</v>
      </c>
      <c r="C269" s="3273"/>
      <c r="D269" s="3273"/>
      <c r="E269" s="3273"/>
      <c r="F269" s="3262">
        <v>0.05</v>
      </c>
      <c r="G269" s="3279"/>
    </row>
    <row r="270" spans="1:7">
      <c r="A270" s="3272" t="s">
        <v>305</v>
      </c>
      <c r="B270" s="3261" t="s">
        <v>3006</v>
      </c>
      <c r="C270" s="3273"/>
      <c r="D270" s="3273"/>
      <c r="E270" s="3273"/>
      <c r="F270" s="3262">
        <v>0.05</v>
      </c>
      <c r="G270" s="3279"/>
    </row>
    <row r="271" spans="1:7">
      <c r="A271" s="3272" t="s">
        <v>305</v>
      </c>
      <c r="B271" s="3261" t="s">
        <v>3210</v>
      </c>
      <c r="C271" s="3273"/>
      <c r="D271" s="3273"/>
      <c r="E271" s="3273"/>
      <c r="F271" s="3262">
        <v>0.05</v>
      </c>
      <c r="G271" s="3279"/>
    </row>
    <row r="272" spans="1:7">
      <c r="A272" s="3272" t="s">
        <v>305</v>
      </c>
      <c r="B272" s="3261" t="s">
        <v>3211</v>
      </c>
      <c r="C272" s="3273"/>
      <c r="D272" s="3273"/>
      <c r="E272" s="3273"/>
      <c r="F272" s="3262">
        <v>0.05</v>
      </c>
      <c r="G272" s="3279"/>
    </row>
    <row r="273" spans="1:7">
      <c r="A273" s="3272" t="s">
        <v>305</v>
      </c>
      <c r="B273" s="3261" t="s">
        <v>3212</v>
      </c>
      <c r="C273" s="3273"/>
      <c r="D273" s="3273"/>
      <c r="E273" s="3273"/>
      <c r="F273" s="3262">
        <v>0.05</v>
      </c>
      <c r="G273" s="3279"/>
    </row>
    <row r="274" spans="1:7">
      <c r="A274" s="3272" t="s">
        <v>305</v>
      </c>
      <c r="B274" s="3261" t="s">
        <v>3213</v>
      </c>
      <c r="C274" s="3273"/>
      <c r="D274" s="3273"/>
      <c r="E274" s="3273"/>
      <c r="F274" s="3262">
        <v>0.05</v>
      </c>
      <c r="G274" s="3279"/>
    </row>
    <row r="275" spans="1:7">
      <c r="A275" s="3272" t="s">
        <v>305</v>
      </c>
      <c r="B275" s="3261" t="s">
        <v>3214</v>
      </c>
      <c r="C275" s="3273"/>
      <c r="D275" s="3273"/>
      <c r="E275" s="3273"/>
      <c r="F275" s="3262">
        <v>0.05</v>
      </c>
      <c r="G275" s="3279"/>
    </row>
    <row r="276" spans="1:7" ht="15" thickBot="1">
      <c r="A276" s="3275" t="s">
        <v>305</v>
      </c>
      <c r="B276" s="3265" t="s">
        <v>3215</v>
      </c>
      <c r="C276" s="3267"/>
      <c r="D276" s="3267"/>
      <c r="E276" s="3267"/>
      <c r="F276" s="3266">
        <v>0.05</v>
      </c>
      <c r="G276" s="3280"/>
    </row>
    <row r="277" spans="1:7">
      <c r="A277" s="3271" t="s">
        <v>306</v>
      </c>
      <c r="B277" s="3257" t="s">
        <v>2859</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2871</v>
      </c>
      <c r="C279" s="3262">
        <v>0.15</v>
      </c>
      <c r="D279" s="3262">
        <v>0.15</v>
      </c>
      <c r="E279" s="3262">
        <v>0.15</v>
      </c>
      <c r="F279" s="3262">
        <v>0.15</v>
      </c>
      <c r="G279" s="3263">
        <v>0.15</v>
      </c>
    </row>
    <row r="280" spans="1:7">
      <c r="A280" s="3272" t="s">
        <v>306</v>
      </c>
      <c r="B280" s="3261" t="s">
        <v>2875</v>
      </c>
      <c r="C280" s="3262">
        <v>0.15</v>
      </c>
      <c r="D280" s="3262">
        <v>0.15</v>
      </c>
      <c r="E280" s="3262">
        <v>0.15</v>
      </c>
      <c r="F280" s="3262">
        <v>0.15</v>
      </c>
      <c r="G280" s="3263">
        <v>0.15</v>
      </c>
    </row>
    <row r="281" spans="1:7">
      <c r="A281" s="3272" t="s">
        <v>306</v>
      </c>
      <c r="B281" s="3261" t="s">
        <v>2879</v>
      </c>
      <c r="C281" s="3262">
        <v>0.15</v>
      </c>
      <c r="D281" s="3262">
        <v>0.15</v>
      </c>
      <c r="E281" s="3262">
        <v>0.15</v>
      </c>
      <c r="F281" s="3262">
        <v>0.15</v>
      </c>
      <c r="G281" s="3263">
        <v>0.15</v>
      </c>
    </row>
    <row r="282" spans="1:7">
      <c r="A282" s="3272" t="s">
        <v>306</v>
      </c>
      <c r="B282" s="3261" t="s">
        <v>2883</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2898</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2903</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2913</v>
      </c>
      <c r="C293" s="3262">
        <v>0.15</v>
      </c>
      <c r="D293" s="3262">
        <v>0.15</v>
      </c>
      <c r="E293" s="3262">
        <v>0.15</v>
      </c>
      <c r="F293" s="3262">
        <v>0.14499999999999999</v>
      </c>
      <c r="G293" s="3263">
        <v>0.15</v>
      </c>
    </row>
    <row r="294" spans="1:7">
      <c r="A294" s="3272" t="s">
        <v>306</v>
      </c>
      <c r="B294" s="3261" t="s">
        <v>2915</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2932</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2945</v>
      </c>
      <c r="C302" s="3262">
        <v>0.15</v>
      </c>
      <c r="D302" s="3262">
        <v>0.15</v>
      </c>
      <c r="E302" s="3262">
        <v>0.15</v>
      </c>
      <c r="F302" s="3262">
        <v>0.14699999999999999</v>
      </c>
      <c r="G302" s="3263">
        <v>0.15</v>
      </c>
    </row>
    <row r="303" spans="1:7">
      <c r="A303" s="3272" t="s">
        <v>306</v>
      </c>
      <c r="B303" s="3261" t="s">
        <v>2952</v>
      </c>
      <c r="C303" s="3262">
        <v>0.15</v>
      </c>
      <c r="D303" s="3262">
        <v>0.15</v>
      </c>
      <c r="E303" s="3262">
        <v>0.15</v>
      </c>
      <c r="F303" s="3262">
        <v>0.14199999999999999</v>
      </c>
      <c r="G303" s="3263">
        <v>0.15</v>
      </c>
    </row>
    <row r="304" spans="1:7">
      <c r="A304" s="3272" t="s">
        <v>306</v>
      </c>
      <c r="B304" s="3261" t="s">
        <v>2959</v>
      </c>
      <c r="C304" s="3262">
        <v>0.15</v>
      </c>
      <c r="D304" s="3262">
        <v>0.15</v>
      </c>
      <c r="E304" s="3262">
        <v>0.15</v>
      </c>
      <c r="F304" s="3262">
        <v>0.14499999999999999</v>
      </c>
      <c r="G304" s="3263">
        <v>0.15</v>
      </c>
    </row>
    <row r="305" spans="1:7">
      <c r="A305" s="3272" t="s">
        <v>306</v>
      </c>
      <c r="B305" s="3261" t="s">
        <v>2965</v>
      </c>
      <c r="C305" s="3262">
        <v>0.15</v>
      </c>
      <c r="D305" s="3262">
        <v>0.15</v>
      </c>
      <c r="E305" s="3262">
        <v>0.15</v>
      </c>
      <c r="F305" s="3262">
        <v>0.111</v>
      </c>
      <c r="G305" s="3263">
        <v>0.15</v>
      </c>
    </row>
    <row r="306" spans="1:7">
      <c r="A306" s="3272" t="s">
        <v>306</v>
      </c>
      <c r="B306" s="3261" t="s">
        <v>2972</v>
      </c>
      <c r="C306" s="3262">
        <v>0.15</v>
      </c>
      <c r="D306" s="3262">
        <v>0.15</v>
      </c>
      <c r="E306" s="3262">
        <v>0.15</v>
      </c>
      <c r="F306" s="3262">
        <v>0.126</v>
      </c>
      <c r="G306" s="3263">
        <v>0.15</v>
      </c>
    </row>
    <row r="307" spans="1:7">
      <c r="A307" s="3272" t="s">
        <v>306</v>
      </c>
      <c r="B307" s="3261" t="s">
        <v>2977</v>
      </c>
      <c r="C307" s="3262">
        <v>0.15</v>
      </c>
      <c r="D307" s="3262">
        <v>0.15</v>
      </c>
      <c r="E307" s="3262">
        <v>0.15</v>
      </c>
      <c r="F307" s="3262">
        <v>0.12</v>
      </c>
      <c r="G307" s="3263">
        <v>0.15</v>
      </c>
    </row>
    <row r="308" spans="1:7">
      <c r="A308" s="3272" t="s">
        <v>306</v>
      </c>
      <c r="B308" s="3261" t="s">
        <v>2983</v>
      </c>
      <c r="C308" s="3262">
        <v>0.15</v>
      </c>
      <c r="D308" s="3262">
        <v>0.15</v>
      </c>
      <c r="E308" s="3262">
        <v>0.15</v>
      </c>
      <c r="F308" s="3262">
        <v>0.13</v>
      </c>
      <c r="G308" s="3263">
        <v>0.15</v>
      </c>
    </row>
    <row r="309" spans="1:7">
      <c r="A309" s="3272" t="s">
        <v>306</v>
      </c>
      <c r="B309" s="3261" t="s">
        <v>2987</v>
      </c>
      <c r="C309" s="3262">
        <v>0.15</v>
      </c>
      <c r="D309" s="3262">
        <v>0.15</v>
      </c>
      <c r="E309" s="3262">
        <v>0.15</v>
      </c>
      <c r="F309" s="3262">
        <v>0.14099999999999999</v>
      </c>
      <c r="G309" s="3263">
        <v>0.15</v>
      </c>
    </row>
    <row r="310" spans="1:7">
      <c r="A310" s="3272" t="s">
        <v>306</v>
      </c>
      <c r="B310" s="3261" t="s">
        <v>2992</v>
      </c>
      <c r="C310" s="3262">
        <v>0.15</v>
      </c>
      <c r="D310" s="3262">
        <v>0.15</v>
      </c>
      <c r="E310" s="3262">
        <v>0.15</v>
      </c>
      <c r="F310" s="3262">
        <v>0.15</v>
      </c>
      <c r="G310" s="3263">
        <v>0.15</v>
      </c>
    </row>
    <row r="311" spans="1:7">
      <c r="A311" s="3272" t="s">
        <v>306</v>
      </c>
      <c r="B311" s="3261" t="s">
        <v>2997</v>
      </c>
      <c r="C311" s="3262">
        <v>0.13200000000000001</v>
      </c>
      <c r="D311" s="3262">
        <v>0.13300000000000001</v>
      </c>
      <c r="E311" s="3262">
        <v>0.14499999999999999</v>
      </c>
      <c r="F311" s="3262">
        <v>0.14199999999999999</v>
      </c>
      <c r="G311" s="3263">
        <v>0.14000000000000001</v>
      </c>
    </row>
    <row r="312" spans="1:7">
      <c r="A312" s="3272" t="s">
        <v>306</v>
      </c>
      <c r="B312" s="3261" t="s">
        <v>3002</v>
      </c>
      <c r="C312" s="3262">
        <v>0.13800000000000001</v>
      </c>
      <c r="D312" s="3262">
        <v>0.14000000000000001</v>
      </c>
      <c r="E312" s="3262">
        <v>0.14599999999999999</v>
      </c>
      <c r="F312" s="3262">
        <v>0.14899999999999999</v>
      </c>
      <c r="G312" s="3263">
        <v>0.14199999999999999</v>
      </c>
    </row>
    <row r="313" spans="1:7">
      <c r="A313" s="3272" t="s">
        <v>306</v>
      </c>
      <c r="B313" s="3261" t="s">
        <v>3007</v>
      </c>
      <c r="C313" s="3262">
        <v>0.125</v>
      </c>
      <c r="D313" s="3262">
        <v>0.127</v>
      </c>
      <c r="E313" s="3262">
        <v>0.14399999999999999</v>
      </c>
      <c r="F313" s="3262">
        <v>0.115</v>
      </c>
      <c r="G313" s="3263">
        <v>0.13600000000000001</v>
      </c>
    </row>
    <row r="314" spans="1:7">
      <c r="A314" s="3272" t="s">
        <v>306</v>
      </c>
      <c r="B314" s="3261" t="s">
        <v>3216</v>
      </c>
      <c r="C314" s="3278"/>
      <c r="D314" s="3278"/>
      <c r="E314" s="3278"/>
      <c r="F314" s="3262">
        <v>0.05</v>
      </c>
      <c r="G314" s="3279"/>
    </row>
    <row r="315" spans="1:7">
      <c r="A315" s="3272" t="s">
        <v>306</v>
      </c>
      <c r="B315" s="3261" t="s">
        <v>3217</v>
      </c>
      <c r="C315" s="3278"/>
      <c r="D315" s="3278"/>
      <c r="E315" s="3278"/>
      <c r="F315" s="3262">
        <v>0.05</v>
      </c>
      <c r="G315" s="3279"/>
    </row>
    <row r="316" spans="1:7">
      <c r="A316" s="3272" t="s">
        <v>306</v>
      </c>
      <c r="B316" s="3261" t="s">
        <v>3218</v>
      </c>
      <c r="C316" s="3273"/>
      <c r="D316" s="3273"/>
      <c r="E316" s="3273"/>
      <c r="F316" s="3262">
        <v>0.05</v>
      </c>
      <c r="G316" s="3279"/>
    </row>
    <row r="317" spans="1:7">
      <c r="A317" s="3272" t="s">
        <v>306</v>
      </c>
      <c r="B317" s="3261" t="s">
        <v>3219</v>
      </c>
      <c r="C317" s="3273"/>
      <c r="D317" s="3273"/>
      <c r="E317" s="3273"/>
      <c r="F317" s="3262">
        <v>0.05</v>
      </c>
      <c r="G317" s="3279"/>
    </row>
    <row r="318" spans="1:7">
      <c r="A318" s="3272" t="s">
        <v>306</v>
      </c>
      <c r="B318" s="3261" t="s">
        <v>3220</v>
      </c>
      <c r="C318" s="3273"/>
      <c r="D318" s="3273"/>
      <c r="E318" s="3273"/>
      <c r="F318" s="3262">
        <v>0.05</v>
      </c>
      <c r="G318" s="3279"/>
    </row>
    <row r="319" spans="1:7">
      <c r="A319" s="3272" t="s">
        <v>306</v>
      </c>
      <c r="B319" s="3261" t="s">
        <v>3221</v>
      </c>
      <c r="C319" s="3273"/>
      <c r="D319" s="3273"/>
      <c r="E319" s="3273"/>
      <c r="F319" s="3262">
        <v>0.05</v>
      </c>
      <c r="G319" s="3279"/>
    </row>
    <row r="320" spans="1:7">
      <c r="A320" s="3272" t="s">
        <v>306</v>
      </c>
      <c r="B320" s="3261" t="s">
        <v>3222</v>
      </c>
      <c r="C320" s="3273"/>
      <c r="D320" s="3273"/>
      <c r="E320" s="3273"/>
      <c r="F320" s="3262">
        <v>0.05</v>
      </c>
      <c r="G320" s="3279"/>
    </row>
    <row r="321" spans="1:7">
      <c r="A321" s="3272" t="s">
        <v>306</v>
      </c>
      <c r="B321" s="3261" t="s">
        <v>3223</v>
      </c>
      <c r="C321" s="3273"/>
      <c r="D321" s="3273"/>
      <c r="E321" s="3273"/>
      <c r="F321" s="3262">
        <v>0.05</v>
      </c>
      <c r="G321" s="3279"/>
    </row>
    <row r="322" spans="1:7">
      <c r="A322" s="3272" t="s">
        <v>306</v>
      </c>
      <c r="B322" s="3261" t="s">
        <v>3224</v>
      </c>
      <c r="C322" s="3273"/>
      <c r="D322" s="3273"/>
      <c r="E322" s="3273"/>
      <c r="F322" s="3262">
        <v>0.05</v>
      </c>
      <c r="G322" s="3279"/>
    </row>
    <row r="323" spans="1:7">
      <c r="A323" s="3272" t="s">
        <v>306</v>
      </c>
      <c r="B323" s="3261" t="s">
        <v>3225</v>
      </c>
      <c r="C323" s="3273"/>
      <c r="D323" s="3273"/>
      <c r="E323" s="3273"/>
      <c r="F323" s="3262">
        <v>0.05</v>
      </c>
      <c r="G323" s="3279"/>
    </row>
    <row r="324" spans="1:7">
      <c r="A324" s="3272" t="s">
        <v>306</v>
      </c>
      <c r="B324" s="3261" t="s">
        <v>3226</v>
      </c>
      <c r="C324" s="3273"/>
      <c r="D324" s="3273"/>
      <c r="E324" s="3273"/>
      <c r="F324" s="3262">
        <v>0.05</v>
      </c>
      <c r="G324" s="3279"/>
    </row>
    <row r="325" spans="1:7">
      <c r="A325" s="3272" t="s">
        <v>306</v>
      </c>
      <c r="B325" s="3261" t="s">
        <v>3227</v>
      </c>
      <c r="C325" s="3273"/>
      <c r="D325" s="3273"/>
      <c r="E325" s="3273"/>
      <c r="F325" s="3262">
        <v>0.05</v>
      </c>
      <c r="G325" s="3279"/>
    </row>
    <row r="326" spans="1:7" ht="15" thickBot="1">
      <c r="A326" s="3275" t="s">
        <v>306</v>
      </c>
      <c r="B326" s="3265" t="s">
        <v>3228</v>
      </c>
      <c r="C326" s="3267"/>
      <c r="D326" s="3267"/>
      <c r="E326" s="3267"/>
      <c r="F326" s="3266">
        <v>0.05</v>
      </c>
      <c r="G326" s="3280"/>
    </row>
    <row r="327" spans="1:7">
      <c r="A327" s="3271" t="s">
        <v>307</v>
      </c>
      <c r="B327" s="3257" t="s">
        <v>2860</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2872</v>
      </c>
      <c r="C329" s="3262">
        <v>0.15</v>
      </c>
      <c r="D329" s="3262">
        <v>0.15</v>
      </c>
      <c r="E329" s="3262">
        <v>0.15</v>
      </c>
      <c r="F329" s="3262">
        <v>0.15</v>
      </c>
      <c r="G329" s="3263">
        <v>0.15</v>
      </c>
    </row>
    <row r="330" spans="1:7">
      <c r="A330" s="3272" t="s">
        <v>307</v>
      </c>
      <c r="B330" s="3261" t="s">
        <v>2876</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2884</v>
      </c>
      <c r="C332" s="3262">
        <v>0.15</v>
      </c>
      <c r="D332" s="3262">
        <v>0.15</v>
      </c>
      <c r="E332" s="3262">
        <v>0.15</v>
      </c>
      <c r="F332" s="3262">
        <v>0.15</v>
      </c>
      <c r="G332" s="3263">
        <v>0.15</v>
      </c>
    </row>
    <row r="333" spans="1:7">
      <c r="A333" s="3272" t="s">
        <v>307</v>
      </c>
      <c r="B333" s="3261" t="s">
        <v>2888</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2894</v>
      </c>
      <c r="C336" s="3262">
        <v>0.15</v>
      </c>
      <c r="D336" s="3262">
        <v>0.15</v>
      </c>
      <c r="E336" s="3262">
        <v>0.15</v>
      </c>
      <c r="F336" s="3262">
        <v>0.14199999999999999</v>
      </c>
      <c r="G336" s="3263">
        <v>0.15</v>
      </c>
    </row>
    <row r="337" spans="1:7">
      <c r="A337" s="3272" t="s">
        <v>307</v>
      </c>
      <c r="B337" s="3261" t="s">
        <v>2899</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2906</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2911</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2919</v>
      </c>
      <c r="C345" s="3262">
        <v>0.15</v>
      </c>
      <c r="D345" s="3262">
        <v>0.15</v>
      </c>
      <c r="E345" s="3262">
        <v>0.15</v>
      </c>
      <c r="F345" s="3262">
        <v>0.13800000000000001</v>
      </c>
      <c r="G345" s="3263">
        <v>0.15</v>
      </c>
    </row>
    <row r="346" spans="1:7">
      <c r="A346" s="3272" t="s">
        <v>307</v>
      </c>
      <c r="B346" s="3261" t="s">
        <v>2921</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2928</v>
      </c>
      <c r="C348" s="3262">
        <v>0.15</v>
      </c>
      <c r="D348" s="3262">
        <v>0.15</v>
      </c>
      <c r="E348" s="3262">
        <v>0.15</v>
      </c>
      <c r="F348" s="3262">
        <v>0.14399999999999999</v>
      </c>
      <c r="G348" s="3263">
        <v>0.15</v>
      </c>
    </row>
    <row r="349" spans="1:7">
      <c r="A349" s="3272" t="s">
        <v>307</v>
      </c>
      <c r="B349" s="3261" t="s">
        <v>2933</v>
      </c>
      <c r="C349" s="3262">
        <v>0.15</v>
      </c>
      <c r="D349" s="3262">
        <v>0.15</v>
      </c>
      <c r="E349" s="3262">
        <v>0.15</v>
      </c>
      <c r="F349" s="3262">
        <v>0.15</v>
      </c>
      <c r="G349" s="3263">
        <v>0.15</v>
      </c>
    </row>
    <row r="350" spans="1:7">
      <c r="A350" s="3272" t="s">
        <v>307</v>
      </c>
      <c r="B350" s="3261" t="s">
        <v>2936</v>
      </c>
      <c r="C350" s="3262">
        <v>0.15</v>
      </c>
      <c r="D350" s="3262">
        <v>0.15</v>
      </c>
      <c r="E350" s="3262">
        <v>0.15</v>
      </c>
      <c r="F350" s="3262">
        <v>0.14699999999999999</v>
      </c>
      <c r="G350" s="3263">
        <v>0.15</v>
      </c>
    </row>
    <row r="351" spans="1:7">
      <c r="A351" s="3272" t="s">
        <v>307</v>
      </c>
      <c r="B351" s="3261" t="s">
        <v>2941</v>
      </c>
      <c r="C351" s="3262">
        <v>0.15</v>
      </c>
      <c r="D351" s="3262">
        <v>0.15</v>
      </c>
      <c r="E351" s="3262">
        <v>0.15</v>
      </c>
      <c r="F351" s="3262">
        <v>0.13</v>
      </c>
      <c r="G351" s="3263">
        <v>0.15</v>
      </c>
    </row>
    <row r="352" spans="1:7">
      <c r="A352" s="3272" t="s">
        <v>307</v>
      </c>
      <c r="B352" s="3261" t="s">
        <v>2946</v>
      </c>
      <c r="C352" s="3262">
        <v>0.15</v>
      </c>
      <c r="D352" s="3262">
        <v>0.15</v>
      </c>
      <c r="E352" s="3262">
        <v>0.15</v>
      </c>
      <c r="F352" s="3262">
        <v>0.14599999999999999</v>
      </c>
      <c r="G352" s="3263">
        <v>0.15</v>
      </c>
    </row>
    <row r="353" spans="1:7">
      <c r="A353" s="3272" t="s">
        <v>307</v>
      </c>
      <c r="B353" s="3261" t="s">
        <v>2953</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2966</v>
      </c>
      <c r="C355" s="3262">
        <v>0.15</v>
      </c>
      <c r="D355" s="3262">
        <v>0.15</v>
      </c>
      <c r="E355" s="3262">
        <v>0.15</v>
      </c>
      <c r="F355" s="3262">
        <v>0.15</v>
      </c>
      <c r="G355" s="3263">
        <v>0.15</v>
      </c>
    </row>
    <row r="356" spans="1:7">
      <c r="A356" s="3272" t="s">
        <v>307</v>
      </c>
      <c r="B356" s="3261" t="s">
        <v>2973</v>
      </c>
      <c r="C356" s="3262">
        <v>0.15</v>
      </c>
      <c r="D356" s="3262">
        <v>0.15</v>
      </c>
      <c r="E356" s="3262">
        <v>0.15</v>
      </c>
      <c r="F356" s="3262">
        <v>0.15</v>
      </c>
      <c r="G356" s="3263">
        <v>0.15</v>
      </c>
    </row>
    <row r="357" spans="1:7" ht="15" thickBot="1">
      <c r="A357" s="3275" t="s">
        <v>307</v>
      </c>
      <c r="B357" s="3265" t="s">
        <v>2978</v>
      </c>
      <c r="C357" s="3266">
        <v>0.126</v>
      </c>
      <c r="D357" s="3266">
        <v>0.127</v>
      </c>
      <c r="E357" s="3266">
        <v>0.14299999999999999</v>
      </c>
      <c r="F357" s="3266">
        <v>0.125</v>
      </c>
      <c r="G357" s="3268">
        <v>0.129</v>
      </c>
    </row>
    <row r="358" spans="1:7">
      <c r="A358" s="3271" t="s">
        <v>2847</v>
      </c>
      <c r="B358" s="3257" t="s">
        <v>2861</v>
      </c>
      <c r="C358" s="3258">
        <v>0.15</v>
      </c>
      <c r="D358" s="3258">
        <v>0.15</v>
      </c>
      <c r="E358" s="3258">
        <v>0.15</v>
      </c>
      <c r="F358" s="3258">
        <v>0.15</v>
      </c>
      <c r="G358" s="3259">
        <v>0.15</v>
      </c>
    </row>
    <row r="359" spans="1:7">
      <c r="A359" s="3272" t="s">
        <v>2847</v>
      </c>
      <c r="B359" s="3261" t="s">
        <v>2867</v>
      </c>
      <c r="C359" s="3262">
        <v>0.1</v>
      </c>
      <c r="D359" s="3262">
        <v>0.1</v>
      </c>
      <c r="E359" s="3262">
        <v>0.1</v>
      </c>
      <c r="F359" s="3262">
        <v>0.1</v>
      </c>
      <c r="G359" s="3263">
        <v>0.1</v>
      </c>
    </row>
    <row r="360" spans="1:7">
      <c r="A360" s="3272" t="s">
        <v>2847</v>
      </c>
      <c r="B360" s="3261" t="s">
        <v>2873</v>
      </c>
      <c r="C360" s="3262">
        <v>0.15</v>
      </c>
      <c r="D360" s="3262">
        <v>0.15</v>
      </c>
      <c r="E360" s="3262">
        <v>0.15</v>
      </c>
      <c r="F360" s="3262">
        <v>0.14899999999999999</v>
      </c>
      <c r="G360" s="3263">
        <v>0.15</v>
      </c>
    </row>
    <row r="361" spans="1:7">
      <c r="A361" s="3272" t="s">
        <v>2847</v>
      </c>
      <c r="B361" s="3261" t="s">
        <v>153</v>
      </c>
      <c r="C361" s="3262">
        <v>0.15</v>
      </c>
      <c r="D361" s="3262">
        <v>0.15</v>
      </c>
      <c r="E361" s="3262">
        <v>0.15</v>
      </c>
      <c r="F361" s="3262">
        <v>0.115</v>
      </c>
      <c r="G361" s="3263">
        <v>0.15</v>
      </c>
    </row>
    <row r="362" spans="1:7">
      <c r="A362" s="3272" t="s">
        <v>2847</v>
      </c>
      <c r="B362" s="3261" t="s">
        <v>2880</v>
      </c>
      <c r="C362" s="3262">
        <v>0.15</v>
      </c>
      <c r="D362" s="3262">
        <v>0.15</v>
      </c>
      <c r="E362" s="3262">
        <v>0.15</v>
      </c>
      <c r="F362" s="3262">
        <v>0.106</v>
      </c>
      <c r="G362" s="3263">
        <v>0.15</v>
      </c>
    </row>
    <row r="363" spans="1:7">
      <c r="A363" s="3272" t="s">
        <v>2847</v>
      </c>
      <c r="B363" s="3261" t="s">
        <v>2885</v>
      </c>
      <c r="C363" s="3262">
        <v>0.15</v>
      </c>
      <c r="D363" s="3262">
        <v>0.15</v>
      </c>
      <c r="E363" s="3262">
        <v>0.15</v>
      </c>
      <c r="F363" s="3262">
        <v>0.14699999999999999</v>
      </c>
      <c r="G363" s="3263">
        <v>0.15</v>
      </c>
    </row>
    <row r="364" spans="1:7">
      <c r="A364" s="3272" t="s">
        <v>2847</v>
      </c>
      <c r="B364" s="3261" t="s">
        <v>2889</v>
      </c>
      <c r="C364" s="3262">
        <v>0.15</v>
      </c>
      <c r="D364" s="3262">
        <v>0.15</v>
      </c>
      <c r="E364" s="3262">
        <v>0.15</v>
      </c>
      <c r="F364" s="3262">
        <v>0.14799999999999999</v>
      </c>
      <c r="G364" s="3263">
        <v>0.15</v>
      </c>
    </row>
    <row r="365" spans="1:7">
      <c r="A365" s="3272" t="s">
        <v>2847</v>
      </c>
      <c r="B365" s="3261" t="s">
        <v>200</v>
      </c>
      <c r="C365" s="3262">
        <v>0.15</v>
      </c>
      <c r="D365" s="3262">
        <v>0.15</v>
      </c>
      <c r="E365" s="3262">
        <v>0.15</v>
      </c>
      <c r="F365" s="3262">
        <v>0.15</v>
      </c>
      <c r="G365" s="3263">
        <v>0.15</v>
      </c>
    </row>
    <row r="366" spans="1:7">
      <c r="A366" s="3272" t="s">
        <v>2847</v>
      </c>
      <c r="B366" s="3261" t="s">
        <v>2892</v>
      </c>
      <c r="C366" s="3262">
        <v>0.15</v>
      </c>
      <c r="D366" s="3262">
        <v>0.15</v>
      </c>
      <c r="E366" s="3262">
        <v>0.15</v>
      </c>
      <c r="F366" s="3262">
        <v>0.15</v>
      </c>
      <c r="G366" s="3263">
        <v>0.15</v>
      </c>
    </row>
    <row r="367" spans="1:7">
      <c r="A367" s="3272" t="s">
        <v>2847</v>
      </c>
      <c r="B367" s="3261" t="s">
        <v>2895</v>
      </c>
      <c r="C367" s="3262">
        <v>0.15</v>
      </c>
      <c r="D367" s="3262">
        <v>0.15</v>
      </c>
      <c r="E367" s="3262">
        <v>0.15</v>
      </c>
      <c r="F367" s="3262">
        <v>0.14699999999999999</v>
      </c>
      <c r="G367" s="3263">
        <v>0.15</v>
      </c>
    </row>
    <row r="368" spans="1:7">
      <c r="A368" s="3272" t="s">
        <v>2847</v>
      </c>
      <c r="B368" s="3261" t="s">
        <v>2900</v>
      </c>
      <c r="C368" s="3262">
        <v>0.15</v>
      </c>
      <c r="D368" s="3262">
        <v>0.15</v>
      </c>
      <c r="E368" s="3262">
        <v>0.15</v>
      </c>
      <c r="F368" s="3262">
        <v>0.13600000000000001</v>
      </c>
      <c r="G368" s="3263">
        <v>0.15</v>
      </c>
    </row>
    <row r="369" spans="1:7">
      <c r="A369" s="3272" t="s">
        <v>2847</v>
      </c>
      <c r="B369" s="3261" t="s">
        <v>214</v>
      </c>
      <c r="C369" s="3262">
        <v>0.15</v>
      </c>
      <c r="D369" s="3262">
        <v>0.15</v>
      </c>
      <c r="E369" s="3262">
        <v>0.15</v>
      </c>
      <c r="F369" s="3262">
        <v>0.14399999999999999</v>
      </c>
      <c r="G369" s="3263">
        <v>0.15</v>
      </c>
    </row>
    <row r="370" spans="1:7">
      <c r="A370" s="3272" t="s">
        <v>2847</v>
      </c>
      <c r="B370" s="3261" t="s">
        <v>221</v>
      </c>
      <c r="C370" s="3262">
        <v>0.15</v>
      </c>
      <c r="D370" s="3262">
        <v>0.15</v>
      </c>
      <c r="E370" s="3262">
        <v>0.15</v>
      </c>
      <c r="F370" s="3262">
        <v>0.14599999999999999</v>
      </c>
      <c r="G370" s="3263">
        <v>0.15</v>
      </c>
    </row>
    <row r="371" spans="1:7">
      <c r="A371" s="3272" t="s">
        <v>2847</v>
      </c>
      <c r="B371" s="3261" t="s">
        <v>229</v>
      </c>
      <c r="C371" s="3262">
        <v>0.15</v>
      </c>
      <c r="D371" s="3262">
        <v>0.15</v>
      </c>
      <c r="E371" s="3262">
        <v>0.15</v>
      </c>
      <c r="F371" s="3262">
        <v>0.12</v>
      </c>
      <c r="G371" s="3263">
        <v>0.15</v>
      </c>
    </row>
    <row r="372" spans="1:7">
      <c r="A372" s="3272" t="s">
        <v>2847</v>
      </c>
      <c r="B372" s="3261" t="s">
        <v>2908</v>
      </c>
      <c r="C372" s="3262">
        <v>0.15</v>
      </c>
      <c r="D372" s="3262">
        <v>0.15</v>
      </c>
      <c r="E372" s="3262">
        <v>0.15</v>
      </c>
      <c r="F372" s="3262">
        <v>0.14299999999999999</v>
      </c>
      <c r="G372" s="3263">
        <v>0.15</v>
      </c>
    </row>
    <row r="373" spans="1:7">
      <c r="A373" s="3272" t="s">
        <v>2847</v>
      </c>
      <c r="B373" s="3261" t="s">
        <v>258</v>
      </c>
      <c r="C373" s="3262">
        <v>0.15</v>
      </c>
      <c r="D373" s="3262">
        <v>0.15</v>
      </c>
      <c r="E373" s="3262">
        <v>0.15</v>
      </c>
      <c r="F373" s="3262">
        <v>0.14599999999999999</v>
      </c>
      <c r="G373" s="3263">
        <v>0.15</v>
      </c>
    </row>
    <row r="374" spans="1:7">
      <c r="A374" s="3272" t="s">
        <v>2847</v>
      </c>
      <c r="B374" s="3261" t="s">
        <v>266</v>
      </c>
      <c r="C374" s="3262">
        <v>0.15</v>
      </c>
      <c r="D374" s="3262">
        <v>0.15</v>
      </c>
      <c r="E374" s="3262">
        <v>0.15</v>
      </c>
      <c r="F374" s="3262">
        <v>0.14399999999999999</v>
      </c>
      <c r="G374" s="3263">
        <v>0.15</v>
      </c>
    </row>
    <row r="375" spans="1:7">
      <c r="A375" s="3272" t="s">
        <v>2847</v>
      </c>
      <c r="B375" s="3261" t="s">
        <v>2916</v>
      </c>
      <c r="C375" s="3262">
        <v>0.15</v>
      </c>
      <c r="D375" s="3262">
        <v>0.15</v>
      </c>
      <c r="E375" s="3262">
        <v>0.15</v>
      </c>
      <c r="F375" s="3262">
        <v>0.13</v>
      </c>
      <c r="G375" s="3263">
        <v>0.15</v>
      </c>
    </row>
    <row r="376" spans="1:7">
      <c r="A376" s="3272" t="s">
        <v>2847</v>
      </c>
      <c r="B376" s="3261" t="s">
        <v>277</v>
      </c>
      <c r="C376" s="3262">
        <v>0.15</v>
      </c>
      <c r="D376" s="3262">
        <v>0.15</v>
      </c>
      <c r="E376" s="3262">
        <v>0.15</v>
      </c>
      <c r="F376" s="3262">
        <v>0.14199999999999999</v>
      </c>
      <c r="G376" s="3263">
        <v>0.15</v>
      </c>
    </row>
    <row r="377" spans="1:7" ht="15" thickBot="1">
      <c r="A377" s="3275" t="s">
        <v>2847</v>
      </c>
      <c r="B377" s="3265" t="s">
        <v>2922</v>
      </c>
      <c r="C377" s="3266">
        <v>0.15</v>
      </c>
      <c r="D377" s="3266">
        <v>0.15</v>
      </c>
      <c r="E377" s="3266">
        <v>0.15</v>
      </c>
      <c r="F377" s="3266">
        <v>0.14000000000000001</v>
      </c>
      <c r="G377" s="3268">
        <v>0.15</v>
      </c>
    </row>
    <row r="378" spans="1:7">
      <c r="A378" s="3271" t="s">
        <v>2848</v>
      </c>
      <c r="B378" s="3257" t="s">
        <v>2862</v>
      </c>
      <c r="C378" s="3258">
        <v>0.15</v>
      </c>
      <c r="D378" s="3258">
        <v>0.15</v>
      </c>
      <c r="E378" s="3258">
        <v>0.15</v>
      </c>
      <c r="F378" s="3258">
        <v>0.107</v>
      </c>
      <c r="G378" s="3259">
        <v>0.15</v>
      </c>
    </row>
    <row r="379" spans="1:7">
      <c r="A379" s="3272" t="s">
        <v>2848</v>
      </c>
      <c r="B379" s="3261" t="s">
        <v>2868</v>
      </c>
      <c r="C379" s="3262">
        <v>0.15</v>
      </c>
      <c r="D379" s="3262">
        <v>0.15</v>
      </c>
      <c r="E379" s="3262">
        <v>0.15</v>
      </c>
      <c r="F379" s="3262">
        <v>0.115</v>
      </c>
      <c r="G379" s="3263">
        <v>0.14899999999999999</v>
      </c>
    </row>
    <row r="380" spans="1:7">
      <c r="A380" s="3272" t="s">
        <v>2848</v>
      </c>
      <c r="B380" s="3261" t="s">
        <v>2874</v>
      </c>
      <c r="C380" s="3262">
        <v>0.15</v>
      </c>
      <c r="D380" s="3262">
        <v>0.15</v>
      </c>
      <c r="E380" s="3262">
        <v>0.15</v>
      </c>
      <c r="F380" s="3262">
        <v>0.1</v>
      </c>
      <c r="G380" s="3263">
        <v>0.14799999999999999</v>
      </c>
    </row>
    <row r="381" spans="1:7">
      <c r="A381" s="3272" t="s">
        <v>2848</v>
      </c>
      <c r="B381" s="3261" t="s">
        <v>2877</v>
      </c>
      <c r="C381" s="3262">
        <v>0.15</v>
      </c>
      <c r="D381" s="3262">
        <v>0.15</v>
      </c>
      <c r="E381" s="3262">
        <v>0.15</v>
      </c>
      <c r="F381" s="3262">
        <v>0.126</v>
      </c>
      <c r="G381" s="3263">
        <v>0.15</v>
      </c>
    </row>
    <row r="382" spans="1:7">
      <c r="A382" s="3272" t="s">
        <v>2848</v>
      </c>
      <c r="B382" s="3261" t="s">
        <v>2881</v>
      </c>
      <c r="C382" s="3262">
        <v>0.15</v>
      </c>
      <c r="D382" s="3262">
        <v>0.15</v>
      </c>
      <c r="E382" s="3262">
        <v>0.15</v>
      </c>
      <c r="F382" s="3262">
        <v>0.15</v>
      </c>
      <c r="G382" s="3263">
        <v>0.15</v>
      </c>
    </row>
    <row r="383" spans="1:7">
      <c r="A383" s="3272" t="s">
        <v>2848</v>
      </c>
      <c r="B383" s="3261" t="s">
        <v>2886</v>
      </c>
      <c r="C383" s="3262">
        <v>0.15</v>
      </c>
      <c r="D383" s="3262">
        <v>0.15</v>
      </c>
      <c r="E383" s="3262">
        <v>0.15</v>
      </c>
      <c r="F383" s="3262">
        <v>0.14699999999999999</v>
      </c>
      <c r="G383" s="3263">
        <v>0.15</v>
      </c>
    </row>
    <row r="384" spans="1:7" ht="15" thickBot="1">
      <c r="A384" s="3282" t="s">
        <v>2848</v>
      </c>
      <c r="B384" s="3283" t="s">
        <v>2890</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7"/>
  </cols>
  <sheetData>
    <row r="1" spans="1:6">
      <c r="A1" s="3801" t="s">
        <v>3229</v>
      </c>
      <c r="B1" s="3801"/>
      <c r="C1" s="3801"/>
      <c r="D1" s="3801"/>
      <c r="E1" s="3801"/>
      <c r="F1" s="3802"/>
    </row>
    <row r="2" spans="1:6">
      <c r="A2" s="3288" t="s">
        <v>3230</v>
      </c>
      <c r="B2" s="3289"/>
      <c r="C2" s="3289"/>
      <c r="D2" s="3289"/>
      <c r="E2" s="3289"/>
      <c r="F2" s="3289"/>
    </row>
    <row r="3" spans="1:6">
      <c r="A3" s="3288" t="s">
        <v>3231</v>
      </c>
      <c r="B3" s="3289"/>
      <c r="C3" s="3289"/>
      <c r="D3" s="3289"/>
      <c r="E3" s="3289"/>
      <c r="F3" s="3290" t="s">
        <v>3232</v>
      </c>
    </row>
    <row r="4" spans="1:6">
      <c r="A4" s="3291" t="s">
        <v>672</v>
      </c>
      <c r="B4" s="3291" t="s">
        <v>673</v>
      </c>
      <c r="C4" s="3291" t="s">
        <v>21</v>
      </c>
      <c r="D4" s="3291" t="s">
        <v>674</v>
      </c>
      <c r="E4" s="3291" t="s">
        <v>3</v>
      </c>
      <c r="F4" s="3291" t="s">
        <v>3233</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G8" sqref="G8:G9"/>
    </sheetView>
  </sheetViews>
  <sheetFormatPr defaultRowHeight="14.4"/>
  <cols>
    <col min="1" max="1" width="13.88671875" customWidth="1"/>
    <col min="11" max="17" width="0" hidden="1" customWidth="1"/>
    <col min="25" max="30" width="0" hidden="1" customWidth="1"/>
  </cols>
  <sheetData>
    <row r="1" spans="1:30">
      <c r="A1" s="3218">
        <f>基准地价修正!G23</f>
        <v>45622</v>
      </c>
      <c r="B1" s="3207" t="s">
        <v>3379</v>
      </c>
      <c r="C1" s="3208"/>
      <c r="D1" s="3208"/>
      <c r="E1" s="3208"/>
      <c r="F1" s="3208"/>
      <c r="G1" s="3208"/>
      <c r="H1" s="3208"/>
      <c r="I1" s="3208"/>
      <c r="J1" s="3162"/>
      <c r="K1" s="3208" t="s">
        <v>454</v>
      </c>
      <c r="L1" s="3208"/>
      <c r="M1" s="3208"/>
      <c r="N1" s="3208"/>
      <c r="O1" s="3208"/>
      <c r="P1" s="3208"/>
      <c r="Q1" s="3162"/>
      <c r="R1" s="3803" t="s">
        <v>456</v>
      </c>
      <c r="S1" s="3804"/>
      <c r="T1" s="3804"/>
      <c r="U1" s="3804"/>
      <c r="V1" s="3804"/>
      <c r="W1" s="3804"/>
      <c r="X1" s="3162"/>
      <c r="Y1" s="3803" t="s">
        <v>457</v>
      </c>
      <c r="Z1" s="3804"/>
      <c r="AA1" s="3804"/>
      <c r="AB1" s="3804"/>
      <c r="AC1" s="3804"/>
      <c r="AD1" s="3804"/>
    </row>
    <row r="2" spans="1:30" s="3140" customFormat="1" ht="15" thickBot="1">
      <c r="B2" s="3141"/>
      <c r="C2" s="3142"/>
      <c r="D2" s="3143" t="s">
        <v>2807</v>
      </c>
      <c r="E2" s="3144" t="s">
        <v>2808</v>
      </c>
      <c r="F2" s="3144" t="s">
        <v>2809</v>
      </c>
      <c r="G2" s="3144" t="s">
        <v>2810</v>
      </c>
      <c r="H2" s="3144" t="s">
        <v>2811</v>
      </c>
      <c r="I2" s="3144" t="s">
        <v>2628</v>
      </c>
      <c r="J2" s="3145"/>
      <c r="K2" s="3143" t="s">
        <v>2807</v>
      </c>
      <c r="L2" s="3144" t="s">
        <v>2808</v>
      </c>
      <c r="M2" s="3144" t="s">
        <v>2809</v>
      </c>
      <c r="N2" s="3144" t="s">
        <v>2810</v>
      </c>
      <c r="O2" s="3144" t="s">
        <v>2812</v>
      </c>
      <c r="P2" s="3144" t="s">
        <v>2628</v>
      </c>
      <c r="Q2" s="3145"/>
      <c r="R2" s="3143" t="s">
        <v>2807</v>
      </c>
      <c r="S2" s="3144" t="s">
        <v>2808</v>
      </c>
      <c r="T2" s="3144" t="s">
        <v>2809</v>
      </c>
      <c r="U2" s="3144" t="s">
        <v>2813</v>
      </c>
      <c r="V2" s="3144" t="s">
        <v>2814</v>
      </c>
      <c r="W2" s="3144" t="s">
        <v>2628</v>
      </c>
      <c r="X2" s="3145"/>
      <c r="Y2" s="3143" t="s">
        <v>2807</v>
      </c>
      <c r="Z2" s="3144" t="s">
        <v>2808</v>
      </c>
      <c r="AA2" s="3144" t="s">
        <v>2809</v>
      </c>
      <c r="AB2" s="3144" t="s">
        <v>2815</v>
      </c>
      <c r="AC2" s="3144" t="s">
        <v>2814</v>
      </c>
      <c r="AD2" s="3144" t="s">
        <v>2628</v>
      </c>
    </row>
    <row r="3" spans="1:30" s="3158" customFormat="1" ht="13.2">
      <c r="A3" s="3146" t="s">
        <v>2816</v>
      </c>
      <c r="B3" s="3147"/>
      <c r="C3" s="3148"/>
      <c r="D3" s="3148">
        <f>ROUND(AVERAGEIF(D4:D21,"&lt;&gt;0"),2)</f>
        <v>0.47</v>
      </c>
      <c r="E3" s="3148">
        <f t="shared" ref="E3:H3" si="0">ROUND(AVERAGEIF(E4:E21,"&lt;&gt;0"),2)</f>
        <v>0.3</v>
      </c>
      <c r="F3" s="3148">
        <f t="shared" si="0"/>
        <v>0.04</v>
      </c>
      <c r="G3" s="3148">
        <f t="shared" si="0"/>
        <v>0.51</v>
      </c>
      <c r="H3" s="3148">
        <f t="shared" si="0"/>
        <v>0.55000000000000004</v>
      </c>
      <c r="I3" s="3148">
        <f>F3</f>
        <v>0.04</v>
      </c>
      <c r="J3" s="3149"/>
      <c r="K3" s="3150">
        <f>ROUND(AVERAGEIF(K4:K21,"&lt;&gt;0"),4)</f>
        <v>4.7000000000000002E-3</v>
      </c>
      <c r="L3" s="3151">
        <f t="shared" ref="L3:O3" si="1">ROUND(AVERAGEIF(L4:L21,"&lt;&gt;0"),4)</f>
        <v>3.0000000000000001E-3</v>
      </c>
      <c r="M3" s="3151">
        <f t="shared" si="1"/>
        <v>4.0000000000000002E-4</v>
      </c>
      <c r="N3" s="3151">
        <f t="shared" si="1"/>
        <v>5.1000000000000004E-3</v>
      </c>
      <c r="O3" s="3151">
        <f t="shared" si="1"/>
        <v>5.4999999999999997E-3</v>
      </c>
      <c r="P3" s="3151">
        <f>M3</f>
        <v>4.0000000000000002E-4</v>
      </c>
      <c r="Q3" s="3149"/>
      <c r="R3" s="3152">
        <f>ROUND(SUMPRODUCT(PRODUCT(1+K4:K21)),4)</f>
        <v>1.0723</v>
      </c>
      <c r="S3" s="3153">
        <f t="shared" ref="S3:V3" si="2">ROUND(SUMPRODUCT(PRODUCT(1+L4:L21)),4)</f>
        <v>1.0465</v>
      </c>
      <c r="T3" s="3153">
        <f t="shared" si="2"/>
        <v>1.0054000000000001</v>
      </c>
      <c r="U3" s="3153">
        <f t="shared" si="2"/>
        <v>1.0790999999999999</v>
      </c>
      <c r="V3" s="3153">
        <f t="shared" si="2"/>
        <v>1.0857000000000001</v>
      </c>
      <c r="W3" s="3152">
        <f>T3</f>
        <v>1.0054000000000001</v>
      </c>
      <c r="X3" s="3149"/>
      <c r="Y3" s="3154">
        <f>ROUND(AVERAGEIF(Y8:Y21,"&lt;&gt;0"),4)</f>
        <v>8.3999999999999995E-3</v>
      </c>
      <c r="Z3" s="3155">
        <f t="shared" ref="Z3:AC3" si="3">ROUND(AVERAGEIF(Z8:Z21,"&lt;&gt;0"),4)</f>
        <v>3.5000000000000001E-3</v>
      </c>
      <c r="AA3" s="3156">
        <f t="shared" si="3"/>
        <v>8.0000000000000004E-4</v>
      </c>
      <c r="AB3" s="3154">
        <f t="shared" si="3"/>
        <v>9.1000000000000004E-3</v>
      </c>
      <c r="AC3" s="3157">
        <f t="shared" si="3"/>
        <v>6.1000000000000004E-3</v>
      </c>
      <c r="AD3" s="3154">
        <f>AA3</f>
        <v>8.0000000000000004E-4</v>
      </c>
    </row>
    <row r="4" spans="1:30" s="3159" customFormat="1" ht="13.2">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3.2">
      <c r="A5" s="2204" t="s">
        <v>3375</v>
      </c>
      <c r="B5" s="3174">
        <v>2025</v>
      </c>
      <c r="C5" s="3175">
        <v>1</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ROUND(IF(项目基本情况!$B$8="出让",SUMPRODUCT(PRODUCT(1+K5:$K$21)),SUMPRODUCT(PRODUCT(1+K5:$K$20))),4)</f>
        <v>1.0620000000000001</v>
      </c>
      <c r="S5" s="3180">
        <f>ROUND(IF(项目基本情况!$B$8="出让",SUMPRODUCT(PRODUCT(1+L5:$L$21)),SUMPRODUCT(PRODUCT(1+L5:$L$20))),4)</f>
        <v>1.0448</v>
      </c>
      <c r="T5" s="3180">
        <f>ROUND(IF(项目基本情况!$B$8="出让",SUMPRODUCT(PRODUCT(1+M5:$M$21)),SUMPRODUCT(PRODUCT(1+M5:$M$20))),4)</f>
        <v>1.0079</v>
      </c>
      <c r="U5" s="3180">
        <f>ROUND(IF(项目基本情况!$B$8="出让",SUMPRODUCT(PRODUCT(1+N5:$N$21)),SUMPRODUCT(PRODUCT(1+N5:$N$20))),4)</f>
        <v>1.0672999999999999</v>
      </c>
      <c r="V5" s="3180">
        <f>ROUND(IF(项目基本情况!$B$8="出让",SUMPRODUCT(PRODUCT(1+O5:$O$21)),SUMPRODUCT(PRODUCT(1+O5:$O$20))),4)</f>
        <v>1.0818000000000001</v>
      </c>
      <c r="W5" s="3180">
        <f>T5</f>
        <v>1.0079</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3.2">
      <c r="A6" s="3183" t="s">
        <v>3384</v>
      </c>
      <c r="B6" s="3184">
        <v>2024</v>
      </c>
      <c r="C6" s="3185">
        <v>4</v>
      </c>
      <c r="D6" s="3186">
        <v>0</v>
      </c>
      <c r="E6" s="3186">
        <v>0</v>
      </c>
      <c r="F6" s="3186">
        <v>0</v>
      </c>
      <c r="G6" s="3186">
        <v>0</v>
      </c>
      <c r="H6" s="3187">
        <v>0</v>
      </c>
      <c r="I6" s="3188">
        <f t="shared" ref="I6" si="15">F6</f>
        <v>0</v>
      </c>
      <c r="J6" s="3189"/>
      <c r="K6" s="3190">
        <f t="shared" ref="K6" si="16">D6/100</f>
        <v>0</v>
      </c>
      <c r="L6" s="3191">
        <f t="shared" ref="L6" si="17">E6/100</f>
        <v>0</v>
      </c>
      <c r="M6" s="3191">
        <f t="shared" ref="M6" si="18">F6/100</f>
        <v>0</v>
      </c>
      <c r="N6" s="3191">
        <f t="shared" ref="N6" si="19">G6/100</f>
        <v>0</v>
      </c>
      <c r="O6" s="3191">
        <f t="shared" ref="O6" si="20">H6/100</f>
        <v>0</v>
      </c>
      <c r="P6" s="3191">
        <f>M6</f>
        <v>0</v>
      </c>
      <c r="Q6" s="3189"/>
      <c r="R6" s="3189">
        <f>ROUND(IF(项目基本情况!$B$8="出让",SUMPRODUCT(PRODUCT(1+K6:$K$21)),SUMPRODUCT(PRODUCT(1+K6:$K$20))),4)</f>
        <v>1.0620000000000001</v>
      </c>
      <c r="S6" s="3189">
        <f>ROUND(IF(项目基本情况!$B$8="出让",SUMPRODUCT(PRODUCT(1+L6:$L$21)),SUMPRODUCT(PRODUCT(1+L6:$L$20))),4)</f>
        <v>1.0448</v>
      </c>
      <c r="T6" s="3189">
        <f>ROUND(IF(项目基本情况!$B$8="出让",SUMPRODUCT(PRODUCT(1+M6:$M$21)),SUMPRODUCT(PRODUCT(1+M6:$M$20))),4)</f>
        <v>1.0079</v>
      </c>
      <c r="U6" s="3189">
        <f>ROUND(IF(项目基本情况!$B$8="出让",SUMPRODUCT(PRODUCT(1+N6:$N$21)),SUMPRODUCT(PRODUCT(1+N6:$N$20))),4)</f>
        <v>1.0672999999999999</v>
      </c>
      <c r="V6" s="3189">
        <f>ROUND(IF(项目基本情况!$B$8="出让",SUMPRODUCT(PRODUCT(1+O6:$O$21)),SUMPRODUCT(PRODUCT(1+O6:$O$20))),4)</f>
        <v>1.0818000000000001</v>
      </c>
      <c r="W6" s="3189">
        <f>T6</f>
        <v>1.0079</v>
      </c>
      <c r="X6" s="3189"/>
      <c r="Y6" s="3191">
        <f>IF(D6=0,0,ROUND(AVERAGE(D6:D19)/100,4))</f>
        <v>0</v>
      </c>
      <c r="Z6" s="3191">
        <f t="shared" ref="Z6" si="21">IF(E6=0,0,ROUND(AVERAGE(E6:E19)/100,4))</f>
        <v>0</v>
      </c>
      <c r="AA6" s="3191">
        <f t="shared" ref="AA6" si="22">IF(F6=0,0,ROUND(AVERAGE(F6:F19)/100,4))</f>
        <v>0</v>
      </c>
      <c r="AB6" s="3191">
        <f t="shared" ref="AB6" si="23">IF(G6=0,0,ROUND(AVERAGE(G6:G19)/100,4))</f>
        <v>0</v>
      </c>
      <c r="AC6" s="3191">
        <f t="shared" ref="AC6" si="24">IF(H6=0,0,ROUND(AVERAGE(H6:H19)/100,4))</f>
        <v>0</v>
      </c>
      <c r="AD6" s="3191">
        <f t="shared" ref="AD6" si="25">AA6</f>
        <v>0</v>
      </c>
    </row>
    <row r="7" spans="1:30" s="3182" customFormat="1" ht="13.2">
      <c r="A7" s="2204" t="s">
        <v>3383</v>
      </c>
      <c r="B7" s="3174">
        <v>2024</v>
      </c>
      <c r="C7" s="3175">
        <v>3</v>
      </c>
      <c r="D7" s="3176">
        <v>-1.19</v>
      </c>
      <c r="E7" s="3176">
        <v>-0.47</v>
      </c>
      <c r="F7" s="3176">
        <v>-0.28999999999999998</v>
      </c>
      <c r="G7" s="3176">
        <v>-0.74</v>
      </c>
      <c r="H7" s="3176">
        <v>-0.21</v>
      </c>
      <c r="I7" s="3177">
        <f t="shared" ref="I7" si="26">F7</f>
        <v>-0.28999999999999998</v>
      </c>
      <c r="J7" s="3178"/>
      <c r="K7" s="3179">
        <f t="shared" ref="K7" si="27">D7/100</f>
        <v>-1.1899999999999999E-2</v>
      </c>
      <c r="L7" s="3169">
        <f t="shared" ref="L7" si="28">E7/100</f>
        <v>-4.6999999999999993E-3</v>
      </c>
      <c r="M7" s="3169">
        <f t="shared" ref="M7" si="29">F7/100</f>
        <v>-2.8999999999999998E-3</v>
      </c>
      <c r="N7" s="3169">
        <f t="shared" ref="N7" si="30">G7/100</f>
        <v>-7.4000000000000003E-3</v>
      </c>
      <c r="O7" s="3169">
        <f t="shared" ref="O7" si="31">H7/100</f>
        <v>-2.0999999999999999E-3</v>
      </c>
      <c r="P7" s="3169">
        <f>M7</f>
        <v>-2.8999999999999998E-3</v>
      </c>
      <c r="Q7" s="3178"/>
      <c r="R7" s="3180">
        <f>ROUND(IF(项目基本情况!$B$8="出让",SUMPRODUCT(PRODUCT(1+K7:$K$21)),SUMPRODUCT(PRODUCT(1+K7:$K$20))),4)</f>
        <v>1.0620000000000001</v>
      </c>
      <c r="S7" s="3180">
        <f>ROUND(IF(项目基本情况!$B$8="出让",SUMPRODUCT(PRODUCT(1+L7:$L$21)),SUMPRODUCT(PRODUCT(1+L7:$L$20))),4)</f>
        <v>1.0448</v>
      </c>
      <c r="T7" s="3180">
        <f>ROUND(IF(项目基本情况!$B$8="出让",SUMPRODUCT(PRODUCT(1+M7:$M$21)),SUMPRODUCT(PRODUCT(1+M7:$M$20))),4)</f>
        <v>1.0079</v>
      </c>
      <c r="U7" s="3180">
        <f>ROUND(IF(项目基本情况!$B$8="出让",SUMPRODUCT(PRODUCT(1+N7:$N$21)),SUMPRODUCT(PRODUCT(1+N7:$N$20))),4)</f>
        <v>1.0672999999999999</v>
      </c>
      <c r="V7" s="3180">
        <f>ROUND(IF(项目基本情况!$B$8="出让",SUMPRODUCT(PRODUCT(1+O7:$O$21)),SUMPRODUCT(PRODUCT(1+O7:$O$20))),4)</f>
        <v>1.0818000000000001</v>
      </c>
      <c r="W7" s="3180">
        <f>T7</f>
        <v>1.0079</v>
      </c>
      <c r="X7" s="3178"/>
      <c r="Y7" s="3181">
        <f>IF(D7=0,0,ROUND(AVERAGE(D7:D20)/100,4))</f>
        <v>4.3E-3</v>
      </c>
      <c r="Z7" s="3181">
        <f t="shared" ref="Z7" si="32">IF(E7=0,0,ROUND(AVERAGE(E7:E20)/100,4))</f>
        <v>3.0999999999999999E-3</v>
      </c>
      <c r="AA7" s="3181">
        <f t="shared" ref="AA7" si="33">IF(F7=0,0,ROUND(AVERAGE(F7:F20)/100,4))</f>
        <v>5.9999999999999995E-4</v>
      </c>
      <c r="AB7" s="3181">
        <f t="shared" ref="AB7" si="34">IF(G7=0,0,ROUND(AVERAGE(G7:G20)/100,4))</f>
        <v>4.7000000000000002E-3</v>
      </c>
      <c r="AC7" s="3181">
        <f t="shared" ref="AC7" si="35">IF(H7=0,0,ROUND(AVERAGE(H7:H20)/100,4))</f>
        <v>5.5999999999999999E-3</v>
      </c>
      <c r="AD7" s="3181">
        <f t="shared" ref="AD7" si="36">AA7</f>
        <v>5.9999999999999995E-4</v>
      </c>
    </row>
    <row r="8" spans="1:30" s="3182" customFormat="1" ht="13.2">
      <c r="A8" s="3173" t="s">
        <v>3376</v>
      </c>
      <c r="B8" s="3174">
        <v>2024</v>
      </c>
      <c r="C8" s="3175">
        <v>2</v>
      </c>
      <c r="D8" s="3176">
        <v>-0.59</v>
      </c>
      <c r="E8" s="3176">
        <v>-0.21</v>
      </c>
      <c r="F8" s="3176">
        <v>-1.38</v>
      </c>
      <c r="G8" s="3176">
        <v>-1.24</v>
      </c>
      <c r="H8" s="3193">
        <v>0.34</v>
      </c>
      <c r="I8" s="3177">
        <f t="shared" ref="I8:I21" si="37">F8</f>
        <v>-1.38</v>
      </c>
      <c r="J8" s="3178"/>
      <c r="K8" s="3179">
        <f t="shared" ref="K8:O21" si="38">D8/100</f>
        <v>-5.8999999999999999E-3</v>
      </c>
      <c r="L8" s="3169">
        <f t="shared" si="38"/>
        <v>-2.0999999999999999E-3</v>
      </c>
      <c r="M8" s="3169">
        <f t="shared" si="38"/>
        <v>-1.38E-2</v>
      </c>
      <c r="N8" s="3169">
        <f t="shared" si="38"/>
        <v>-1.24E-2</v>
      </c>
      <c r="O8" s="3169">
        <f t="shared" si="38"/>
        <v>3.4000000000000002E-3</v>
      </c>
      <c r="P8" s="3169">
        <f>M8</f>
        <v>-1.38E-2</v>
      </c>
      <c r="Q8" s="3178"/>
      <c r="R8" s="3180">
        <f>ROUND(IF(项目基本情况!$B$8="出让",SUMPRODUCT(PRODUCT(1+K8:$K$21)),SUMPRODUCT(PRODUCT(1+K8:$K$20))),4)</f>
        <v>1.0748</v>
      </c>
      <c r="S8" s="3180">
        <f>ROUND(IF(项目基本情况!$B$8="出让",SUMPRODUCT(PRODUCT(1+L8:$L$21)),SUMPRODUCT(PRODUCT(1+L8:$L$20))),4)</f>
        <v>1.0498000000000001</v>
      </c>
      <c r="T8" s="3180">
        <f>ROUND(IF(项目基本情况!$B$8="出让",SUMPRODUCT(PRODUCT(1+M8:$M$21)),SUMPRODUCT(PRODUCT(1+M8:$M$20))),4)</f>
        <v>1.0107999999999999</v>
      </c>
      <c r="U8" s="3180">
        <f>ROUND(IF(项目基本情况!$B$8="出让",SUMPRODUCT(PRODUCT(1+N8:$N$21)),SUMPRODUCT(PRODUCT(1+N8:$N$20))),4)</f>
        <v>1.0752999999999999</v>
      </c>
      <c r="V8" s="3180">
        <f>ROUND(IF(项目基本情况!$B$8="出让",SUMPRODUCT(PRODUCT(1+O8:$O$21)),SUMPRODUCT(PRODUCT(1+O8:$O$20))),4)</f>
        <v>1.0841000000000001</v>
      </c>
      <c r="W8" s="3180">
        <f>T8</f>
        <v>1.0107999999999999</v>
      </c>
      <c r="X8" s="3178"/>
      <c r="Y8" s="3181">
        <f>IF(D8=0,0,ROUND(AVERAGE(D8:D21)/100,4))</f>
        <v>5.8999999999999999E-3</v>
      </c>
      <c r="Z8" s="3181">
        <f t="shared" ref="Z8:AC8" si="39">IF(E8=0,0,ROUND(AVERAGE(E8:E21)/100,4))</f>
        <v>3.5999999999999999E-3</v>
      </c>
      <c r="AA8" s="3181">
        <f t="shared" si="39"/>
        <v>5.9999999999999995E-4</v>
      </c>
      <c r="AB8" s="3181">
        <f t="shared" si="39"/>
        <v>6.0000000000000001E-3</v>
      </c>
      <c r="AC8" s="3181">
        <f t="shared" si="39"/>
        <v>6.0000000000000001E-3</v>
      </c>
      <c r="AD8" s="3181">
        <f t="shared" ref="AD8:AD20" si="40">AA8</f>
        <v>5.9999999999999995E-4</v>
      </c>
    </row>
    <row r="9" spans="1:30" s="3182" customFormat="1" ht="13.2">
      <c r="A9" s="3173" t="s">
        <v>3372</v>
      </c>
      <c r="B9" s="3174">
        <v>2024</v>
      </c>
      <c r="C9" s="3175">
        <v>1</v>
      </c>
      <c r="D9" s="3176">
        <v>0.08</v>
      </c>
      <c r="E9" s="3176">
        <v>0.46</v>
      </c>
      <c r="F9" s="3176">
        <v>-0.16</v>
      </c>
      <c r="G9" s="3176">
        <v>0.26</v>
      </c>
      <c r="H9" s="3193">
        <v>0.59</v>
      </c>
      <c r="I9" s="3177">
        <v>0</v>
      </c>
      <c r="J9" s="3178"/>
      <c r="K9" s="3179">
        <f t="shared" ref="K9" si="41">D9/100</f>
        <v>8.0000000000000004E-4</v>
      </c>
      <c r="L9" s="3169">
        <f t="shared" ref="L9" si="42">E9/100</f>
        <v>4.5999999999999999E-3</v>
      </c>
      <c r="M9" s="3169">
        <f t="shared" ref="M9" si="43">F9/100</f>
        <v>-1.6000000000000001E-3</v>
      </c>
      <c r="N9" s="3169">
        <f t="shared" ref="N9" si="44">G9/100</f>
        <v>2.5999999999999999E-3</v>
      </c>
      <c r="O9" s="3169">
        <f t="shared" ref="O9" si="45">H9/100</f>
        <v>5.8999999999999999E-3</v>
      </c>
      <c r="P9" s="3169">
        <f t="shared" ref="P9" si="46">M9</f>
        <v>-1.6000000000000001E-3</v>
      </c>
      <c r="Q9" s="3178"/>
      <c r="R9" s="3180">
        <f>ROUND(IF(项目基本情况!$B$8="出让",SUMPRODUCT(PRODUCT(1+K9:$K$21)),SUMPRODUCT(PRODUCT(1+K9:$K$20))),4)</f>
        <v>1.0811999999999999</v>
      </c>
      <c r="S9" s="3180">
        <f>ROUND(IF(项目基本情况!$B$8="出让",SUMPRODUCT(PRODUCT(1+L9:$L$21)),SUMPRODUCT(PRODUCT(1+L9:$L$20))),4)</f>
        <v>1.052</v>
      </c>
      <c r="T9" s="3180">
        <f>ROUND(IF(项目基本情况!$B$8="出让",SUMPRODUCT(PRODUCT(1+M9:$M$21)),SUMPRODUCT(PRODUCT(1+M9:$M$20))),4)</f>
        <v>1.0249999999999999</v>
      </c>
      <c r="U9" s="3180">
        <f>ROUND(IF(项目基本情况!$B$8="出让",SUMPRODUCT(PRODUCT(1+N9:$N$21)),SUMPRODUCT(PRODUCT(1+N9:$N$20))),4)</f>
        <v>1.0888</v>
      </c>
      <c r="V9" s="3180">
        <f>ROUND(IF(项目基本情况!$B$8="出让",SUMPRODUCT(PRODUCT(1+O9:$O$21)),SUMPRODUCT(PRODUCT(1+O9:$O$20))),4)</f>
        <v>1.0804</v>
      </c>
      <c r="W9" s="3180">
        <f t="shared" ref="W9" si="47">T9</f>
        <v>1.0249999999999999</v>
      </c>
      <c r="X9" s="3178"/>
      <c r="Y9" s="3181"/>
      <c r="Z9" s="3181"/>
      <c r="AA9" s="3181"/>
      <c r="AB9" s="3181"/>
      <c r="AC9" s="3181"/>
      <c r="AD9" s="3181"/>
    </row>
    <row r="10" spans="1:30" s="3182" customFormat="1" ht="13.2">
      <c r="A10" s="3173" t="s">
        <v>3368</v>
      </c>
      <c r="B10" s="3174">
        <v>2023</v>
      </c>
      <c r="C10" s="3175">
        <v>4</v>
      </c>
      <c r="D10" s="3176">
        <v>0.19</v>
      </c>
      <c r="E10" s="3176">
        <v>0.24</v>
      </c>
      <c r="F10" s="3176">
        <v>-0.16</v>
      </c>
      <c r="G10" s="3176">
        <v>0.17</v>
      </c>
      <c r="H10" s="3193">
        <v>0.61</v>
      </c>
      <c r="I10" s="3177">
        <f>F10</f>
        <v>-0.16</v>
      </c>
      <c r="J10" s="3178"/>
      <c r="K10" s="3179">
        <f t="shared" si="38"/>
        <v>1.9E-3</v>
      </c>
      <c r="L10" s="3169">
        <f t="shared" si="38"/>
        <v>2.3999999999999998E-3</v>
      </c>
      <c r="M10" s="3169">
        <f t="shared" si="38"/>
        <v>-1.6000000000000001E-3</v>
      </c>
      <c r="N10" s="3169">
        <f t="shared" si="38"/>
        <v>1.7000000000000001E-3</v>
      </c>
      <c r="O10" s="3169">
        <f t="shared" si="38"/>
        <v>6.0999999999999995E-3</v>
      </c>
      <c r="P10" s="3169">
        <f t="shared" ref="P10" si="48">M10</f>
        <v>-1.6000000000000001E-3</v>
      </c>
      <c r="Q10" s="3178"/>
      <c r="R10" s="3180">
        <f>ROUND(IF(项目基本情况!$B$8="出让",SUMPRODUCT(PRODUCT(1+K10:$K$21)),SUMPRODUCT(PRODUCT(1+K10:$K$20))),4)</f>
        <v>1.0804</v>
      </c>
      <c r="S10" s="3180">
        <f>ROUND(IF(项目基本情况!$B$8="出让",SUMPRODUCT(PRODUCT(1+L10:$L$21)),SUMPRODUCT(PRODUCT(1+L10:$L$20))),4)</f>
        <v>1.0471999999999999</v>
      </c>
      <c r="T10" s="3180">
        <f>ROUND(IF(项目基本情况!$B$8="出让",SUMPRODUCT(PRODUCT(1+M10:$M$21)),SUMPRODUCT(PRODUCT(1+M10:$M$20))),4)</f>
        <v>1.0266</v>
      </c>
      <c r="U10" s="3180">
        <f>ROUND(IF(项目基本情况!$B$8="出让",SUMPRODUCT(PRODUCT(1+N10:$N$21)),SUMPRODUCT(PRODUCT(1+N10:$N$20))),4)</f>
        <v>1.0859000000000001</v>
      </c>
      <c r="V10" s="3180">
        <f>ROUND(IF(项目基本情况!$B$8="出让",SUMPRODUCT(PRODUCT(1+O10:$O$21)),SUMPRODUCT(PRODUCT(1+O10:$O$20))),4)</f>
        <v>1.0741000000000001</v>
      </c>
      <c r="W10" s="3180">
        <f t="shared" ref="W10" si="49">T10</f>
        <v>1.0266</v>
      </c>
      <c r="X10" s="3178"/>
      <c r="Y10" s="3181"/>
      <c r="Z10" s="3181"/>
      <c r="AA10" s="3181"/>
      <c r="AB10" s="3181"/>
      <c r="AC10" s="3181"/>
      <c r="AD10" s="3181"/>
    </row>
    <row r="11" spans="1:30" s="3182" customFormat="1" ht="13.2">
      <c r="A11" s="3173" t="s">
        <v>3367</v>
      </c>
      <c r="B11" s="3174">
        <v>2023</v>
      </c>
      <c r="C11" s="3175">
        <v>3</v>
      </c>
      <c r="D11" s="3176">
        <v>0.25</v>
      </c>
      <c r="E11" s="3176">
        <v>0.5</v>
      </c>
      <c r="F11" s="3176">
        <v>0.31</v>
      </c>
      <c r="G11" s="3176">
        <v>0.21</v>
      </c>
      <c r="H11" s="3193">
        <v>0.43</v>
      </c>
      <c r="I11" s="3177">
        <f t="shared" si="37"/>
        <v>0.31</v>
      </c>
      <c r="J11" s="3178"/>
      <c r="K11" s="3179">
        <f t="shared" ref="K11:K13" si="50">D11/100</f>
        <v>2.5000000000000001E-3</v>
      </c>
      <c r="L11" s="3169">
        <f t="shared" ref="L11:L13" si="51">E11/100</f>
        <v>5.0000000000000001E-3</v>
      </c>
      <c r="M11" s="3169">
        <f t="shared" ref="M11:M13" si="52">F11/100</f>
        <v>3.0999999999999999E-3</v>
      </c>
      <c r="N11" s="3169">
        <f t="shared" ref="N11:N13" si="53">G11/100</f>
        <v>2.0999999999999999E-3</v>
      </c>
      <c r="O11" s="3169">
        <f t="shared" ref="O11:O13" si="54">H11/100</f>
        <v>4.3E-3</v>
      </c>
      <c r="P11" s="3169">
        <f t="shared" ref="P11:P13" si="55">M11</f>
        <v>3.0999999999999999E-3</v>
      </c>
      <c r="Q11" s="3178"/>
      <c r="R11" s="3180">
        <f>ROUND(IF(项目基本情况!$B$8="出让",SUMPRODUCT(PRODUCT(1+K11:$K$21)),SUMPRODUCT(PRODUCT(1+K11:$K$20))),4)</f>
        <v>1.0783</v>
      </c>
      <c r="S11" s="3180">
        <f>ROUND(IF(项目基本情况!$B$8="出让",SUMPRODUCT(PRODUCT(1+L11:$L$21)),SUMPRODUCT(PRODUCT(1+L11:$L$20))),4)</f>
        <v>1.0447</v>
      </c>
      <c r="T11" s="3180">
        <f>ROUND(IF(项目基本情况!$B$8="出让",SUMPRODUCT(PRODUCT(1+M11:$M$21)),SUMPRODUCT(PRODUCT(1+M11:$M$20))),4)</f>
        <v>1.0282</v>
      </c>
      <c r="U11" s="3180">
        <f>ROUND(IF(项目基本情况!$B$8="出让",SUMPRODUCT(PRODUCT(1+N11:$N$21)),SUMPRODUCT(PRODUCT(1+N11:$N$20))),4)</f>
        <v>1.0841000000000001</v>
      </c>
      <c r="V11" s="3180">
        <f>ROUND(IF(项目基本情况!$B$8="出让",SUMPRODUCT(PRODUCT(1+O11:$O$21)),SUMPRODUCT(PRODUCT(1+O11:$O$20))),4)</f>
        <v>1.0674999999999999</v>
      </c>
      <c r="W11" s="3180">
        <f t="shared" ref="W11:W12" si="56">T11</f>
        <v>1.0282</v>
      </c>
      <c r="X11" s="3178"/>
      <c r="Y11" s="3181"/>
      <c r="Z11" s="3181"/>
      <c r="AA11" s="3181"/>
      <c r="AB11" s="3181"/>
      <c r="AC11" s="3181"/>
      <c r="AD11" s="3181"/>
    </row>
    <row r="12" spans="1:30" s="3182" customFormat="1" ht="13.2">
      <c r="A12" s="3173" t="s">
        <v>3365</v>
      </c>
      <c r="B12" s="3174">
        <v>2023</v>
      </c>
      <c r="C12" s="3175">
        <v>2</v>
      </c>
      <c r="D12" s="3176">
        <v>0.91</v>
      </c>
      <c r="E12" s="3176">
        <v>0.66</v>
      </c>
      <c r="F12" s="3176">
        <v>0.47</v>
      </c>
      <c r="G12" s="3176">
        <v>0.96</v>
      </c>
      <c r="H12" s="3193">
        <v>0.71</v>
      </c>
      <c r="I12" s="3177">
        <f t="shared" si="37"/>
        <v>0.47</v>
      </c>
      <c r="J12" s="3178"/>
      <c r="K12" s="3179">
        <f t="shared" si="50"/>
        <v>9.1000000000000004E-3</v>
      </c>
      <c r="L12" s="3169">
        <f t="shared" si="51"/>
        <v>6.6E-3</v>
      </c>
      <c r="M12" s="3169">
        <f t="shared" si="52"/>
        <v>4.6999999999999993E-3</v>
      </c>
      <c r="N12" s="3169">
        <f t="shared" si="53"/>
        <v>9.5999999999999992E-3</v>
      </c>
      <c r="O12" s="3169">
        <f t="shared" si="54"/>
        <v>7.0999999999999995E-3</v>
      </c>
      <c r="P12" s="3169">
        <f t="shared" si="55"/>
        <v>4.6999999999999993E-3</v>
      </c>
      <c r="Q12" s="3178"/>
      <c r="R12" s="3180">
        <f>ROUND(IF(项目基本情况!$B$8="出让",SUMPRODUCT(PRODUCT(1+K12:$K$21)),SUMPRODUCT(PRODUCT(1+K12:$K$20))),4)</f>
        <v>1.0755999999999999</v>
      </c>
      <c r="S12" s="3180">
        <f>ROUND(IF(项目基本情况!$B$8="出让",SUMPRODUCT(PRODUCT(1+L12:$L$21)),SUMPRODUCT(PRODUCT(1+L12:$L$20))),4)</f>
        <v>1.0395000000000001</v>
      </c>
      <c r="T12" s="3180">
        <f>ROUND(IF(项目基本情况!$B$8="出让",SUMPRODUCT(PRODUCT(1+M12:$M$21)),SUMPRODUCT(PRODUCT(1+M12:$M$20))),4)</f>
        <v>1.0250999999999999</v>
      </c>
      <c r="U12" s="3180">
        <f>ROUND(IF(项目基本情况!$B$8="出让",SUMPRODUCT(PRODUCT(1+N12:$N$21)),SUMPRODUCT(PRODUCT(1+N12:$N$20))),4)</f>
        <v>1.0818000000000001</v>
      </c>
      <c r="V12" s="3180">
        <f>ROUND(IF(项目基本情况!$B$8="出让",SUMPRODUCT(PRODUCT(1+O12:$O$21)),SUMPRODUCT(PRODUCT(1+O12:$O$20))),4)</f>
        <v>1.0629999999999999</v>
      </c>
      <c r="W12" s="3180">
        <f t="shared" si="56"/>
        <v>1.0250999999999999</v>
      </c>
      <c r="X12" s="3178"/>
      <c r="Y12" s="3181"/>
      <c r="Z12" s="3181"/>
      <c r="AA12" s="3181"/>
      <c r="AB12" s="3181"/>
      <c r="AC12" s="3181"/>
      <c r="AD12" s="3181"/>
    </row>
    <row r="13" spans="1:30" s="3182" customFormat="1" ht="13.2">
      <c r="A13" s="3173" t="s">
        <v>3364</v>
      </c>
      <c r="B13" s="3174">
        <v>2023</v>
      </c>
      <c r="C13" s="3175">
        <v>1</v>
      </c>
      <c r="D13" s="3176">
        <v>0.89</v>
      </c>
      <c r="E13" s="3176">
        <v>0.74</v>
      </c>
      <c r="F13" s="3176">
        <v>0.56999999999999995</v>
      </c>
      <c r="G13" s="3176">
        <v>0.92</v>
      </c>
      <c r="H13" s="3193">
        <v>0.5</v>
      </c>
      <c r="I13" s="3177">
        <f t="shared" si="37"/>
        <v>0.56999999999999995</v>
      </c>
      <c r="J13" s="3178"/>
      <c r="K13" s="3179">
        <f t="shared" si="50"/>
        <v>8.8999999999999999E-3</v>
      </c>
      <c r="L13" s="3169">
        <f t="shared" si="51"/>
        <v>7.4000000000000003E-3</v>
      </c>
      <c r="M13" s="3169">
        <f t="shared" si="52"/>
        <v>5.6999999999999993E-3</v>
      </c>
      <c r="N13" s="3169">
        <f t="shared" si="53"/>
        <v>9.1999999999999998E-3</v>
      </c>
      <c r="O13" s="3169">
        <f t="shared" si="54"/>
        <v>5.0000000000000001E-3</v>
      </c>
      <c r="P13" s="3169">
        <f t="shared" si="55"/>
        <v>5.6999999999999993E-3</v>
      </c>
      <c r="Q13" s="3178"/>
      <c r="R13" s="3180">
        <f>ROUND(IF(项目基本情况!$B$8="出让",SUMPRODUCT(PRODUCT(1+K13:$K$21)),SUMPRODUCT(PRODUCT(1+K13:$K$20))),4)</f>
        <v>1.0659000000000001</v>
      </c>
      <c r="S13" s="3180">
        <f>ROUND(IF(项目基本情况!$B$8="出让",SUMPRODUCT(PRODUCT(1+L13:$L$21)),SUMPRODUCT(PRODUCT(1+L13:$L$20))),4)</f>
        <v>1.0326</v>
      </c>
      <c r="T13" s="3180">
        <f>ROUND(IF(项目基本情况!$B$8="出让",SUMPRODUCT(PRODUCT(1+M13:$M$21)),SUMPRODUCT(PRODUCT(1+M13:$M$20))),4)</f>
        <v>1.0203</v>
      </c>
      <c r="U13" s="3180">
        <f>ROUND(IF(项目基本情况!$B$8="出让",SUMPRODUCT(PRODUCT(1+N13:$N$21)),SUMPRODUCT(PRODUCT(1+N13:$N$20))),4)</f>
        <v>1.0714999999999999</v>
      </c>
      <c r="V13" s="3180">
        <f>ROUND(IF(项目基本情况!$B$8="出让",SUMPRODUCT(PRODUCT(1+O13:$O$21)),SUMPRODUCT(PRODUCT(1+O13:$O$20))),4)</f>
        <v>1.0555000000000001</v>
      </c>
      <c r="W13" s="3180">
        <f t="shared" ref="W13:W20" si="57">T13</f>
        <v>1.0203</v>
      </c>
      <c r="X13" s="3178"/>
      <c r="Y13" s="3181"/>
      <c r="Z13" s="3181"/>
      <c r="AA13" s="3181"/>
      <c r="AB13" s="3181"/>
      <c r="AC13" s="3181"/>
      <c r="AD13" s="3181"/>
    </row>
    <row r="14" spans="1:30" s="3182" customFormat="1" ht="13.2">
      <c r="A14" s="3173" t="s">
        <v>3363</v>
      </c>
      <c r="B14" s="3174">
        <v>2022</v>
      </c>
      <c r="C14" s="3175">
        <v>4</v>
      </c>
      <c r="D14" s="3176">
        <v>0.62</v>
      </c>
      <c r="E14" s="3176">
        <v>0.2</v>
      </c>
      <c r="F14" s="3176">
        <v>0.11</v>
      </c>
      <c r="G14" s="3176">
        <v>0.69</v>
      </c>
      <c r="H14" s="3193">
        <v>0.53</v>
      </c>
      <c r="I14" s="3177">
        <f t="shared" si="37"/>
        <v>0.11</v>
      </c>
      <c r="J14" s="3178"/>
      <c r="K14" s="3179">
        <f t="shared" si="38"/>
        <v>6.1999999999999998E-3</v>
      </c>
      <c r="L14" s="3169">
        <f t="shared" si="38"/>
        <v>2E-3</v>
      </c>
      <c r="M14" s="3169">
        <f t="shared" si="38"/>
        <v>1.1000000000000001E-3</v>
      </c>
      <c r="N14" s="3169">
        <f t="shared" si="38"/>
        <v>6.8999999999999999E-3</v>
      </c>
      <c r="O14" s="3169">
        <f t="shared" si="38"/>
        <v>5.3E-3</v>
      </c>
      <c r="P14" s="3169">
        <f t="shared" ref="P14:P21" si="58">M14</f>
        <v>1.1000000000000001E-3</v>
      </c>
      <c r="Q14" s="3178"/>
      <c r="R14" s="3180">
        <f>ROUND(IF(项目基本情况!$B$8="出让",SUMPRODUCT(PRODUCT(1+K14:$K$21)),SUMPRODUCT(PRODUCT(1+K14:$K$20))),4)</f>
        <v>1.0565</v>
      </c>
      <c r="S14" s="3180">
        <f>ROUND(IF(项目基本情况!$B$8="出让",SUMPRODUCT(PRODUCT(1+L14:$L$21)),SUMPRODUCT(PRODUCT(1+L14:$L$20))),4)</f>
        <v>1.0250999999999999</v>
      </c>
      <c r="T14" s="3180">
        <f>ROUND(IF(项目基本情况!$B$8="出让",SUMPRODUCT(PRODUCT(1+M14:$M$21)),SUMPRODUCT(PRODUCT(1+M14:$M$20))),4)</f>
        <v>1.0145</v>
      </c>
      <c r="U14" s="3180">
        <f>ROUND(IF(项目基本情况!$B$8="出让",SUMPRODUCT(PRODUCT(1+N14:$N$21)),SUMPRODUCT(PRODUCT(1+N14:$N$20))),4)</f>
        <v>1.0618000000000001</v>
      </c>
      <c r="V14" s="3180">
        <f>ROUND(IF(项目基本情况!$B$8="出让",SUMPRODUCT(PRODUCT(1+O14:$O$21)),SUMPRODUCT(PRODUCT(1+O14:$O$20))),4)</f>
        <v>1.0502</v>
      </c>
      <c r="W14" s="3180">
        <f t="shared" si="57"/>
        <v>1.0145</v>
      </c>
      <c r="X14" s="3178"/>
      <c r="Y14" s="3181">
        <f>IF(D14=0,0,ROUND(AVERAGE(D14:D22)/100,4))</f>
        <v>8.0999999999999996E-3</v>
      </c>
      <c r="Z14" s="3181">
        <f t="shared" ref="Z14:AC14" si="59">IF(E14=0,0,ROUND(AVERAGE(E14:E21)/100,4))</f>
        <v>3.3E-3</v>
      </c>
      <c r="AA14" s="3181">
        <f t="shared" si="59"/>
        <v>1.5E-3</v>
      </c>
      <c r="AB14" s="3181">
        <f t="shared" si="59"/>
        <v>8.8999999999999999E-3</v>
      </c>
      <c r="AC14" s="3181">
        <f t="shared" si="59"/>
        <v>6.6E-3</v>
      </c>
      <c r="AD14" s="3181">
        <f t="shared" si="40"/>
        <v>1.5E-3</v>
      </c>
    </row>
    <row r="15" spans="1:30" s="3182" customFormat="1" ht="13.2">
      <c r="A15" s="3173" t="s">
        <v>3361</v>
      </c>
      <c r="B15" s="3174">
        <v>2022</v>
      </c>
      <c r="C15" s="3175">
        <v>3</v>
      </c>
      <c r="D15" s="3176">
        <v>0.66</v>
      </c>
      <c r="E15" s="3176">
        <v>0.32</v>
      </c>
      <c r="F15" s="3176">
        <v>0.23</v>
      </c>
      <c r="G15" s="3176">
        <v>0.72</v>
      </c>
      <c r="H15" s="3193">
        <v>0.63</v>
      </c>
      <c r="I15" s="3177">
        <f t="shared" si="37"/>
        <v>0.23</v>
      </c>
      <c r="J15" s="3178"/>
      <c r="K15" s="3179">
        <f t="shared" si="38"/>
        <v>6.6E-3</v>
      </c>
      <c r="L15" s="3169">
        <f t="shared" si="38"/>
        <v>3.2000000000000002E-3</v>
      </c>
      <c r="M15" s="3169">
        <f t="shared" si="38"/>
        <v>2.3E-3</v>
      </c>
      <c r="N15" s="3169">
        <f t="shared" si="38"/>
        <v>7.1999999999999998E-3</v>
      </c>
      <c r="O15" s="3169">
        <f t="shared" si="38"/>
        <v>6.3E-3</v>
      </c>
      <c r="P15" s="3169">
        <f t="shared" si="58"/>
        <v>2.3E-3</v>
      </c>
      <c r="Q15" s="3178"/>
      <c r="R15" s="3180">
        <f>ROUND(IF(项目基本情况!$B$8="出让",SUMPRODUCT(PRODUCT(1+K15:$K$21)),SUMPRODUCT(PRODUCT(1+K15:$K$20))),4)</f>
        <v>1.05</v>
      </c>
      <c r="S15" s="3180">
        <f>ROUND(IF(项目基本情况!$B$8="出让",SUMPRODUCT(PRODUCT(1+L15:$L$21)),SUMPRODUCT(PRODUCT(1+L15:$L$20))),4)</f>
        <v>1.0229999999999999</v>
      </c>
      <c r="T15" s="3180">
        <f>ROUND(IF(项目基本情况!$B$8="出让",SUMPRODUCT(PRODUCT(1+M15:$M$21)),SUMPRODUCT(PRODUCT(1+M15:$M$20))),4)</f>
        <v>1.0134000000000001</v>
      </c>
      <c r="U15" s="3180">
        <f>ROUND(IF(项目基本情况!$B$8="出让",SUMPRODUCT(PRODUCT(1+N15:$N$21)),SUMPRODUCT(PRODUCT(1+N15:$N$20))),4)</f>
        <v>1.0545</v>
      </c>
      <c r="V15" s="3180">
        <f>ROUND(IF(项目基本情况!$B$8="出让",SUMPRODUCT(PRODUCT(1+O15:$O$21)),SUMPRODUCT(PRODUCT(1+O15:$O$20))),4)</f>
        <v>1.0447</v>
      </c>
      <c r="W15" s="3180">
        <f t="shared" si="57"/>
        <v>1.0134000000000001</v>
      </c>
      <c r="X15" s="3178"/>
      <c r="Y15" s="3181">
        <f>IF(D15=0,0,ROUND(AVERAGE(D15:D21)/100,4))</f>
        <v>8.3999999999999995E-3</v>
      </c>
      <c r="Z15" s="3181">
        <f t="shared" ref="Z15:AC15" si="60">IF(E15=0,0,ROUND(AVERAGE(E15:E21)/100,4))</f>
        <v>3.5000000000000001E-3</v>
      </c>
      <c r="AA15" s="3181">
        <f t="shared" si="60"/>
        <v>1.5E-3</v>
      </c>
      <c r="AB15" s="3181">
        <f t="shared" si="60"/>
        <v>9.1999999999999998E-3</v>
      </c>
      <c r="AC15" s="3181">
        <f t="shared" si="60"/>
        <v>6.7999999999999996E-3</v>
      </c>
      <c r="AD15" s="3181">
        <f t="shared" si="40"/>
        <v>1.5E-3</v>
      </c>
    </row>
    <row r="16" spans="1:30" s="3182" customFormat="1" ht="13.2">
      <c r="A16" s="3173" t="s">
        <v>3352</v>
      </c>
      <c r="B16" s="3174">
        <v>2022</v>
      </c>
      <c r="C16" s="3175">
        <v>2</v>
      </c>
      <c r="D16" s="3176">
        <v>0.93</v>
      </c>
      <c r="E16" s="3176">
        <v>0.15</v>
      </c>
      <c r="F16" s="3176">
        <v>0.01</v>
      </c>
      <c r="G16" s="3176">
        <v>1.05</v>
      </c>
      <c r="H16" s="3193">
        <v>1.08</v>
      </c>
      <c r="I16" s="3177">
        <f t="shared" si="37"/>
        <v>0.01</v>
      </c>
      <c r="J16" s="3178"/>
      <c r="K16" s="3179">
        <f t="shared" si="38"/>
        <v>9.300000000000001E-3</v>
      </c>
      <c r="L16" s="3169">
        <f t="shared" si="38"/>
        <v>1.5E-3</v>
      </c>
      <c r="M16" s="3169">
        <f t="shared" si="38"/>
        <v>1E-4</v>
      </c>
      <c r="N16" s="3169">
        <f t="shared" si="38"/>
        <v>1.0500000000000001E-2</v>
      </c>
      <c r="O16" s="3169">
        <f t="shared" si="38"/>
        <v>1.0800000000000001E-2</v>
      </c>
      <c r="P16" s="3169">
        <f t="shared" si="58"/>
        <v>1E-4</v>
      </c>
      <c r="Q16" s="3178"/>
      <c r="R16" s="3180">
        <f>ROUND(IF(项目基本情况!$B$8="出让",SUMPRODUCT(PRODUCT(1+K16:$K$21)),SUMPRODUCT(PRODUCT(1+K16:$K$20))),4)</f>
        <v>1.0430999999999999</v>
      </c>
      <c r="S16" s="3180">
        <f>ROUND(IF(项目基本情况!$B$8="出让",SUMPRODUCT(PRODUCT(1+L16:$L$21)),SUMPRODUCT(PRODUCT(1+L16:$L$20))),4)</f>
        <v>1.0197000000000001</v>
      </c>
      <c r="T16" s="3180">
        <f>ROUND(IF(项目基本情况!$B$8="出让",SUMPRODUCT(PRODUCT(1+M16:$M$21)),SUMPRODUCT(PRODUCT(1+M16:$M$20))),4)</f>
        <v>1.0109999999999999</v>
      </c>
      <c r="U16" s="3180">
        <f>ROUND(IF(项目基本情况!$B$8="出让",SUMPRODUCT(PRODUCT(1+N16:$N$21)),SUMPRODUCT(PRODUCT(1+N16:$N$20))),4)</f>
        <v>1.0468999999999999</v>
      </c>
      <c r="V16" s="3180">
        <f>ROUND(IF(项目基本情况!$B$8="出让",SUMPRODUCT(PRODUCT(1+O16:$O$21)),SUMPRODUCT(PRODUCT(1+O16:$O$20))),4)</f>
        <v>1.0382</v>
      </c>
      <c r="W16" s="3180">
        <f t="shared" si="57"/>
        <v>1.0109999999999999</v>
      </c>
      <c r="X16" s="3178"/>
      <c r="Y16" s="3181">
        <f>IF(D16=0,0,ROUND(AVERAGE(D16:D21)/100,4))</f>
        <v>8.6999999999999994E-3</v>
      </c>
      <c r="Z16" s="3181">
        <f t="shared" ref="Z16:AC16" si="61">IF(E16=0,0,ROUND(AVERAGE(E16:E21)/100,4))</f>
        <v>3.5000000000000001E-3</v>
      </c>
      <c r="AA16" s="3181">
        <f t="shared" si="61"/>
        <v>1.4E-3</v>
      </c>
      <c r="AB16" s="3181">
        <f t="shared" si="61"/>
        <v>9.4999999999999998E-3</v>
      </c>
      <c r="AC16" s="3181">
        <f t="shared" si="61"/>
        <v>6.8999999999999999E-3</v>
      </c>
      <c r="AD16" s="3181">
        <f t="shared" si="40"/>
        <v>1.4E-3</v>
      </c>
    </row>
    <row r="17" spans="1:30" s="3182" customFormat="1" ht="13.2">
      <c r="A17" s="3173" t="s">
        <v>2817</v>
      </c>
      <c r="B17" s="3174">
        <v>2022</v>
      </c>
      <c r="C17" s="3175">
        <v>1</v>
      </c>
      <c r="D17" s="3176">
        <v>0.89</v>
      </c>
      <c r="E17" s="3176">
        <v>0.44</v>
      </c>
      <c r="F17" s="3176">
        <v>0.37</v>
      </c>
      <c r="G17" s="3176">
        <v>0.96</v>
      </c>
      <c r="H17" s="3193">
        <v>0.64</v>
      </c>
      <c r="I17" s="3177">
        <f t="shared" si="37"/>
        <v>0.37</v>
      </c>
      <c r="J17" s="3178"/>
      <c r="K17" s="3179">
        <f t="shared" si="38"/>
        <v>8.8999999999999999E-3</v>
      </c>
      <c r="L17" s="3169">
        <f t="shared" si="38"/>
        <v>4.4000000000000003E-3</v>
      </c>
      <c r="M17" s="3169">
        <f t="shared" si="38"/>
        <v>3.7000000000000002E-3</v>
      </c>
      <c r="N17" s="3169">
        <f t="shared" si="38"/>
        <v>9.5999999999999992E-3</v>
      </c>
      <c r="O17" s="3169">
        <f t="shared" si="38"/>
        <v>6.4000000000000003E-3</v>
      </c>
      <c r="P17" s="3169">
        <f t="shared" si="58"/>
        <v>3.7000000000000002E-3</v>
      </c>
      <c r="Q17" s="3178"/>
      <c r="R17" s="3180">
        <f>ROUND(IF(项目基本情况!$B$8="出让",SUMPRODUCT(PRODUCT(1+K17:$K$21)),SUMPRODUCT(PRODUCT(1+K17:$K$20))),4)</f>
        <v>1.0335000000000001</v>
      </c>
      <c r="S17" s="3180">
        <f>ROUND(IF(项目基本情况!$B$8="出让",SUMPRODUCT(PRODUCT(1+L17:$L$21)),SUMPRODUCT(PRODUCT(1+L17:$L$20))),4)</f>
        <v>1.0182</v>
      </c>
      <c r="T17" s="3180">
        <f>ROUND(IF(项目基本情况!$B$8="出让",SUMPRODUCT(PRODUCT(1+M17:$M$21)),SUMPRODUCT(PRODUCT(1+M17:$M$20))),4)</f>
        <v>1.0108999999999999</v>
      </c>
      <c r="U17" s="3180">
        <f>ROUND(IF(项目基本情况!$B$8="出让",SUMPRODUCT(PRODUCT(1+N17:$N$21)),SUMPRODUCT(PRODUCT(1+N17:$N$20))),4)</f>
        <v>1.0361</v>
      </c>
      <c r="V17" s="3180">
        <f>ROUND(IF(项目基本情况!$B$8="出让",SUMPRODUCT(PRODUCT(1+O17:$O$21)),SUMPRODUCT(PRODUCT(1+O17:$O$20))),4)</f>
        <v>1.0270999999999999</v>
      </c>
      <c r="W17" s="3180">
        <f t="shared" si="57"/>
        <v>1.0108999999999999</v>
      </c>
      <c r="X17" s="3178"/>
      <c r="Y17" s="3181">
        <f>IF(D17=0,0,ROUND(AVERAGE(D17:D21)/100,4))</f>
        <v>8.6E-3</v>
      </c>
      <c r="Z17" s="3181">
        <f t="shared" ref="Z17:AC17" si="62">IF(E17=0,0,ROUND(AVERAGE(E17:E21)/100,4))</f>
        <v>3.8999999999999998E-3</v>
      </c>
      <c r="AA17" s="3181">
        <f t="shared" si="62"/>
        <v>1.6999999999999999E-3</v>
      </c>
      <c r="AB17" s="3181">
        <f t="shared" si="62"/>
        <v>9.2999999999999992E-3</v>
      </c>
      <c r="AC17" s="3181">
        <f t="shared" si="62"/>
        <v>6.1000000000000004E-3</v>
      </c>
      <c r="AD17" s="3181">
        <f t="shared" si="40"/>
        <v>1.6999999999999999E-3</v>
      </c>
    </row>
    <row r="18" spans="1:30" s="3182" customFormat="1" ht="13.2">
      <c r="A18" s="3173" t="s">
        <v>2818</v>
      </c>
      <c r="B18" s="3174">
        <v>2021</v>
      </c>
      <c r="C18" s="3175">
        <v>4</v>
      </c>
      <c r="D18" s="3176">
        <v>1.03</v>
      </c>
      <c r="E18" s="3176">
        <v>0.24</v>
      </c>
      <c r="F18" s="3176">
        <v>7.0000000000000007E-2</v>
      </c>
      <c r="G18" s="3176">
        <v>1.17</v>
      </c>
      <c r="H18" s="3193">
        <v>0.55000000000000004</v>
      </c>
      <c r="I18" s="3177">
        <f t="shared" si="37"/>
        <v>7.0000000000000007E-2</v>
      </c>
      <c r="J18" s="3178"/>
      <c r="K18" s="3179">
        <f t="shared" si="38"/>
        <v>1.03E-2</v>
      </c>
      <c r="L18" s="3169">
        <f t="shared" si="38"/>
        <v>2.3999999999999998E-3</v>
      </c>
      <c r="M18" s="3169">
        <f t="shared" si="38"/>
        <v>7.000000000000001E-4</v>
      </c>
      <c r="N18" s="3169">
        <f t="shared" si="38"/>
        <v>1.1699999999999999E-2</v>
      </c>
      <c r="O18" s="3169">
        <f t="shared" si="38"/>
        <v>5.5000000000000005E-3</v>
      </c>
      <c r="P18" s="3169">
        <f t="shared" si="58"/>
        <v>7.000000000000001E-4</v>
      </c>
      <c r="Q18" s="3178"/>
      <c r="R18" s="3180">
        <f>ROUND(IF(项目基本情况!$B$8="出让",SUMPRODUCT(PRODUCT(1+K18:$K$21)),SUMPRODUCT(PRODUCT(1+K18:$K$20))),4)</f>
        <v>1.0244</v>
      </c>
      <c r="S18" s="3180">
        <f>ROUND(IF(项目基本情况!$B$8="出让",SUMPRODUCT(PRODUCT(1+L18:$L$21)),SUMPRODUCT(PRODUCT(1+L18:$L$20))),4)</f>
        <v>1.0138</v>
      </c>
      <c r="T18" s="3180">
        <f>ROUND(IF(项目基本情况!$B$8="出让",SUMPRODUCT(PRODUCT(1+M18:$M$21)),SUMPRODUCT(PRODUCT(1+M18:$M$20))),4)</f>
        <v>1.0072000000000001</v>
      </c>
      <c r="U18" s="3180">
        <f>ROUND(IF(项目基本情况!$B$8="出让",SUMPRODUCT(PRODUCT(1+N18:$N$21)),SUMPRODUCT(PRODUCT(1+N18:$N$20))),4)</f>
        <v>1.0262</v>
      </c>
      <c r="V18" s="3180">
        <f>ROUND(IF(项目基本情况!$B$8="出让",SUMPRODUCT(PRODUCT(1+O18:$O$21)),SUMPRODUCT(PRODUCT(1+O18:$O$20))),4)</f>
        <v>1.0205</v>
      </c>
      <c r="W18" s="3180">
        <f t="shared" si="57"/>
        <v>1.0072000000000001</v>
      </c>
      <c r="X18" s="3178"/>
      <c r="Y18" s="3181">
        <f>IF(D18=0,0,ROUND(AVERAGE(D18:D21)/100,4))</f>
        <v>8.5000000000000006E-3</v>
      </c>
      <c r="Z18" s="3181">
        <f t="shared" ref="Z18:AC18" si="63">IF(E18=0,0,ROUND(AVERAGE(E18:E21)/100,4))</f>
        <v>3.8E-3</v>
      </c>
      <c r="AA18" s="3181">
        <f t="shared" si="63"/>
        <v>1.1999999999999999E-3</v>
      </c>
      <c r="AB18" s="3181">
        <f t="shared" si="63"/>
        <v>9.2999999999999992E-3</v>
      </c>
      <c r="AC18" s="3181">
        <f t="shared" si="63"/>
        <v>6.0000000000000001E-3</v>
      </c>
      <c r="AD18" s="3181">
        <f t="shared" si="40"/>
        <v>1.1999999999999999E-3</v>
      </c>
    </row>
    <row r="19" spans="1:30" s="3182" customFormat="1" ht="13.2">
      <c r="A19" s="3173" t="s">
        <v>2819</v>
      </c>
      <c r="B19" s="3174">
        <v>2021</v>
      </c>
      <c r="C19" s="3175">
        <v>3</v>
      </c>
      <c r="D19" s="3176">
        <v>0.47</v>
      </c>
      <c r="E19" s="3176">
        <v>0.41</v>
      </c>
      <c r="F19" s="3176">
        <v>0.24</v>
      </c>
      <c r="G19" s="3176">
        <v>0.48</v>
      </c>
      <c r="H19" s="3193">
        <v>0.48</v>
      </c>
      <c r="I19" s="3177">
        <f t="shared" si="37"/>
        <v>0.24</v>
      </c>
      <c r="J19" s="3178"/>
      <c r="K19" s="3179">
        <f t="shared" si="38"/>
        <v>4.6999999999999993E-3</v>
      </c>
      <c r="L19" s="3169">
        <f t="shared" si="38"/>
        <v>4.0999999999999995E-3</v>
      </c>
      <c r="M19" s="3169">
        <f t="shared" si="38"/>
        <v>2.3999999999999998E-3</v>
      </c>
      <c r="N19" s="3169">
        <f t="shared" si="38"/>
        <v>4.7999999999999996E-3</v>
      </c>
      <c r="O19" s="3169">
        <f t="shared" si="38"/>
        <v>4.7999999999999996E-3</v>
      </c>
      <c r="P19" s="3169">
        <f t="shared" si="58"/>
        <v>2.3999999999999998E-3</v>
      </c>
      <c r="Q19" s="3178"/>
      <c r="R19" s="3180">
        <f>ROUND(IF(项目基本情况!$B$8="出让",SUMPRODUCT(PRODUCT(1+K19:$K$21)),SUMPRODUCT(PRODUCT(1+K19:$K$20))),4)</f>
        <v>1.0139</v>
      </c>
      <c r="S19" s="3180">
        <f>ROUND(IF(项目基本情况!$B$8="出让",SUMPRODUCT(PRODUCT(1+L19:$L$21)),SUMPRODUCT(PRODUCT(1+L19:$L$20))),4)</f>
        <v>1.0113000000000001</v>
      </c>
      <c r="T19" s="3180">
        <f>ROUND(IF(项目基本情况!$B$8="出让",SUMPRODUCT(PRODUCT(1+M19:$M$21)),SUMPRODUCT(PRODUCT(1+M19:$M$20))),4)</f>
        <v>1.0065</v>
      </c>
      <c r="U19" s="3180">
        <f>ROUND(IF(项目基本情况!$B$8="出让",SUMPRODUCT(PRODUCT(1+N19:$N$21)),SUMPRODUCT(PRODUCT(1+N19:$N$20))),4)</f>
        <v>1.0143</v>
      </c>
      <c r="V19" s="3180">
        <f>ROUND(IF(项目基本情况!$B$8="出让",SUMPRODUCT(PRODUCT(1+O19:$O$21)),SUMPRODUCT(PRODUCT(1+O19:$O$20))),4)</f>
        <v>1.0148999999999999</v>
      </c>
      <c r="W19" s="3180">
        <f t="shared" si="57"/>
        <v>1.0065</v>
      </c>
      <c r="X19" s="3178"/>
      <c r="Y19" s="3181">
        <f>IF(D19=0,0,ROUND(AVERAGE(D19:D21)/100,4))</f>
        <v>7.9000000000000008E-3</v>
      </c>
      <c r="Z19" s="3181">
        <f>IF(E19=0,0,ROUND(AVERAGE(E19:E21)/100,4))</f>
        <v>4.3E-3</v>
      </c>
      <c r="AA19" s="3181">
        <f>IF(F19=0,0,ROUND(AVERAGE(F19:F21)/100,4))</f>
        <v>1.2999999999999999E-3</v>
      </c>
      <c r="AB19" s="3181">
        <f>IF(G19=0,0,ROUND(AVERAGE(G19:G21)/100,4))</f>
        <v>8.5000000000000006E-3</v>
      </c>
      <c r="AC19" s="3181">
        <f>IF(H19=0,0,ROUND(AVERAGE(H19:H21)/100,4))</f>
        <v>6.1999999999999998E-3</v>
      </c>
      <c r="AD19" s="3181">
        <f t="shared" si="40"/>
        <v>1.2999999999999999E-3</v>
      </c>
    </row>
    <row r="20" spans="1:30" s="3182" customFormat="1" ht="13.2">
      <c r="A20" s="3173" t="s">
        <v>2820</v>
      </c>
      <c r="B20" s="3174">
        <v>2021</v>
      </c>
      <c r="C20" s="3175">
        <v>2</v>
      </c>
      <c r="D20" s="3176">
        <v>0.92</v>
      </c>
      <c r="E20" s="3176">
        <v>0.72</v>
      </c>
      <c r="F20" s="3176">
        <v>0.41</v>
      </c>
      <c r="G20" s="3176">
        <v>0.95</v>
      </c>
      <c r="H20" s="3193">
        <v>1.01</v>
      </c>
      <c r="I20" s="3177">
        <f t="shared" si="37"/>
        <v>0.41</v>
      </c>
      <c r="J20" s="3178"/>
      <c r="K20" s="3179">
        <f t="shared" si="38"/>
        <v>9.1999999999999998E-3</v>
      </c>
      <c r="L20" s="3169">
        <f t="shared" si="38"/>
        <v>7.1999999999999998E-3</v>
      </c>
      <c r="M20" s="3169">
        <f t="shared" si="38"/>
        <v>4.0999999999999995E-3</v>
      </c>
      <c r="N20" s="3169">
        <f t="shared" si="38"/>
        <v>9.4999999999999998E-3</v>
      </c>
      <c r="O20" s="3169">
        <f t="shared" si="38"/>
        <v>1.01E-2</v>
      </c>
      <c r="P20" s="3169">
        <f t="shared" si="58"/>
        <v>4.0999999999999995E-3</v>
      </c>
      <c r="Q20" s="3178"/>
      <c r="R20" s="3180">
        <f>ROUND(IF(项目基本情况!$B$8="出让",SUMPRODUCT(PRODUCT(1+K20:$K$21)),SUMPRODUCT(PRODUCT(1+K20:$K$20))),4)</f>
        <v>1.0092000000000001</v>
      </c>
      <c r="S20" s="3180">
        <f>ROUND(IF(项目基本情况!$B$8="出让",SUMPRODUCT(PRODUCT(1+L20:$L$21)),SUMPRODUCT(PRODUCT(1+L20:$L$20))),4)</f>
        <v>1.0072000000000001</v>
      </c>
      <c r="T20" s="3180">
        <f>ROUND(IF(项目基本情况!$B$8="出让",SUMPRODUCT(PRODUCT(1+M20:$M$21)),SUMPRODUCT(PRODUCT(1+M20:$M$20))),4)</f>
        <v>1.0041</v>
      </c>
      <c r="U20" s="3180">
        <f>ROUND(IF(项目基本情况!$B$8="出让",SUMPRODUCT(PRODUCT(1+N20:$N$21)),SUMPRODUCT(PRODUCT(1+N20:$N$20))),4)</f>
        <v>1.0095000000000001</v>
      </c>
      <c r="V20" s="3180">
        <f>ROUND(IF(项目基本情况!$B$8="出让",SUMPRODUCT(PRODUCT(1+O20:$O$21)),SUMPRODUCT(PRODUCT(1+O20:$O$20))),4)</f>
        <v>1.0101</v>
      </c>
      <c r="W20" s="3180">
        <f t="shared" si="57"/>
        <v>1.0041</v>
      </c>
      <c r="X20" s="3178"/>
      <c r="Y20" s="3181">
        <f>IF(D20=0,0,ROUND(AVERAGE(D20:D21)/100,4))</f>
        <v>9.4999999999999998E-3</v>
      </c>
      <c r="Z20" s="3181">
        <f>IF(E20=0,0,ROUND(AVERAGE(E20:E21)/100,4))</f>
        <v>4.4000000000000003E-3</v>
      </c>
      <c r="AA20" s="3181">
        <f>IF(F20=0,0,ROUND(AVERAGE(F20:F21)/100,4))</f>
        <v>8.0000000000000004E-4</v>
      </c>
      <c r="AB20" s="3181">
        <f>IF(G20=0,0,ROUND(AVERAGE(G20:G21)/100,4))</f>
        <v>1.03E-2</v>
      </c>
      <c r="AC20" s="3181">
        <f>IF(H20=0,0,ROUND(AVERAGE(H20:H21)/100,4))</f>
        <v>6.8999999999999999E-3</v>
      </c>
      <c r="AD20" s="3181">
        <f t="shared" si="40"/>
        <v>8.0000000000000004E-4</v>
      </c>
    </row>
    <row r="21" spans="1:30" s="3204" customFormat="1" ht="13.8" thickBot="1">
      <c r="A21" s="3194" t="s">
        <v>2821</v>
      </c>
      <c r="B21" s="3195">
        <v>2021</v>
      </c>
      <c r="C21" s="3196">
        <v>1</v>
      </c>
      <c r="D21" s="3197">
        <v>0.97</v>
      </c>
      <c r="E21" s="3197">
        <v>0.16</v>
      </c>
      <c r="F21" s="3197">
        <v>-0.25</v>
      </c>
      <c r="G21" s="3197">
        <v>1.1100000000000001</v>
      </c>
      <c r="H21" s="3198">
        <v>0.36</v>
      </c>
      <c r="I21" s="3199">
        <f t="shared" si="37"/>
        <v>-0.25</v>
      </c>
      <c r="J21" s="3200"/>
      <c r="K21" s="3201">
        <f t="shared" si="38"/>
        <v>9.7000000000000003E-3</v>
      </c>
      <c r="L21" s="3202">
        <f t="shared" si="38"/>
        <v>1.6000000000000001E-3</v>
      </c>
      <c r="M21" s="3202">
        <f>F21/100</f>
        <v>-2.5000000000000001E-3</v>
      </c>
      <c r="N21" s="3202">
        <f t="shared" si="38"/>
        <v>1.11E-2</v>
      </c>
      <c r="O21" s="3202">
        <f t="shared" si="38"/>
        <v>3.5999999999999999E-3</v>
      </c>
      <c r="P21" s="3202">
        <f t="shared" si="58"/>
        <v>-2.5000000000000001E-3</v>
      </c>
      <c r="Q21" s="3200"/>
      <c r="R21" s="3203">
        <v>1</v>
      </c>
      <c r="S21" s="3203">
        <v>1</v>
      </c>
      <c r="T21" s="3203">
        <v>1</v>
      </c>
      <c r="U21" s="3203">
        <v>1</v>
      </c>
      <c r="V21" s="3203">
        <v>1</v>
      </c>
      <c r="W21" s="3203">
        <f t="shared" ref="W21" si="64">T21</f>
        <v>1</v>
      </c>
      <c r="X21" s="3200"/>
      <c r="Y21" s="3202">
        <f>IF(D21=0,0,ROUND(AVERAGE(D21:D21)/100,4))</f>
        <v>9.7000000000000003E-3</v>
      </c>
      <c r="Z21" s="3202">
        <f>IF(E21=0,0,ROUND(AVERAGE(E21:E21)/100,4))</f>
        <v>1.6000000000000001E-3</v>
      </c>
      <c r="AA21" s="3202">
        <f>IF(F21=0,0,ROUND(AVERAGE(F21:F21)/100,4))</f>
        <v>-2.5000000000000001E-3</v>
      </c>
      <c r="AB21" s="3202">
        <f>IF(G21=0,0,ROUND(AVERAGE(G21:G21)/100,4))</f>
        <v>1.11E-2</v>
      </c>
      <c r="AC21" s="3202">
        <f>IF(H21=0,0,ROUND(AVERAGE(H21:H21)/100,4))</f>
        <v>3.5999999999999999E-3</v>
      </c>
      <c r="AD21" s="3202">
        <f>AA21</f>
        <v>-2.5000000000000001E-3</v>
      </c>
    </row>
    <row r="22" spans="1:30" s="3006" customFormat="1" ht="15" thickTop="1"/>
    <row r="23" spans="1:30" s="3006" customFormat="1">
      <c r="A23" s="3445" t="s">
        <v>3382</v>
      </c>
    </row>
    <row r="24" spans="1:30" s="3006" customFormat="1">
      <c r="I24" s="3205" t="s">
        <v>2822</v>
      </c>
    </row>
    <row r="25" spans="1:30" s="3006" customFormat="1"/>
    <row r="26" spans="1:30" s="3206" customFormat="1" ht="13.2">
      <c r="B26" s="3207" t="s">
        <v>3380</v>
      </c>
      <c r="C26" s="3208"/>
      <c r="D26" s="3208"/>
      <c r="E26" s="3208"/>
      <c r="F26" s="3208"/>
      <c r="G26" s="3208"/>
      <c r="H26" s="3208"/>
      <c r="I26" s="3208"/>
      <c r="J26" s="3162"/>
      <c r="K26" s="3208" t="s">
        <v>2823</v>
      </c>
      <c r="L26" s="3208"/>
      <c r="M26" s="3208"/>
      <c r="N26" s="3208"/>
      <c r="O26" s="3208"/>
      <c r="P26" s="3208"/>
      <c r="Q26" s="3162"/>
      <c r="R26" s="3803" t="s">
        <v>2824</v>
      </c>
      <c r="S26" s="3804"/>
      <c r="T26" s="3804"/>
      <c r="U26" s="3804"/>
      <c r="V26" s="3804"/>
      <c r="W26" s="3804"/>
      <c r="X26" s="3162"/>
      <c r="Y26" s="3803" t="s">
        <v>2825</v>
      </c>
      <c r="Z26" s="3804"/>
      <c r="AA26" s="3804"/>
      <c r="AB26" s="3804"/>
      <c r="AC26" s="3804"/>
      <c r="AD26" s="3804"/>
    </row>
    <row r="27" spans="1:30" s="3140" customFormat="1" ht="15" thickBot="1">
      <c r="B27" s="3141"/>
      <c r="C27" s="3142"/>
      <c r="D27" s="3143" t="s">
        <v>2826</v>
      </c>
      <c r="E27" s="3144" t="s">
        <v>2827</v>
      </c>
      <c r="F27" s="3144" t="s">
        <v>2828</v>
      </c>
      <c r="G27" s="3144" t="s">
        <v>2829</v>
      </c>
      <c r="H27" s="3144"/>
      <c r="I27" s="3144" t="s">
        <v>2830</v>
      </c>
      <c r="J27" s="3145"/>
      <c r="K27" s="3143" t="s">
        <v>2826</v>
      </c>
      <c r="L27" s="3144" t="s">
        <v>2827</v>
      </c>
      <c r="M27" s="3144" t="s">
        <v>2828</v>
      </c>
      <c r="N27" s="3144" t="s">
        <v>2829</v>
      </c>
      <c r="O27" s="3144"/>
      <c r="P27" s="3144" t="s">
        <v>2830</v>
      </c>
      <c r="Q27" s="3145"/>
      <c r="R27" s="3143" t="s">
        <v>2826</v>
      </c>
      <c r="S27" s="3144" t="s">
        <v>2827</v>
      </c>
      <c r="T27" s="3144" t="s">
        <v>2828</v>
      </c>
      <c r="U27" s="3144" t="s">
        <v>2829</v>
      </c>
      <c r="V27" s="3144"/>
      <c r="W27" s="3144" t="s">
        <v>2830</v>
      </c>
      <c r="X27" s="3145"/>
      <c r="Y27" s="3143" t="s">
        <v>2826</v>
      </c>
      <c r="Z27" s="3144" t="s">
        <v>2827</v>
      </c>
      <c r="AA27" s="3144" t="s">
        <v>2828</v>
      </c>
      <c r="AB27" s="3144" t="s">
        <v>2829</v>
      </c>
      <c r="AC27" s="3144"/>
      <c r="AD27" s="3144" t="s">
        <v>2830</v>
      </c>
    </row>
    <row r="28" spans="1:30" s="3158" customFormat="1" ht="13.2">
      <c r="A28" s="3146" t="s">
        <v>2831</v>
      </c>
      <c r="B28" s="3147"/>
      <c r="C28" s="3148"/>
      <c r="D28" s="3148"/>
      <c r="E28" s="3148">
        <f t="shared" ref="E28:G28" si="65">ROUND(AVERAGEIF(E29:E46,"&lt;&gt;0"),2)</f>
        <v>0.26</v>
      </c>
      <c r="F28" s="3148">
        <f t="shared" si="65"/>
        <v>0.19</v>
      </c>
      <c r="G28" s="3148">
        <f t="shared" si="65"/>
        <v>0.38</v>
      </c>
      <c r="H28" s="3148"/>
      <c r="I28" s="3148">
        <f>F28</f>
        <v>0.19</v>
      </c>
      <c r="J28" s="3149"/>
      <c r="K28" s="3150"/>
      <c r="L28" s="3151">
        <f t="shared" ref="L28:N28" si="66">ROUND(AVERAGEIF(L29:L46,"&lt;&gt;0"),4)</f>
        <v>2.5999999999999999E-3</v>
      </c>
      <c r="M28" s="3151">
        <f t="shared" si="66"/>
        <v>1.9E-3</v>
      </c>
      <c r="N28" s="3151">
        <f t="shared" si="66"/>
        <v>3.8E-3</v>
      </c>
      <c r="O28" s="3151"/>
      <c r="P28" s="3151">
        <f>M28</f>
        <v>1.9E-3</v>
      </c>
      <c r="Q28" s="3149"/>
      <c r="R28" s="3152"/>
      <c r="S28" s="3153">
        <f>ROUND(SUMPRODUCT(PRODUCT(1+L29:L46)),4)</f>
        <v>1.04</v>
      </c>
      <c r="T28" s="3153">
        <f t="shared" ref="T28:U28" si="67">ROUND(SUMPRODUCT(PRODUCT(1+M29:M46)),4)</f>
        <v>1.0293000000000001</v>
      </c>
      <c r="U28" s="3153">
        <f t="shared" si="67"/>
        <v>1.0583</v>
      </c>
      <c r="V28" s="3153"/>
      <c r="W28" s="3152">
        <f>T28</f>
        <v>1.0293000000000001</v>
      </c>
      <c r="X28" s="3149"/>
      <c r="Y28" s="3154"/>
      <c r="Z28" s="3155">
        <f t="shared" ref="Z28:AB28" si="68">ROUND(AVERAGEIF(Z29:Z46,"&lt;&gt;0"),4)</f>
        <v>4.1000000000000003E-3</v>
      </c>
      <c r="AA28" s="3156">
        <f t="shared" si="68"/>
        <v>3.3E-3</v>
      </c>
      <c r="AB28" s="3154">
        <f t="shared" si="68"/>
        <v>8.0999999999999996E-3</v>
      </c>
      <c r="AC28" s="3157"/>
      <c r="AD28" s="3154">
        <f>AA28</f>
        <v>3.3E-3</v>
      </c>
    </row>
    <row r="29" spans="1:30" s="3159" customFormat="1" ht="13.2">
      <c r="B29" s="3160"/>
      <c r="C29" s="3161"/>
      <c r="D29" s="3161"/>
      <c r="E29" s="3161"/>
      <c r="F29" s="3161"/>
      <c r="G29" s="3161"/>
      <c r="H29" s="3161"/>
      <c r="I29" s="3161"/>
      <c r="J29" s="3162"/>
      <c r="K29" s="3163"/>
      <c r="L29" s="3164"/>
      <c r="M29" s="3164"/>
      <c r="N29" s="3164"/>
      <c r="O29" s="3164"/>
      <c r="P29" s="3164"/>
      <c r="Q29" s="3162"/>
      <c r="R29" s="3165"/>
      <c r="S29" s="3166"/>
      <c r="T29" s="3167"/>
      <c r="U29" s="3165"/>
      <c r="V29" s="3168"/>
      <c r="W29" s="3165"/>
      <c r="X29" s="3162"/>
      <c r="Y29" s="3169"/>
      <c r="Z29" s="3170"/>
      <c r="AA29" s="3171"/>
      <c r="AB29" s="3169"/>
      <c r="AC29" s="3172"/>
      <c r="AD29" s="3169"/>
    </row>
    <row r="30" spans="1:30" s="3182" customFormat="1" ht="13.2">
      <c r="A30" s="2204" t="s">
        <v>3375</v>
      </c>
      <c r="B30" s="3174">
        <v>2025</v>
      </c>
      <c r="C30" s="3175">
        <v>1</v>
      </c>
      <c r="D30" s="3176"/>
      <c r="E30" s="3176">
        <v>0</v>
      </c>
      <c r="F30" s="3176">
        <v>0</v>
      </c>
      <c r="G30" s="3176">
        <v>0</v>
      </c>
      <c r="H30" s="3176"/>
      <c r="I30" s="3177">
        <f t="shared" ref="I30" si="69">F30</f>
        <v>0</v>
      </c>
      <c r="J30" s="3178"/>
      <c r="K30" s="3179"/>
      <c r="L30" s="3169">
        <f t="shared" ref="L30" si="70">E30/100</f>
        <v>0</v>
      </c>
      <c r="M30" s="3169">
        <f t="shared" ref="M30" si="71">F30/100</f>
        <v>0</v>
      </c>
      <c r="N30" s="3169">
        <f t="shared" ref="N30" si="72">G30/100</f>
        <v>0</v>
      </c>
      <c r="O30" s="3169"/>
      <c r="P30" s="3169">
        <f>M30</f>
        <v>0</v>
      </c>
      <c r="Q30" s="3178"/>
      <c r="R30" s="3180"/>
      <c r="S30" s="3180">
        <f>ROUND(IF(项目基本情况!$B$8="出让",SUMPRODUCT(PRODUCT(1+L30:L$46)),SUMPRODUCT(PRODUCT(1+L30:L$45))),4)</f>
        <v>1.0364</v>
      </c>
      <c r="T30" s="3180">
        <f>ROUND(IF(项目基本情况!$B$8="出让",SUMPRODUCT(PRODUCT(1+M30:M$46)),SUMPRODUCT(PRODUCT(1+M30:M$45))),4)</f>
        <v>1.0244</v>
      </c>
      <c r="U30" s="3180">
        <f>ROUND(IF(项目基本情况!$B$8="出让",SUMPRODUCT(PRODUCT(1+N30:N$46)),SUMPRODUCT(PRODUCT(1+N30:N$45))),4)</f>
        <v>1.048</v>
      </c>
      <c r="V30" s="3180"/>
      <c r="W30" s="3180">
        <f>T30</f>
        <v>1.0244</v>
      </c>
      <c r="X30" s="3178"/>
      <c r="Y30" s="3181"/>
      <c r="Z30" s="3209">
        <f t="shared" ref="Z30" si="73">IF(E30=0,0,ROUND(AVERAGE(E30:E43)/100,4))</f>
        <v>0</v>
      </c>
      <c r="AA30" s="3209">
        <f t="shared" ref="AA30" si="74">IF(F30=0,0,ROUND(AVERAGE(F30:F43)/100,4))</f>
        <v>0</v>
      </c>
      <c r="AB30" s="3209">
        <f t="shared" ref="AB30" si="75">IF(G30=0,0,ROUND(AVERAGE(G30:G43)/100,4))</f>
        <v>0</v>
      </c>
      <c r="AC30" s="3210"/>
      <c r="AD30" s="3181">
        <f>IF(I30=0,0,ROUND(AVERAGE(I30:I43)/100,4))</f>
        <v>0</v>
      </c>
    </row>
    <row r="31" spans="1:30" s="3192" customFormat="1" ht="13.2">
      <c r="A31" s="3183" t="s">
        <v>3377</v>
      </c>
      <c r="B31" s="3184">
        <v>2024</v>
      </c>
      <c r="C31" s="3185">
        <v>4</v>
      </c>
      <c r="D31" s="3186"/>
      <c r="E31" s="3186">
        <v>0</v>
      </c>
      <c r="F31" s="3186">
        <v>0</v>
      </c>
      <c r="G31" s="3186">
        <v>0</v>
      </c>
      <c r="H31" s="3187"/>
      <c r="I31" s="3188">
        <f t="shared" ref="I31" si="76">F31</f>
        <v>0</v>
      </c>
      <c r="J31" s="3189"/>
      <c r="K31" s="3190"/>
      <c r="L31" s="3191">
        <f t="shared" ref="L31" si="77">E31/100</f>
        <v>0</v>
      </c>
      <c r="M31" s="3191">
        <f t="shared" ref="M31" si="78">F31/100</f>
        <v>0</v>
      </c>
      <c r="N31" s="3191">
        <f t="shared" ref="N31" si="79">G31/100</f>
        <v>0</v>
      </c>
      <c r="O31" s="3191"/>
      <c r="P31" s="3191">
        <f>M31</f>
        <v>0</v>
      </c>
      <c r="Q31" s="3189"/>
      <c r="R31" s="3189"/>
      <c r="S31" s="3189">
        <f>ROUND(IF(项目基本情况!$B$8="出让",SUMPRODUCT(PRODUCT(1+L31:L$46)),SUMPRODUCT(PRODUCT(1+L31:L$45))),4)</f>
        <v>1.0364</v>
      </c>
      <c r="T31" s="3189">
        <f>ROUND(IF(项目基本情况!$B$8="出让",SUMPRODUCT(PRODUCT(1+M31:M$46)),SUMPRODUCT(PRODUCT(1+M31:M$45))),4)</f>
        <v>1.0244</v>
      </c>
      <c r="U31" s="3189">
        <f>ROUND(IF(项目基本情况!$B$8="出让",SUMPRODUCT(PRODUCT(1+N31:N$46)),SUMPRODUCT(PRODUCT(1+N31:N$45))),4)</f>
        <v>1.048</v>
      </c>
      <c r="V31" s="3189"/>
      <c r="W31" s="3189">
        <f>T31</f>
        <v>1.0244</v>
      </c>
      <c r="X31" s="3189"/>
      <c r="Y31" s="3191"/>
      <c r="Z31" s="3212">
        <f t="shared" ref="Z31" si="80">IF(E31=0,0,ROUND(AVERAGE(E31:E44)/100,4))</f>
        <v>0</v>
      </c>
      <c r="AA31" s="3213">
        <f t="shared" ref="AA31" si="81">IF(F31=0,0,ROUND(AVERAGE(F31:F44)/100,4))</f>
        <v>0</v>
      </c>
      <c r="AB31" s="3191">
        <f t="shared" ref="AB31" si="82">IF(G31=0,0,ROUND(AVERAGE(G31:G44)/100,4))</f>
        <v>0</v>
      </c>
      <c r="AC31" s="3214"/>
      <c r="AD31" s="3191">
        <f>IF(I31=0,0,ROUND(AVERAGE(I31:I44)/100,4))</f>
        <v>0</v>
      </c>
    </row>
    <row r="32" spans="1:30" s="3182" customFormat="1" ht="13.2">
      <c r="A32" s="2204" t="s">
        <v>3370</v>
      </c>
      <c r="B32" s="3174">
        <v>2024</v>
      </c>
      <c r="C32" s="3175">
        <v>3</v>
      </c>
      <c r="D32" s="3176"/>
      <c r="E32" s="3176">
        <v>-0.66</v>
      </c>
      <c r="F32" s="3176">
        <v>-0.52</v>
      </c>
      <c r="G32" s="3176">
        <v>-2.87</v>
      </c>
      <c r="H32" s="3176"/>
      <c r="I32" s="3177">
        <f t="shared" ref="I32" si="83">F32</f>
        <v>-0.52</v>
      </c>
      <c r="J32" s="3178"/>
      <c r="K32" s="3179"/>
      <c r="L32" s="3169">
        <f t="shared" ref="L32" si="84">E32/100</f>
        <v>-6.6E-3</v>
      </c>
      <c r="M32" s="3169">
        <f t="shared" ref="M32" si="85">F32/100</f>
        <v>-5.1999999999999998E-3</v>
      </c>
      <c r="N32" s="3169">
        <f t="shared" ref="N32" si="86">G32/100</f>
        <v>-2.87E-2</v>
      </c>
      <c r="O32" s="3169"/>
      <c r="P32" s="3169">
        <f>M32</f>
        <v>-5.1999999999999998E-3</v>
      </c>
      <c r="Q32" s="3178"/>
      <c r="R32" s="3180"/>
      <c r="S32" s="3180">
        <f>ROUND(IF(项目基本情况!$B$8="出让",SUMPRODUCT(PRODUCT(1+L32:L$46)),SUMPRODUCT(PRODUCT(1+L32:L$45))),4)</f>
        <v>1.0364</v>
      </c>
      <c r="T32" s="3180">
        <f>ROUND(IF(项目基本情况!$B$8="出让",SUMPRODUCT(PRODUCT(1+M32:M$46)),SUMPRODUCT(PRODUCT(1+M32:M$45))),4)</f>
        <v>1.0244</v>
      </c>
      <c r="U32" s="3180">
        <f>ROUND(IF(项目基本情况!$B$8="出让",SUMPRODUCT(PRODUCT(1+N32:N$46)),SUMPRODUCT(PRODUCT(1+N32:N$45))),4)</f>
        <v>1.048</v>
      </c>
      <c r="V32" s="3180"/>
      <c r="W32" s="3180">
        <f>T32</f>
        <v>1.0244</v>
      </c>
      <c r="X32" s="3178"/>
      <c r="Y32" s="3181"/>
      <c r="Z32" s="3209">
        <f t="shared" ref="Z32:AB33" si="87">IF(E32=0,0,ROUND(AVERAGE(E32:E45)/100,4))</f>
        <v>2.5999999999999999E-3</v>
      </c>
      <c r="AA32" s="3209">
        <f t="shared" si="87"/>
        <v>1.6999999999999999E-3</v>
      </c>
      <c r="AB32" s="3209">
        <f t="shared" si="87"/>
        <v>3.3999999999999998E-3</v>
      </c>
      <c r="AC32" s="3210"/>
      <c r="AD32" s="3181">
        <f>IF(I32=0,0,ROUND(AVERAGE(I32:I45)/100,4))</f>
        <v>1.6999999999999999E-3</v>
      </c>
    </row>
    <row r="33" spans="1:30" s="3182" customFormat="1" ht="13.2">
      <c r="A33" s="3173" t="s">
        <v>3378</v>
      </c>
      <c r="B33" s="3174">
        <v>2024</v>
      </c>
      <c r="C33" s="3175">
        <v>2</v>
      </c>
      <c r="D33" s="3176"/>
      <c r="E33" s="3176">
        <v>-0.31</v>
      </c>
      <c r="F33" s="3176">
        <v>-0.39</v>
      </c>
      <c r="G33" s="3176">
        <v>1.23</v>
      </c>
      <c r="H33" s="3193"/>
      <c r="I33" s="3177">
        <f t="shared" ref="I33:I46" si="88">F33</f>
        <v>-0.39</v>
      </c>
      <c r="J33" s="3178"/>
      <c r="K33" s="3179"/>
      <c r="L33" s="3169">
        <f t="shared" ref="L33:N46" si="89">E33/100</f>
        <v>-3.0999999999999999E-3</v>
      </c>
      <c r="M33" s="3169">
        <f t="shared" si="89"/>
        <v>-3.9000000000000003E-3</v>
      </c>
      <c r="N33" s="3169">
        <f t="shared" si="89"/>
        <v>1.23E-2</v>
      </c>
      <c r="O33" s="3169"/>
      <c r="P33" s="3169">
        <f>M33</f>
        <v>-3.9000000000000003E-3</v>
      </c>
      <c r="Q33" s="3178"/>
      <c r="R33" s="3180"/>
      <c r="S33" s="3180">
        <f>ROUND(IF(项目基本情况!$B$8="出让",SUMPRODUCT(PRODUCT(1+L33:L$46)),SUMPRODUCT(PRODUCT(1+L33:L$45))),4)</f>
        <v>1.0432999999999999</v>
      </c>
      <c r="T33" s="3180">
        <f>ROUND(IF(项目基本情况!$B$8="出让",SUMPRODUCT(PRODUCT(1+M33:M$46)),SUMPRODUCT(PRODUCT(1+M33:M$45))),4)</f>
        <v>1.0298</v>
      </c>
      <c r="U33" s="3180">
        <f>ROUND(IF(项目基本情况!$B$8="出让",SUMPRODUCT(PRODUCT(1+N33:N$46)),SUMPRODUCT(PRODUCT(1+N33:N$45))),4)</f>
        <v>1.079</v>
      </c>
      <c r="V33" s="3180"/>
      <c r="W33" s="3180">
        <f>T33</f>
        <v>1.0298</v>
      </c>
      <c r="X33" s="3178"/>
      <c r="Y33" s="3181"/>
      <c r="Z33" s="3209">
        <f t="shared" si="87"/>
        <v>3.3E-3</v>
      </c>
      <c r="AA33" s="3211">
        <f t="shared" si="87"/>
        <v>2.3999999999999998E-3</v>
      </c>
      <c r="AB33" s="3181">
        <f t="shared" si="87"/>
        <v>6.1999999999999998E-3</v>
      </c>
      <c r="AC33" s="3210"/>
      <c r="AD33" s="3181">
        <f>IF(I33=0,0,ROUND(AVERAGE(I33:I46)/100,4))</f>
        <v>2.3999999999999998E-3</v>
      </c>
    </row>
    <row r="34" spans="1:30" s="3182" customFormat="1" ht="13.2">
      <c r="A34" s="3173" t="s">
        <v>3371</v>
      </c>
      <c r="B34" s="3174">
        <v>2024</v>
      </c>
      <c r="C34" s="3175">
        <v>1</v>
      </c>
      <c r="D34" s="3176"/>
      <c r="E34" s="3176">
        <v>0.25</v>
      </c>
      <c r="F34" s="3176">
        <v>0.4</v>
      </c>
      <c r="G34" s="3176">
        <v>-0.63</v>
      </c>
      <c r="H34" s="3193"/>
      <c r="I34" s="3177">
        <f t="shared" ref="I34:I35" si="90">F34</f>
        <v>0.4</v>
      </c>
      <c r="J34" s="3178"/>
      <c r="K34" s="3179"/>
      <c r="L34" s="3169">
        <f t="shared" ref="L34" si="91">E34/100</f>
        <v>2.5000000000000001E-3</v>
      </c>
      <c r="M34" s="3169">
        <f t="shared" ref="M34" si="92">F34/100</f>
        <v>4.0000000000000001E-3</v>
      </c>
      <c r="N34" s="3169">
        <f t="shared" ref="N34" si="93">G34/100</f>
        <v>-6.3E-3</v>
      </c>
      <c r="O34" s="3169"/>
      <c r="P34" s="3169">
        <f t="shared" ref="P34" si="94">M34</f>
        <v>4.0000000000000001E-3</v>
      </c>
      <c r="Q34" s="3178"/>
      <c r="R34" s="3180"/>
      <c r="S34" s="3180">
        <f>ROUND(IF(项目基本情况!$B$8="出让",SUMPRODUCT(PRODUCT(1+L34:L$46)),SUMPRODUCT(PRODUCT(1+L34:L$45))),4)</f>
        <v>1.0465</v>
      </c>
      <c r="T34" s="3180">
        <f>ROUND(IF(项目基本情况!$B$8="出让",SUMPRODUCT(PRODUCT(1+M34:M$46)),SUMPRODUCT(PRODUCT(1+M34:M$45))),4)</f>
        <v>1.0338000000000001</v>
      </c>
      <c r="U34" s="3180">
        <f>ROUND(IF(项目基本情况!$B$8="出让",SUMPRODUCT(PRODUCT(1+N34:N$46)),SUMPRODUCT(PRODUCT(1+N34:N$45))),4)</f>
        <v>1.0659000000000001</v>
      </c>
      <c r="V34" s="3180"/>
      <c r="W34" s="3180">
        <f t="shared" ref="W34" si="95">T34</f>
        <v>1.0338000000000001</v>
      </c>
      <c r="X34" s="3178"/>
      <c r="Y34" s="3181"/>
      <c r="Z34" s="3209"/>
      <c r="AA34" s="3211"/>
      <c r="AB34" s="3181"/>
      <c r="AC34" s="3210"/>
      <c r="AD34" s="3181"/>
    </row>
    <row r="35" spans="1:30" s="3182" customFormat="1" ht="13.2">
      <c r="A35" s="3173" t="s">
        <v>3369</v>
      </c>
      <c r="B35" s="3174">
        <v>2023</v>
      </c>
      <c r="C35" s="3175">
        <v>4</v>
      </c>
      <c r="D35" s="3176"/>
      <c r="E35" s="3176">
        <v>7.0000000000000007E-2</v>
      </c>
      <c r="F35" s="3176">
        <v>0.09</v>
      </c>
      <c r="G35" s="3176">
        <v>0.03</v>
      </c>
      <c r="H35" s="3193"/>
      <c r="I35" s="3177">
        <f t="shared" si="90"/>
        <v>0.09</v>
      </c>
      <c r="J35" s="3178"/>
      <c r="K35" s="3179"/>
      <c r="L35" s="3169">
        <f t="shared" si="89"/>
        <v>7.000000000000001E-4</v>
      </c>
      <c r="M35" s="3169">
        <f t="shared" si="89"/>
        <v>8.9999999999999998E-4</v>
      </c>
      <c r="N35" s="3169">
        <f t="shared" si="89"/>
        <v>2.9999999999999997E-4</v>
      </c>
      <c r="O35" s="3169"/>
      <c r="P35" s="3169">
        <f t="shared" ref="P35" si="96">M35</f>
        <v>8.9999999999999998E-4</v>
      </c>
      <c r="Q35" s="3178"/>
      <c r="R35" s="3180"/>
      <c r="S35" s="3180">
        <f>ROUND(IF(项目基本情况!$B$8="出让",SUMPRODUCT(PRODUCT(1+L35:L$46)),SUMPRODUCT(PRODUCT(1+L35:L$45))),4)</f>
        <v>1.0439000000000001</v>
      </c>
      <c r="T35" s="3180">
        <f>ROUND(IF(项目基本情况!$B$8="出让",SUMPRODUCT(PRODUCT(1+M35:M$46)),SUMPRODUCT(PRODUCT(1+M35:M$45))),4)</f>
        <v>1.0297000000000001</v>
      </c>
      <c r="U35" s="3180">
        <f>ROUND(IF(项目基本情况!$B$8="出让",SUMPRODUCT(PRODUCT(1+N35:N$46)),SUMPRODUCT(PRODUCT(1+N35:N$45))),4)</f>
        <v>1.0727</v>
      </c>
      <c r="V35" s="3180"/>
      <c r="W35" s="3180">
        <f t="shared" ref="W35" si="97">T35</f>
        <v>1.0297000000000001</v>
      </c>
      <c r="X35" s="3178"/>
      <c r="Y35" s="3181"/>
      <c r="Z35" s="3209"/>
      <c r="AA35" s="3211"/>
      <c r="AB35" s="3181"/>
      <c r="AC35" s="3210"/>
      <c r="AD35" s="3181"/>
    </row>
    <row r="36" spans="1:30" s="3182" customFormat="1" ht="13.2">
      <c r="A36" s="3173" t="s">
        <v>3367</v>
      </c>
      <c r="B36" s="3174">
        <v>2023</v>
      </c>
      <c r="C36" s="3175">
        <v>3</v>
      </c>
      <c r="D36" s="3176"/>
      <c r="E36" s="3176">
        <v>0.35</v>
      </c>
      <c r="F36" s="3176">
        <v>0.17</v>
      </c>
      <c r="G36" s="3176">
        <v>0.52</v>
      </c>
      <c r="H36" s="3193"/>
      <c r="I36" s="3177">
        <f t="shared" si="88"/>
        <v>0.17</v>
      </c>
      <c r="J36" s="3178"/>
      <c r="K36" s="3179"/>
      <c r="L36" s="3169">
        <f t="shared" ref="L36:L38" si="98">E36/100</f>
        <v>3.4999999999999996E-3</v>
      </c>
      <c r="M36" s="3169">
        <f t="shared" ref="M36:M38" si="99">F36/100</f>
        <v>1.7000000000000001E-3</v>
      </c>
      <c r="N36" s="3169">
        <f t="shared" ref="N36:N38" si="100">G36/100</f>
        <v>5.1999999999999998E-3</v>
      </c>
      <c r="O36" s="3169"/>
      <c r="P36" s="3169">
        <f t="shared" ref="P36:P38" si="101">M36</f>
        <v>1.7000000000000001E-3</v>
      </c>
      <c r="Q36" s="3178"/>
      <c r="R36" s="3180"/>
      <c r="S36" s="3180">
        <f>ROUND(IF(项目基本情况!$B$8="出让",SUMPRODUCT(PRODUCT(1+L36:L$46)),SUMPRODUCT(PRODUCT(1+L36:L$45))),4)</f>
        <v>1.0431999999999999</v>
      </c>
      <c r="T36" s="3180">
        <f>ROUND(IF(项目基本情况!$B$8="出让",SUMPRODUCT(PRODUCT(1+M36:M$46)),SUMPRODUCT(PRODUCT(1+M36:M$45))),4)</f>
        <v>1.0286999999999999</v>
      </c>
      <c r="U36" s="3180">
        <f>ROUND(IF(项目基本情况!$B$8="出让",SUMPRODUCT(PRODUCT(1+N36:N$46)),SUMPRODUCT(PRODUCT(1+N36:N$45))),4)</f>
        <v>1.0723</v>
      </c>
      <c r="V36" s="3180"/>
      <c r="W36" s="3180">
        <f t="shared" ref="W36:W38" si="102">T36</f>
        <v>1.0286999999999999</v>
      </c>
      <c r="X36" s="3178"/>
      <c r="Y36" s="3181"/>
      <c r="Z36" s="3209"/>
      <c r="AA36" s="3211"/>
      <c r="AB36" s="3181"/>
      <c r="AC36" s="3210"/>
      <c r="AD36" s="3181"/>
    </row>
    <row r="37" spans="1:30" s="3182" customFormat="1" ht="13.2">
      <c r="A37" s="3173" t="s">
        <v>3366</v>
      </c>
      <c r="B37" s="3174">
        <v>2023</v>
      </c>
      <c r="C37" s="3175">
        <v>2</v>
      </c>
      <c r="D37" s="3176"/>
      <c r="E37" s="3176">
        <v>0.5</v>
      </c>
      <c r="F37" s="3176">
        <v>0.45</v>
      </c>
      <c r="G37" s="3176">
        <v>0.89</v>
      </c>
      <c r="H37" s="3193"/>
      <c r="I37" s="3177">
        <f t="shared" si="88"/>
        <v>0.45</v>
      </c>
      <c r="J37" s="3178"/>
      <c r="K37" s="3179"/>
      <c r="L37" s="3169">
        <f t="shared" si="98"/>
        <v>5.0000000000000001E-3</v>
      </c>
      <c r="M37" s="3169">
        <f t="shared" si="99"/>
        <v>4.5000000000000005E-3</v>
      </c>
      <c r="N37" s="3169">
        <f t="shared" si="100"/>
        <v>8.8999999999999999E-3</v>
      </c>
      <c r="O37" s="3169"/>
      <c r="P37" s="3169">
        <f t="shared" si="101"/>
        <v>4.5000000000000005E-3</v>
      </c>
      <c r="Q37" s="3178"/>
      <c r="R37" s="3180"/>
      <c r="S37" s="3180">
        <f>ROUND(IF(项目基本情况!$B$8="出让",SUMPRODUCT(PRODUCT(1+L37:L$46)),SUMPRODUCT(PRODUCT(1+L37:L$45))),4)</f>
        <v>1.0396000000000001</v>
      </c>
      <c r="T37" s="3180">
        <f>ROUND(IF(项目基本情况!$B$8="出让",SUMPRODUCT(PRODUCT(1+M37:M$46)),SUMPRODUCT(PRODUCT(1+M37:M$45))),4)</f>
        <v>1.0269999999999999</v>
      </c>
      <c r="U37" s="3180">
        <f>ROUND(IF(项目基本情况!$B$8="出让",SUMPRODUCT(PRODUCT(1+N37:N$46)),SUMPRODUCT(PRODUCT(1+N37:N$45))),4)</f>
        <v>1.0668</v>
      </c>
      <c r="V37" s="3180"/>
      <c r="W37" s="3180">
        <f t="shared" si="102"/>
        <v>1.0269999999999999</v>
      </c>
      <c r="X37" s="3178"/>
      <c r="Y37" s="3181"/>
      <c r="Z37" s="3209"/>
      <c r="AA37" s="3211"/>
      <c r="AB37" s="3181"/>
      <c r="AC37" s="3210"/>
      <c r="AD37" s="3181"/>
    </row>
    <row r="38" spans="1:30" s="3182" customFormat="1" ht="13.2">
      <c r="A38" s="3173" t="s">
        <v>3364</v>
      </c>
      <c r="B38" s="3174">
        <v>2023</v>
      </c>
      <c r="C38" s="3175">
        <v>1</v>
      </c>
      <c r="D38" s="3176"/>
      <c r="E38" s="3176">
        <v>0.55000000000000004</v>
      </c>
      <c r="F38" s="3176">
        <v>0.59</v>
      </c>
      <c r="G38" s="3176">
        <v>0.64</v>
      </c>
      <c r="H38" s="3193"/>
      <c r="I38" s="3177">
        <f t="shared" si="88"/>
        <v>0.59</v>
      </c>
      <c r="J38" s="3178"/>
      <c r="K38" s="3179"/>
      <c r="L38" s="3169">
        <f t="shared" si="98"/>
        <v>5.5000000000000005E-3</v>
      </c>
      <c r="M38" s="3169">
        <f t="shared" si="99"/>
        <v>5.8999999999999999E-3</v>
      </c>
      <c r="N38" s="3169">
        <f t="shared" si="100"/>
        <v>6.4000000000000003E-3</v>
      </c>
      <c r="O38" s="3169"/>
      <c r="P38" s="3169">
        <f t="shared" si="101"/>
        <v>5.8999999999999999E-3</v>
      </c>
      <c r="Q38" s="3178"/>
      <c r="R38" s="3180"/>
      <c r="S38" s="3180">
        <f>ROUND(IF(项目基本情况!$B$8="出让",SUMPRODUCT(PRODUCT(1+L38:L$46)),SUMPRODUCT(PRODUCT(1+L38:L$45))),4)</f>
        <v>1.0344</v>
      </c>
      <c r="T38" s="3180">
        <f>ROUND(IF(项目基本情况!$B$8="出让",SUMPRODUCT(PRODUCT(1+M38:M$46)),SUMPRODUCT(PRODUCT(1+M38:M$45))),4)</f>
        <v>1.0224</v>
      </c>
      <c r="U38" s="3180">
        <f>ROUND(IF(项目基本情况!$B$8="出让",SUMPRODUCT(PRODUCT(1+N38:N$46)),SUMPRODUCT(PRODUCT(1+N38:N$45))),4)</f>
        <v>1.0573999999999999</v>
      </c>
      <c r="V38" s="3180"/>
      <c r="W38" s="3180">
        <f t="shared" si="102"/>
        <v>1.0224</v>
      </c>
      <c r="X38" s="3178"/>
      <c r="Y38" s="3181"/>
      <c r="Z38" s="3209"/>
      <c r="AA38" s="3211"/>
      <c r="AB38" s="3181"/>
      <c r="AC38" s="3210"/>
      <c r="AD38" s="3181"/>
    </row>
    <row r="39" spans="1:30" s="3182" customFormat="1" ht="13.2">
      <c r="A39" s="3173" t="s">
        <v>3363</v>
      </c>
      <c r="B39" s="3174">
        <v>2022</v>
      </c>
      <c r="C39" s="3175">
        <v>4</v>
      </c>
      <c r="D39" s="3176"/>
      <c r="E39" s="3176">
        <v>0.45</v>
      </c>
      <c r="F39" s="3176">
        <v>0.2</v>
      </c>
      <c r="G39" s="3176">
        <v>0.38</v>
      </c>
      <c r="H39" s="3193"/>
      <c r="I39" s="3177">
        <f t="shared" si="88"/>
        <v>0.2</v>
      </c>
      <c r="J39" s="3178"/>
      <c r="K39" s="3179"/>
      <c r="L39" s="3169">
        <f t="shared" si="89"/>
        <v>4.5000000000000005E-3</v>
      </c>
      <c r="M39" s="3169">
        <f t="shared" si="89"/>
        <v>2E-3</v>
      </c>
      <c r="N39" s="3169">
        <f t="shared" si="89"/>
        <v>3.8E-3</v>
      </c>
      <c r="O39" s="3169"/>
      <c r="P39" s="3169">
        <f t="shared" ref="P39:P46" si="103">M39</f>
        <v>2E-3</v>
      </c>
      <c r="Q39" s="3178"/>
      <c r="R39" s="3180"/>
      <c r="S39" s="3180">
        <f>ROUND(IF(项目基本情况!$B$8="出让",SUMPRODUCT(PRODUCT(1+L39:L$46)),SUMPRODUCT(PRODUCT(1+L39:L$45))),4)</f>
        <v>1.0286999999999999</v>
      </c>
      <c r="T39" s="3180">
        <f>ROUND(IF(项目基本情况!$B$8="出让",SUMPRODUCT(PRODUCT(1+M39:M$46)),SUMPRODUCT(PRODUCT(1+M39:M$45))),4)</f>
        <v>1.0164</v>
      </c>
      <c r="U39" s="3180">
        <f>ROUND(IF(项目基本情况!$B$8="出让",SUMPRODUCT(PRODUCT(1+N39:N$46)),SUMPRODUCT(PRODUCT(1+N39:N$45))),4)</f>
        <v>1.0506</v>
      </c>
      <c r="V39" s="3180"/>
      <c r="W39" s="3180">
        <f t="shared" ref="W39:W46" si="104">T39</f>
        <v>1.0164</v>
      </c>
      <c r="X39" s="3178"/>
      <c r="Y39" s="3181"/>
      <c r="Z39" s="3209">
        <f t="shared" ref="Z39:AD46" si="105">IF(E39=0,0,ROUND(AVERAGE(E39:E47)/100,4))</f>
        <v>4.0000000000000001E-3</v>
      </c>
      <c r="AA39" s="3211">
        <f t="shared" si="105"/>
        <v>2.5999999999999999E-3</v>
      </c>
      <c r="AB39" s="3181">
        <f t="shared" si="105"/>
        <v>7.4000000000000003E-3</v>
      </c>
      <c r="AC39" s="3210"/>
      <c r="AD39" s="3181">
        <f t="shared" si="105"/>
        <v>2.5999999999999999E-3</v>
      </c>
    </row>
    <row r="40" spans="1:30" s="3182" customFormat="1" ht="13.2">
      <c r="A40" s="3173" t="s">
        <v>3362</v>
      </c>
      <c r="B40" s="3174">
        <v>2022</v>
      </c>
      <c r="C40" s="3175">
        <v>3</v>
      </c>
      <c r="D40" s="3176"/>
      <c r="E40" s="3176">
        <v>0.3</v>
      </c>
      <c r="F40" s="3176">
        <v>0.28999999999999998</v>
      </c>
      <c r="G40" s="3176">
        <v>0.83</v>
      </c>
      <c r="H40" s="3193"/>
      <c r="I40" s="3177">
        <f t="shared" si="88"/>
        <v>0.28999999999999998</v>
      </c>
      <c r="J40" s="3178"/>
      <c r="K40" s="3179"/>
      <c r="L40" s="3169">
        <f t="shared" si="89"/>
        <v>3.0000000000000001E-3</v>
      </c>
      <c r="M40" s="3169">
        <f t="shared" si="89"/>
        <v>2.8999999999999998E-3</v>
      </c>
      <c r="N40" s="3169">
        <f t="shared" si="89"/>
        <v>8.3000000000000001E-3</v>
      </c>
      <c r="O40" s="3169"/>
      <c r="P40" s="3169">
        <f t="shared" si="103"/>
        <v>2.8999999999999998E-3</v>
      </c>
      <c r="Q40" s="3178"/>
      <c r="R40" s="3180"/>
      <c r="S40" s="3180">
        <f>ROUND(IF(项目基本情况!$B$8="出让",SUMPRODUCT(PRODUCT(1+L40:L$46)),SUMPRODUCT(PRODUCT(1+L40:L$45))),4)</f>
        <v>1.0241</v>
      </c>
      <c r="T40" s="3180">
        <f>ROUND(IF(项目基本情况!$B$8="出让",SUMPRODUCT(PRODUCT(1+M40:M$46)),SUMPRODUCT(PRODUCT(1+M40:M$45))),4)</f>
        <v>1.0144</v>
      </c>
      <c r="U40" s="3180">
        <f>ROUND(IF(项目基本情况!$B$8="出让",SUMPRODUCT(PRODUCT(1+N40:N$46)),SUMPRODUCT(PRODUCT(1+N40:N$45))),4)</f>
        <v>1.0467</v>
      </c>
      <c r="V40" s="3180"/>
      <c r="W40" s="3180">
        <f t="shared" si="104"/>
        <v>1.0144</v>
      </c>
      <c r="X40" s="3178"/>
      <c r="Y40" s="3181"/>
      <c r="Z40" s="3209">
        <f t="shared" si="105"/>
        <v>3.8999999999999998E-3</v>
      </c>
      <c r="AA40" s="3211">
        <f t="shared" si="105"/>
        <v>2.7000000000000001E-3</v>
      </c>
      <c r="AB40" s="3181">
        <f t="shared" si="105"/>
        <v>7.9000000000000008E-3</v>
      </c>
      <c r="AC40" s="3210"/>
      <c r="AD40" s="3181">
        <f t="shared" si="105"/>
        <v>2.7000000000000001E-3</v>
      </c>
    </row>
    <row r="41" spans="1:30" s="3182" customFormat="1" ht="13.2">
      <c r="A41" s="3173" t="s">
        <v>3352</v>
      </c>
      <c r="B41" s="3174">
        <v>2022</v>
      </c>
      <c r="C41" s="3175">
        <v>2</v>
      </c>
      <c r="D41" s="3176"/>
      <c r="E41" s="3176">
        <v>-0.11</v>
      </c>
      <c r="F41" s="3176">
        <v>-0.13</v>
      </c>
      <c r="G41" s="3176">
        <v>0.53</v>
      </c>
      <c r="H41" s="3193"/>
      <c r="I41" s="3177">
        <f t="shared" si="88"/>
        <v>-0.13</v>
      </c>
      <c r="J41" s="3178"/>
      <c r="K41" s="3179"/>
      <c r="L41" s="3169">
        <f t="shared" si="89"/>
        <v>-1.1000000000000001E-3</v>
      </c>
      <c r="M41" s="3169">
        <f t="shared" si="89"/>
        <v>-1.2999999999999999E-3</v>
      </c>
      <c r="N41" s="3169">
        <f t="shared" si="89"/>
        <v>5.3E-3</v>
      </c>
      <c r="O41" s="3169"/>
      <c r="P41" s="3169">
        <f t="shared" si="103"/>
        <v>-1.2999999999999999E-3</v>
      </c>
      <c r="Q41" s="3178"/>
      <c r="R41" s="3180"/>
      <c r="S41" s="3180">
        <f>ROUND(IF(项目基本情况!$B$8="出让",SUMPRODUCT(PRODUCT(1+L41:L$46)),SUMPRODUCT(PRODUCT(1+L41:L$45))),4)</f>
        <v>1.0210999999999999</v>
      </c>
      <c r="T41" s="3180">
        <f>ROUND(IF(项目基本情况!$B$8="出让",SUMPRODUCT(PRODUCT(1+M41:M$46)),SUMPRODUCT(PRODUCT(1+M41:M$45))),4)</f>
        <v>1.0114000000000001</v>
      </c>
      <c r="U41" s="3180">
        <f>ROUND(IF(项目基本情况!$B$8="出让",SUMPRODUCT(PRODUCT(1+N41:N$46)),SUMPRODUCT(PRODUCT(1+N41:N$45))),4)</f>
        <v>1.0381</v>
      </c>
      <c r="V41" s="3180"/>
      <c r="W41" s="3180">
        <f t="shared" si="104"/>
        <v>1.0114000000000001</v>
      </c>
      <c r="X41" s="3178"/>
      <c r="Y41" s="3181"/>
      <c r="Z41" s="3209">
        <f t="shared" si="105"/>
        <v>4.1000000000000003E-3</v>
      </c>
      <c r="AA41" s="3211">
        <f t="shared" si="105"/>
        <v>2.7000000000000001E-3</v>
      </c>
      <c r="AB41" s="3181">
        <f t="shared" si="105"/>
        <v>7.9000000000000008E-3</v>
      </c>
      <c r="AC41" s="3210"/>
      <c r="AD41" s="3181">
        <f t="shared" si="105"/>
        <v>2.7000000000000001E-3</v>
      </c>
    </row>
    <row r="42" spans="1:30" s="3182" customFormat="1" ht="13.2">
      <c r="A42" s="3173" t="s">
        <v>2832</v>
      </c>
      <c r="B42" s="3174">
        <v>2022</v>
      </c>
      <c r="C42" s="3175">
        <v>1</v>
      </c>
      <c r="D42" s="3176"/>
      <c r="E42" s="3176">
        <v>0.6</v>
      </c>
      <c r="F42" s="3176">
        <v>0.45</v>
      </c>
      <c r="G42" s="3176">
        <v>0.53</v>
      </c>
      <c r="H42" s="3193"/>
      <c r="I42" s="3177">
        <f t="shared" si="88"/>
        <v>0.45</v>
      </c>
      <c r="J42" s="3178"/>
      <c r="K42" s="3179"/>
      <c r="L42" s="3169">
        <f t="shared" si="89"/>
        <v>6.0000000000000001E-3</v>
      </c>
      <c r="M42" s="3169">
        <f t="shared" si="89"/>
        <v>4.5000000000000005E-3</v>
      </c>
      <c r="N42" s="3169">
        <f t="shared" si="89"/>
        <v>5.3E-3</v>
      </c>
      <c r="O42" s="3169"/>
      <c r="P42" s="3169">
        <f t="shared" si="103"/>
        <v>4.5000000000000005E-3</v>
      </c>
      <c r="Q42" s="3178"/>
      <c r="R42" s="3180"/>
      <c r="S42" s="3180">
        <f>ROUND(IF(项目基本情况!$B$8="出让",SUMPRODUCT(PRODUCT(1+L42:L$46)),SUMPRODUCT(PRODUCT(1+L42:L$45))),4)</f>
        <v>1.0222</v>
      </c>
      <c r="T42" s="3180">
        <f>ROUND(IF(项目基本情况!$B$8="出让",SUMPRODUCT(PRODUCT(1+M42:M$46)),SUMPRODUCT(PRODUCT(1+M42:M$45))),4)</f>
        <v>1.0127999999999999</v>
      </c>
      <c r="U42" s="3180">
        <f>ROUND(IF(项目基本情况!$B$8="出让",SUMPRODUCT(PRODUCT(1+N42:N$46)),SUMPRODUCT(PRODUCT(1+N42:N$45))),4)</f>
        <v>1.0326</v>
      </c>
      <c r="V42" s="3180"/>
      <c r="W42" s="3180">
        <f t="shared" si="104"/>
        <v>1.0127999999999999</v>
      </c>
      <c r="X42" s="3178"/>
      <c r="Y42" s="3181"/>
      <c r="Z42" s="3209">
        <f t="shared" si="105"/>
        <v>5.1000000000000004E-3</v>
      </c>
      <c r="AA42" s="3211">
        <f t="shared" si="105"/>
        <v>3.5000000000000001E-3</v>
      </c>
      <c r="AB42" s="3181">
        <f t="shared" si="105"/>
        <v>8.3999999999999995E-3</v>
      </c>
      <c r="AC42" s="3210"/>
      <c r="AD42" s="3181">
        <f t="shared" si="105"/>
        <v>3.5000000000000001E-3</v>
      </c>
    </row>
    <row r="43" spans="1:30" s="3182" customFormat="1" ht="13.2">
      <c r="A43" s="3173" t="s">
        <v>2833</v>
      </c>
      <c r="B43" s="3174">
        <v>2021</v>
      </c>
      <c r="C43" s="3175">
        <v>4</v>
      </c>
      <c r="D43" s="3176"/>
      <c r="E43" s="3176">
        <v>0.57999999999999996</v>
      </c>
      <c r="F43" s="3176">
        <v>0.08</v>
      </c>
      <c r="G43" s="3176">
        <v>0.68</v>
      </c>
      <c r="H43" s="3193"/>
      <c r="I43" s="3177">
        <f t="shared" si="88"/>
        <v>0.08</v>
      </c>
      <c r="J43" s="3178"/>
      <c r="K43" s="3179"/>
      <c r="L43" s="3169">
        <f t="shared" si="89"/>
        <v>5.7999999999999996E-3</v>
      </c>
      <c r="M43" s="3169">
        <f t="shared" si="89"/>
        <v>8.0000000000000004E-4</v>
      </c>
      <c r="N43" s="3169">
        <f t="shared" si="89"/>
        <v>6.8000000000000005E-3</v>
      </c>
      <c r="O43" s="3169"/>
      <c r="P43" s="3169">
        <f t="shared" si="103"/>
        <v>8.0000000000000004E-4</v>
      </c>
      <c r="Q43" s="3178"/>
      <c r="R43" s="3180"/>
      <c r="S43" s="3180">
        <f>ROUND(IF(项目基本情况!$B$8="出让",SUMPRODUCT(PRODUCT(1+L43:L$46)),SUMPRODUCT(PRODUCT(1+L43:L$45))),4)</f>
        <v>1.0161</v>
      </c>
      <c r="T43" s="3180">
        <f>ROUND(IF(项目基本情况!$B$8="出让",SUMPRODUCT(PRODUCT(1+M43:M$46)),SUMPRODUCT(PRODUCT(1+M43:M$45))),4)</f>
        <v>1.0082</v>
      </c>
      <c r="U43" s="3180">
        <f>ROUND(IF(项目基本情况!$B$8="出让",SUMPRODUCT(PRODUCT(1+N43:N$46)),SUMPRODUCT(PRODUCT(1+N43:N$45))),4)</f>
        <v>1.0270999999999999</v>
      </c>
      <c r="V43" s="3180"/>
      <c r="W43" s="3180">
        <f t="shared" si="104"/>
        <v>1.0082</v>
      </c>
      <c r="X43" s="3178"/>
      <c r="Y43" s="3181"/>
      <c r="Z43" s="3209">
        <f t="shared" si="105"/>
        <v>4.8999999999999998E-3</v>
      </c>
      <c r="AA43" s="3211">
        <f t="shared" si="105"/>
        <v>3.3E-3</v>
      </c>
      <c r="AB43" s="3181">
        <f t="shared" si="105"/>
        <v>9.1999999999999998E-3</v>
      </c>
      <c r="AC43" s="3210"/>
      <c r="AD43" s="3181">
        <f t="shared" si="105"/>
        <v>3.3E-3</v>
      </c>
    </row>
    <row r="44" spans="1:30" s="3182" customFormat="1" ht="13.2">
      <c r="A44" s="3173" t="s">
        <v>2834</v>
      </c>
      <c r="B44" s="3174">
        <v>2021</v>
      </c>
      <c r="C44" s="3175">
        <v>3</v>
      </c>
      <c r="D44" s="3176"/>
      <c r="E44" s="3176">
        <v>0.47</v>
      </c>
      <c r="F44" s="3176">
        <v>0.28000000000000003</v>
      </c>
      <c r="G44" s="3176">
        <v>0.91</v>
      </c>
      <c r="H44" s="3193"/>
      <c r="I44" s="3177">
        <f t="shared" si="88"/>
        <v>0.28000000000000003</v>
      </c>
      <c r="J44" s="3178"/>
      <c r="K44" s="3179"/>
      <c r="L44" s="3169">
        <f t="shared" si="89"/>
        <v>4.6999999999999993E-3</v>
      </c>
      <c r="M44" s="3169">
        <f t="shared" si="89"/>
        <v>2.8000000000000004E-3</v>
      </c>
      <c r="N44" s="3169">
        <f t="shared" si="89"/>
        <v>9.1000000000000004E-3</v>
      </c>
      <c r="O44" s="3169"/>
      <c r="P44" s="3169">
        <f t="shared" si="103"/>
        <v>2.8000000000000004E-3</v>
      </c>
      <c r="Q44" s="3178"/>
      <c r="R44" s="3180"/>
      <c r="S44" s="3180">
        <f>ROUND(IF(项目基本情况!$B$8="出让",SUMPRODUCT(PRODUCT(1+L44:L$46)),SUMPRODUCT(PRODUCT(1+L44:L$45))),4)</f>
        <v>1.0102</v>
      </c>
      <c r="T44" s="3180">
        <f>ROUND(IF(项目基本情况!$B$8="出让",SUMPRODUCT(PRODUCT(1+M44:M$46)),SUMPRODUCT(PRODUCT(1+M44:M$45))),4)</f>
        <v>1.0074000000000001</v>
      </c>
      <c r="U44" s="3180">
        <f>ROUND(IF(项目基本情况!$B$8="出让",SUMPRODUCT(PRODUCT(1+N44:N$46)),SUMPRODUCT(PRODUCT(1+N44:N$45))),4)</f>
        <v>1.0202</v>
      </c>
      <c r="V44" s="3180"/>
      <c r="W44" s="3180">
        <f t="shared" si="104"/>
        <v>1.0074000000000001</v>
      </c>
      <c r="X44" s="3178"/>
      <c r="Y44" s="3181"/>
      <c r="Z44" s="3209">
        <f t="shared" si="105"/>
        <v>4.5999999999999999E-3</v>
      </c>
      <c r="AA44" s="3211">
        <f t="shared" si="105"/>
        <v>4.1000000000000003E-3</v>
      </c>
      <c r="AB44" s="3181">
        <f t="shared" si="105"/>
        <v>0.01</v>
      </c>
      <c r="AC44" s="3210"/>
      <c r="AD44" s="3181">
        <f t="shared" si="105"/>
        <v>4.1000000000000003E-3</v>
      </c>
    </row>
    <row r="45" spans="1:30" s="3182" customFormat="1" ht="13.2">
      <c r="A45" s="3173" t="s">
        <v>2835</v>
      </c>
      <c r="B45" s="3174">
        <v>2021</v>
      </c>
      <c r="C45" s="3175">
        <v>2</v>
      </c>
      <c r="D45" s="3176"/>
      <c r="E45" s="3176">
        <v>0.55000000000000004</v>
      </c>
      <c r="F45" s="3176">
        <v>0.46</v>
      </c>
      <c r="G45" s="3176">
        <v>1.1000000000000001</v>
      </c>
      <c r="H45" s="3193"/>
      <c r="I45" s="3177">
        <f t="shared" si="88"/>
        <v>0.46</v>
      </c>
      <c r="J45" s="3178"/>
      <c r="K45" s="3179"/>
      <c r="L45" s="3169">
        <f t="shared" si="89"/>
        <v>5.5000000000000005E-3</v>
      </c>
      <c r="M45" s="3169">
        <f t="shared" si="89"/>
        <v>4.5999999999999999E-3</v>
      </c>
      <c r="N45" s="3169">
        <f t="shared" si="89"/>
        <v>1.1000000000000001E-2</v>
      </c>
      <c r="O45" s="3169"/>
      <c r="P45" s="3169">
        <f t="shared" si="103"/>
        <v>4.5999999999999999E-3</v>
      </c>
      <c r="Q45" s="3178"/>
      <c r="R45" s="3180"/>
      <c r="S45" s="3180">
        <f>ROUND(IF(项目基本情况!$B$8="出让",SUMPRODUCT(PRODUCT(1+L45:L$46)),SUMPRODUCT(PRODUCT(1+L45:L$45))),4)</f>
        <v>1.0055000000000001</v>
      </c>
      <c r="T45" s="3180">
        <f>ROUND(IF(项目基本情况!$B$8="出让",SUMPRODUCT(PRODUCT(1+M45:M$46)),SUMPRODUCT(PRODUCT(1+M45:M$45))),4)</f>
        <v>1.0045999999999999</v>
      </c>
      <c r="U45" s="3180">
        <f>ROUND(IF(项目基本情况!$B$8="出让",SUMPRODUCT(PRODUCT(1+N45:N$46)),SUMPRODUCT(PRODUCT(1+N45:N$45))),4)</f>
        <v>1.0109999999999999</v>
      </c>
      <c r="V45" s="3180"/>
      <c r="W45" s="3180">
        <f t="shared" si="104"/>
        <v>1.0045999999999999</v>
      </c>
      <c r="X45" s="3178"/>
      <c r="Y45" s="3181"/>
      <c r="Z45" s="3209">
        <f t="shared" si="105"/>
        <v>4.4999999999999997E-3</v>
      </c>
      <c r="AA45" s="3211">
        <f t="shared" si="105"/>
        <v>4.7000000000000002E-3</v>
      </c>
      <c r="AB45" s="3181">
        <f t="shared" si="105"/>
        <v>1.04E-2</v>
      </c>
      <c r="AC45" s="3210"/>
      <c r="AD45" s="3181">
        <f t="shared" si="105"/>
        <v>4.7000000000000002E-3</v>
      </c>
    </row>
    <row r="46" spans="1:30" s="3204" customFormat="1" ht="13.8" thickBot="1">
      <c r="A46" s="3194" t="s">
        <v>2821</v>
      </c>
      <c r="B46" s="3195">
        <v>2021</v>
      </c>
      <c r="C46" s="3196">
        <v>1</v>
      </c>
      <c r="D46" s="3197"/>
      <c r="E46" s="3197">
        <v>0.35</v>
      </c>
      <c r="F46" s="3197">
        <v>0.48</v>
      </c>
      <c r="G46" s="3197">
        <v>0.98</v>
      </c>
      <c r="H46" s="3198"/>
      <c r="I46" s="3199">
        <f t="shared" si="88"/>
        <v>0.48</v>
      </c>
      <c r="J46" s="3200"/>
      <c r="K46" s="3201"/>
      <c r="L46" s="3202">
        <f t="shared" si="89"/>
        <v>3.4999999999999996E-3</v>
      </c>
      <c r="M46" s="3202">
        <f>F46/100</f>
        <v>4.7999999999999996E-3</v>
      </c>
      <c r="N46" s="3202">
        <f t="shared" si="89"/>
        <v>9.7999999999999997E-3</v>
      </c>
      <c r="O46" s="3202"/>
      <c r="P46" s="3202">
        <f t="shared" si="103"/>
        <v>4.7999999999999996E-3</v>
      </c>
      <c r="Q46" s="3200"/>
      <c r="R46" s="3203"/>
      <c r="S46" s="3203">
        <v>1</v>
      </c>
      <c r="T46" s="3203">
        <v>1</v>
      </c>
      <c r="U46" s="3203">
        <v>1</v>
      </c>
      <c r="V46" s="3203"/>
      <c r="W46" s="3203">
        <f t="shared" si="104"/>
        <v>1</v>
      </c>
      <c r="X46" s="3200"/>
      <c r="Y46" s="3202"/>
      <c r="Z46" s="3215">
        <f t="shared" si="105"/>
        <v>3.5000000000000001E-3</v>
      </c>
      <c r="AA46" s="3216">
        <f t="shared" si="105"/>
        <v>4.7999999999999996E-3</v>
      </c>
      <c r="AB46" s="3202">
        <f t="shared" si="105"/>
        <v>9.7999999999999997E-3</v>
      </c>
      <c r="AC46" s="3217"/>
      <c r="AD46" s="3202">
        <f t="shared" si="105"/>
        <v>4.7999999999999996E-3</v>
      </c>
    </row>
    <row r="47" spans="1:30" ht="15" thickTop="1"/>
    <row r="48" spans="1:30">
      <c r="A48" s="3445" t="s">
        <v>3381</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1"/>
    <col min="2" max="6" width="9" style="2191" customWidth="1"/>
    <col min="7" max="7" width="9" style="2229"/>
    <col min="8" max="8" width="9" style="2191"/>
    <col min="9" max="12" width="9" style="2191" customWidth="1"/>
    <col min="13" max="13" width="2.21875" style="2191" customWidth="1"/>
    <col min="14" max="14" width="9" style="2229" customWidth="1"/>
    <col min="15" max="17" width="9" style="2191" customWidth="1"/>
    <col min="18" max="18" width="2.33203125" style="2191" customWidth="1"/>
    <col min="19" max="19" width="7.109375" style="2229" customWidth="1"/>
    <col min="20" max="22" width="7.109375" style="2191" customWidth="1"/>
    <col min="23" max="23" width="24.21875" style="2191" customWidth="1"/>
    <col min="24" max="25" width="9" style="2191"/>
    <col min="26" max="27" width="11.6640625" style="2191" customWidth="1"/>
    <col min="28" max="28" width="9" style="2191"/>
    <col min="29" max="29" width="2" style="2191" customWidth="1"/>
    <col min="30" max="16384" width="9" style="2191"/>
  </cols>
  <sheetData>
    <row r="1" spans="1:34" s="2170" customFormat="1">
      <c r="B1" s="3810" t="s">
        <v>452</v>
      </c>
      <c r="C1" s="3810"/>
      <c r="D1" s="3810"/>
      <c r="E1" s="3810"/>
      <c r="F1" s="3810"/>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71" customFormat="1" ht="15" thickBot="1">
      <c r="B2" s="2172" t="s">
        <v>458</v>
      </c>
      <c r="C2" s="2172" t="s">
        <v>459</v>
      </c>
      <c r="D2" s="2173" t="s">
        <v>460</v>
      </c>
      <c r="E2" s="2173" t="s">
        <v>461</v>
      </c>
      <c r="F2" s="2172" t="s">
        <v>462</v>
      </c>
      <c r="G2" s="2174"/>
      <c r="I2" s="2172" t="s">
        <v>458</v>
      </c>
      <c r="J2" s="2173" t="s">
        <v>676</v>
      </c>
      <c r="K2" s="2173" t="s">
        <v>308</v>
      </c>
      <c r="L2" s="2172" t="s">
        <v>462</v>
      </c>
      <c r="N2" s="2172" t="s">
        <v>458</v>
      </c>
      <c r="O2" s="2173" t="s">
        <v>676</v>
      </c>
      <c r="P2" s="2173" t="s">
        <v>308</v>
      </c>
      <c r="Q2" s="2172" t="s">
        <v>462</v>
      </c>
      <c r="S2" s="2172" t="s">
        <v>458</v>
      </c>
      <c r="T2" s="2173" t="s">
        <v>676</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4">
      <c r="A3" s="2175" t="s">
        <v>2112</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4">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3360</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3">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3357</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3">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2113</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3358</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3">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3359</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3">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2433</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2">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2310</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7">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2309</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6">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2308</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0">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2306</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09">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2305</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6">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2128</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2126</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2125</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8" thickBot="1">
      <c r="A18" s="2204" t="s">
        <v>2124</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2122</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8" thickBot="1">
      <c r="A20" s="2204" t="s">
        <v>2121</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2123</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806">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 customHeight="1">
      <c r="A22" s="2204" t="s">
        <v>2119</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806"/>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 customHeight="1">
      <c r="A23" s="2204" t="s">
        <v>2118</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806"/>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2111</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815"/>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2109</v>
      </c>
      <c r="B25" s="2219">
        <v>439</v>
      </c>
      <c r="C25" s="2219">
        <v>327</v>
      </c>
      <c r="D25" s="2219">
        <f>C25</f>
        <v>327</v>
      </c>
      <c r="E25" s="2219">
        <v>627</v>
      </c>
      <c r="F25" s="2220">
        <v>283</v>
      </c>
      <c r="G25" s="3811">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 customHeight="1">
      <c r="A26" s="2204" t="s">
        <v>2110</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806"/>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 customHeight="1">
      <c r="A27" s="2204" t="s">
        <v>677</v>
      </c>
      <c r="B27" s="2205">
        <f t="shared" si="232"/>
        <v>419.31181600000002</v>
      </c>
      <c r="C27" s="2205">
        <f t="shared" si="233"/>
        <v>313.95436800000004</v>
      </c>
      <c r="D27" s="2205">
        <f t="shared" si="234"/>
        <v>313.95436800000004</v>
      </c>
      <c r="E27" s="2205">
        <f t="shared" si="235"/>
        <v>596.63028431999999</v>
      </c>
      <c r="F27" s="2205">
        <f t="shared" si="236"/>
        <v>274.74220703999998</v>
      </c>
      <c r="G27" s="3806"/>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815"/>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811">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806"/>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806"/>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8"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807"/>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8" thickBot="1">
      <c r="A33" s="2204" t="s">
        <v>124</v>
      </c>
      <c r="B33" s="2219">
        <v>333</v>
      </c>
      <c r="C33" s="2219">
        <v>277</v>
      </c>
      <c r="D33" s="2219">
        <f t="shared" si="246"/>
        <v>277</v>
      </c>
      <c r="E33" s="2219">
        <v>459</v>
      </c>
      <c r="F33" s="2220">
        <v>249</v>
      </c>
      <c r="G33" s="3805">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806"/>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806"/>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807"/>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8" thickBot="1">
      <c r="A37" s="2204" t="s">
        <v>120</v>
      </c>
      <c r="B37" s="2233">
        <v>318</v>
      </c>
      <c r="C37" s="2233">
        <v>268</v>
      </c>
      <c r="D37" s="2233">
        <f t="shared" si="246"/>
        <v>268</v>
      </c>
      <c r="E37" s="2233">
        <v>437</v>
      </c>
      <c r="F37" s="2234">
        <v>237</v>
      </c>
      <c r="G37" s="3805">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806"/>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8"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806"/>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8"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807"/>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8" thickBot="1">
      <c r="A41" s="2204" t="s">
        <v>465</v>
      </c>
      <c r="B41" s="2219">
        <v>299</v>
      </c>
      <c r="C41" s="2219">
        <v>252</v>
      </c>
      <c r="D41" s="2219">
        <f t="shared" si="246"/>
        <v>252</v>
      </c>
      <c r="E41" s="2219">
        <v>409</v>
      </c>
      <c r="F41" s="2220">
        <v>227</v>
      </c>
      <c r="G41" s="3812">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813"/>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813"/>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814"/>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8" thickBot="1">
      <c r="A45" s="2204" t="s">
        <v>469</v>
      </c>
      <c r="B45" s="2254">
        <v>278</v>
      </c>
      <c r="C45" s="2254">
        <v>234</v>
      </c>
      <c r="D45" s="2254">
        <f t="shared" si="246"/>
        <v>234</v>
      </c>
      <c r="E45" s="2254">
        <v>379</v>
      </c>
      <c r="F45" s="2255">
        <v>220</v>
      </c>
      <c r="G45" s="3805">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806"/>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806"/>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8" thickBot="1">
      <c r="A48" s="2204" t="s">
        <v>472</v>
      </c>
      <c r="B48" s="2205">
        <f>B47/(1+N47)</f>
        <v>275.19025476197027</v>
      </c>
      <c r="C48" s="2256">
        <v>232</v>
      </c>
      <c r="D48" s="2256">
        <f t="shared" si="246"/>
        <v>232</v>
      </c>
      <c r="E48" s="2205">
        <f t="shared" si="257"/>
        <v>375.65990977608692</v>
      </c>
      <c r="F48" s="2205">
        <f t="shared" si="257"/>
        <v>214.12518283971252</v>
      </c>
      <c r="G48" s="3807"/>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8" thickBot="1">
      <c r="A49" s="2204" t="s">
        <v>473</v>
      </c>
      <c r="B49" s="2219">
        <v>275</v>
      </c>
      <c r="C49" s="2219">
        <v>232</v>
      </c>
      <c r="D49" s="2219">
        <f t="shared" si="246"/>
        <v>232</v>
      </c>
      <c r="E49" s="2219">
        <v>376</v>
      </c>
      <c r="F49" s="2220">
        <v>213</v>
      </c>
      <c r="G49" s="3805">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806">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806">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8"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807">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8" thickBot="1">
      <c r="A53" s="2204" t="s">
        <v>477</v>
      </c>
      <c r="B53" s="2219">
        <v>269</v>
      </c>
      <c r="C53" s="2219">
        <v>221</v>
      </c>
      <c r="D53" s="2219">
        <f t="shared" si="246"/>
        <v>221</v>
      </c>
      <c r="E53" s="2219">
        <v>373</v>
      </c>
      <c r="F53" s="2220">
        <v>196</v>
      </c>
      <c r="G53" s="3805">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806">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806">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8"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807">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8" thickBot="1">
      <c r="A57" s="2204" t="s">
        <v>481</v>
      </c>
      <c r="B57" s="2219">
        <v>220</v>
      </c>
      <c r="C57" s="2219">
        <v>187</v>
      </c>
      <c r="D57" s="2219">
        <f t="shared" si="246"/>
        <v>187</v>
      </c>
      <c r="E57" s="2219">
        <v>301</v>
      </c>
      <c r="F57" s="2220">
        <v>168</v>
      </c>
      <c r="G57" s="3805">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806">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806">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807">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8" thickBot="1">
      <c r="A61" s="2204" t="s">
        <v>485</v>
      </c>
      <c r="B61" s="2254">
        <v>214</v>
      </c>
      <c r="C61" s="2254">
        <v>188</v>
      </c>
      <c r="D61" s="2254">
        <f t="shared" si="246"/>
        <v>188</v>
      </c>
      <c r="E61" s="2254">
        <v>289</v>
      </c>
      <c r="F61" s="2255">
        <v>166</v>
      </c>
      <c r="G61" s="3805">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806">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806">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8"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807">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8" thickBot="1">
      <c r="A65" s="2204" t="s">
        <v>489</v>
      </c>
      <c r="B65" s="2219">
        <v>188</v>
      </c>
      <c r="C65" s="2219">
        <v>165</v>
      </c>
      <c r="D65" s="2219">
        <f t="shared" si="246"/>
        <v>165</v>
      </c>
      <c r="E65" s="2219">
        <v>254</v>
      </c>
      <c r="F65" s="2220">
        <v>148</v>
      </c>
      <c r="G65" s="3805">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806">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806">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807">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8" thickBot="1">
      <c r="A69" s="2204" t="s">
        <v>493</v>
      </c>
      <c r="B69" s="2233">
        <v>159</v>
      </c>
      <c r="C69" s="2233">
        <v>141</v>
      </c>
      <c r="D69" s="2233">
        <f t="shared" si="246"/>
        <v>141</v>
      </c>
      <c r="E69" s="2233">
        <v>195</v>
      </c>
      <c r="F69" s="2234">
        <v>122</v>
      </c>
      <c r="G69" s="3805">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806">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806">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807">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8" thickBot="1">
      <c r="A73" s="2204" t="s">
        <v>497</v>
      </c>
      <c r="B73" s="2233">
        <v>138</v>
      </c>
      <c r="C73" s="2233">
        <v>131</v>
      </c>
      <c r="D73" s="2233">
        <f t="shared" si="246"/>
        <v>131</v>
      </c>
      <c r="E73" s="2233">
        <v>155</v>
      </c>
      <c r="F73" s="2234">
        <v>114</v>
      </c>
      <c r="G73" s="3805">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806">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806">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807">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8" thickBot="1">
      <c r="A77" s="2204" t="s">
        <v>501</v>
      </c>
      <c r="B77" s="2254">
        <v>121</v>
      </c>
      <c r="C77" s="2254">
        <v>122</v>
      </c>
      <c r="D77" s="2254">
        <f t="shared" si="246"/>
        <v>122</v>
      </c>
      <c r="E77" s="2254">
        <v>124</v>
      </c>
      <c r="F77" s="2255">
        <v>107</v>
      </c>
      <c r="G77" s="3805">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806">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806">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8"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807">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8" thickBot="1">
      <c r="A81" s="2204" t="s">
        <v>505</v>
      </c>
      <c r="B81" s="2274">
        <v>111</v>
      </c>
      <c r="C81" s="2274">
        <v>114</v>
      </c>
      <c r="D81" s="2274">
        <f t="shared" si="246"/>
        <v>114</v>
      </c>
      <c r="E81" s="2274">
        <v>108</v>
      </c>
      <c r="F81" s="2275">
        <v>104</v>
      </c>
      <c r="G81" s="3805">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806">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806">
        <v>2003</v>
      </c>
      <c r="H83" s="2217">
        <v>2</v>
      </c>
      <c r="I83" s="2276"/>
      <c r="J83" s="2276"/>
      <c r="K83" s="2276"/>
      <c r="L83" s="2276"/>
      <c r="X83" s="2268"/>
      <c r="Y83" s="2268"/>
      <c r="Z83" s="2268"/>
    </row>
    <row r="84" spans="1:26" ht="13.8" thickBot="1">
      <c r="A84" s="2204" t="s">
        <v>508</v>
      </c>
      <c r="B84" s="2278">
        <f t="shared" si="282"/>
        <v>107.25</v>
      </c>
      <c r="C84" s="2278">
        <f t="shared" si="282"/>
        <v>108.75</v>
      </c>
      <c r="D84" s="2278">
        <f t="shared" si="246"/>
        <v>108.75</v>
      </c>
      <c r="E84" s="2278">
        <f t="shared" si="283"/>
        <v>105.75</v>
      </c>
      <c r="F84" s="2278">
        <f t="shared" si="283"/>
        <v>102.5</v>
      </c>
      <c r="G84" s="3807">
        <v>2003</v>
      </c>
      <c r="H84" s="2279">
        <v>1</v>
      </c>
      <c r="I84" s="2276"/>
      <c r="J84" s="2276"/>
      <c r="K84" s="2276"/>
      <c r="L84" s="2276"/>
      <c r="S84" s="2207"/>
      <c r="T84" s="2192"/>
      <c r="U84" s="2192"/>
      <c r="X84" s="2268"/>
      <c r="Y84" s="2268"/>
      <c r="Z84" s="2268"/>
    </row>
    <row r="85" spans="1:26" ht="13.8" thickBot="1">
      <c r="A85" s="2204" t="s">
        <v>509</v>
      </c>
      <c r="B85" s="2280">
        <v>106</v>
      </c>
      <c r="C85" s="2280">
        <v>107</v>
      </c>
      <c r="D85" s="2280">
        <f t="shared" si="246"/>
        <v>107</v>
      </c>
      <c r="E85" s="2280">
        <v>105</v>
      </c>
      <c r="F85" s="2281">
        <v>102</v>
      </c>
      <c r="G85" s="3805">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806">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806">
        <v>2002</v>
      </c>
      <c r="H87" s="2217">
        <v>2</v>
      </c>
      <c r="I87" s="2276"/>
      <c r="J87" s="2276"/>
      <c r="K87" s="2276"/>
      <c r="L87" s="2276"/>
      <c r="X87" s="2268"/>
      <c r="Y87" s="2268"/>
      <c r="Z87" s="2268"/>
    </row>
    <row r="88" spans="1:26" s="2241" customFormat="1" ht="13.8" thickBot="1">
      <c r="A88" s="2237" t="s">
        <v>512</v>
      </c>
      <c r="B88" s="2244">
        <f t="shared" si="284"/>
        <v>103</v>
      </c>
      <c r="C88" s="2244">
        <f t="shared" si="284"/>
        <v>104</v>
      </c>
      <c r="D88" s="2244">
        <f t="shared" si="246"/>
        <v>104</v>
      </c>
      <c r="E88" s="2244">
        <f t="shared" si="285"/>
        <v>103.5</v>
      </c>
      <c r="F88" s="2244">
        <f t="shared" si="285"/>
        <v>100.5</v>
      </c>
      <c r="G88" s="3807">
        <v>2002</v>
      </c>
      <c r="H88" s="2282">
        <v>1</v>
      </c>
      <c r="I88" s="2283"/>
      <c r="J88" s="2283"/>
      <c r="K88" s="2283"/>
      <c r="L88" s="2283"/>
      <c r="N88" s="2284"/>
      <c r="S88" s="2284"/>
      <c r="X88" s="2285"/>
      <c r="Y88" s="2285"/>
      <c r="Z88" s="2285"/>
    </row>
    <row r="89" spans="1:26" ht="13.8"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8"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8"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H14" sqref="H14"/>
    </sheetView>
  </sheetViews>
  <sheetFormatPr defaultRowHeight="14.4"/>
  <cols>
    <col min="1" max="1" width="4.88671875" style="1241" customWidth="1"/>
    <col min="2" max="2" width="13.21875" style="1247" customWidth="1"/>
    <col min="3" max="3" width="15.6640625" style="1247" customWidth="1"/>
    <col min="4" max="4" width="9.33203125" style="1247" bestFit="1" customWidth="1"/>
    <col min="5" max="5" width="13.44140625" style="1247" customWidth="1"/>
    <col min="6" max="6" width="9" style="1247"/>
    <col min="7" max="7" width="9.33203125" style="1247" bestFit="1" customWidth="1"/>
    <col min="8" max="8" width="12.21875" style="1247" customWidth="1"/>
    <col min="9" max="9" width="9" style="1247"/>
    <col min="10" max="10" width="9.33203125" style="1247" bestFit="1" customWidth="1"/>
    <col min="11" max="11" width="4" style="1241" customWidth="1"/>
    <col min="12" max="12" width="5.109375" style="1247" customWidth="1"/>
    <col min="13" max="13" width="13.77734375" style="1247" customWidth="1"/>
    <col min="14" max="256" width="9" style="1247"/>
    <col min="257" max="257" width="4.88671875" style="1238" customWidth="1"/>
    <col min="258" max="258" width="13.21875" style="1238" customWidth="1"/>
    <col min="259" max="259" width="15.6640625" style="1238" customWidth="1"/>
    <col min="260" max="260" width="9.33203125" style="1238" bestFit="1" customWidth="1"/>
    <col min="261" max="261" width="13.44140625" style="1238" customWidth="1"/>
    <col min="262" max="262" width="9" style="1238"/>
    <col min="263" max="263" width="9.33203125" style="1238" bestFit="1" customWidth="1"/>
    <col min="264" max="265" width="9" style="1238"/>
    <col min="266" max="266" width="9.33203125" style="1238" bestFit="1" customWidth="1"/>
    <col min="267" max="267" width="4" style="1238" customWidth="1"/>
    <col min="268" max="268" width="5.109375" style="1238" customWidth="1"/>
    <col min="269" max="269" width="13.77734375" style="1238" customWidth="1"/>
    <col min="270" max="512" width="9" style="1238"/>
    <col min="513" max="513" width="4.88671875" style="1238" customWidth="1"/>
    <col min="514" max="514" width="13.21875" style="1238" customWidth="1"/>
    <col min="515" max="515" width="15.6640625" style="1238" customWidth="1"/>
    <col min="516" max="516" width="9.33203125" style="1238" bestFit="1" customWidth="1"/>
    <col min="517" max="517" width="13.44140625" style="1238" customWidth="1"/>
    <col min="518" max="518" width="9" style="1238"/>
    <col min="519" max="519" width="9.33203125" style="1238" bestFit="1" customWidth="1"/>
    <col min="520" max="521" width="9" style="1238"/>
    <col min="522" max="522" width="9.33203125" style="1238" bestFit="1" customWidth="1"/>
    <col min="523" max="523" width="4" style="1238" customWidth="1"/>
    <col min="524" max="524" width="5.109375" style="1238" customWidth="1"/>
    <col min="525" max="525" width="13.77734375" style="1238" customWidth="1"/>
    <col min="526" max="768" width="9" style="1238"/>
    <col min="769" max="769" width="4.88671875" style="1238" customWidth="1"/>
    <col min="770" max="770" width="13.21875" style="1238" customWidth="1"/>
    <col min="771" max="771" width="15.6640625" style="1238" customWidth="1"/>
    <col min="772" max="772" width="9.33203125" style="1238" bestFit="1" customWidth="1"/>
    <col min="773" max="773" width="13.44140625" style="1238" customWidth="1"/>
    <col min="774" max="774" width="9" style="1238"/>
    <col min="775" max="775" width="9.33203125" style="1238" bestFit="1" customWidth="1"/>
    <col min="776" max="777" width="9" style="1238"/>
    <col min="778" max="778" width="9.33203125" style="1238" bestFit="1" customWidth="1"/>
    <col min="779" max="779" width="4" style="1238" customWidth="1"/>
    <col min="780" max="780" width="5.109375" style="1238" customWidth="1"/>
    <col min="781" max="781" width="13.77734375" style="1238" customWidth="1"/>
    <col min="782" max="1024" width="9" style="1238"/>
    <col min="1025" max="1025" width="4.88671875" style="1238" customWidth="1"/>
    <col min="1026" max="1026" width="13.21875" style="1238" customWidth="1"/>
    <col min="1027" max="1027" width="15.6640625" style="1238" customWidth="1"/>
    <col min="1028" max="1028" width="9.33203125" style="1238" bestFit="1" customWidth="1"/>
    <col min="1029" max="1029" width="13.44140625" style="1238" customWidth="1"/>
    <col min="1030" max="1030" width="9" style="1238"/>
    <col min="1031" max="1031" width="9.33203125" style="1238" bestFit="1" customWidth="1"/>
    <col min="1032" max="1033" width="9" style="1238"/>
    <col min="1034" max="1034" width="9.33203125" style="1238" bestFit="1" customWidth="1"/>
    <col min="1035" max="1035" width="4" style="1238" customWidth="1"/>
    <col min="1036" max="1036" width="5.109375" style="1238" customWidth="1"/>
    <col min="1037" max="1037" width="13.77734375" style="1238" customWidth="1"/>
    <col min="1038" max="1280" width="9" style="1238"/>
    <col min="1281" max="1281" width="4.88671875" style="1238" customWidth="1"/>
    <col min="1282" max="1282" width="13.21875" style="1238" customWidth="1"/>
    <col min="1283" max="1283" width="15.6640625" style="1238" customWidth="1"/>
    <col min="1284" max="1284" width="9.33203125" style="1238" bestFit="1" customWidth="1"/>
    <col min="1285" max="1285" width="13.44140625" style="1238" customWidth="1"/>
    <col min="1286" max="1286" width="9" style="1238"/>
    <col min="1287" max="1287" width="9.33203125" style="1238" bestFit="1" customWidth="1"/>
    <col min="1288" max="1289" width="9" style="1238"/>
    <col min="1290" max="1290" width="9.33203125" style="1238" bestFit="1" customWidth="1"/>
    <col min="1291" max="1291" width="4" style="1238" customWidth="1"/>
    <col min="1292" max="1292" width="5.109375" style="1238" customWidth="1"/>
    <col min="1293" max="1293" width="13.77734375" style="1238" customWidth="1"/>
    <col min="1294" max="1536" width="9" style="1238"/>
    <col min="1537" max="1537" width="4.88671875" style="1238" customWidth="1"/>
    <col min="1538" max="1538" width="13.21875" style="1238" customWidth="1"/>
    <col min="1539" max="1539" width="15.6640625" style="1238" customWidth="1"/>
    <col min="1540" max="1540" width="9.33203125" style="1238" bestFit="1" customWidth="1"/>
    <col min="1541" max="1541" width="13.44140625" style="1238" customWidth="1"/>
    <col min="1542" max="1542" width="9" style="1238"/>
    <col min="1543" max="1543" width="9.33203125" style="1238" bestFit="1" customWidth="1"/>
    <col min="1544" max="1545" width="9" style="1238"/>
    <col min="1546" max="1546" width="9.33203125" style="1238" bestFit="1" customWidth="1"/>
    <col min="1547" max="1547" width="4" style="1238" customWidth="1"/>
    <col min="1548" max="1548" width="5.109375" style="1238" customWidth="1"/>
    <col min="1549" max="1549" width="13.77734375" style="1238" customWidth="1"/>
    <col min="1550" max="1792" width="9" style="1238"/>
    <col min="1793" max="1793" width="4.88671875" style="1238" customWidth="1"/>
    <col min="1794" max="1794" width="13.21875" style="1238" customWidth="1"/>
    <col min="1795" max="1795" width="15.6640625" style="1238" customWidth="1"/>
    <col min="1796" max="1796" width="9.33203125" style="1238" bestFit="1" customWidth="1"/>
    <col min="1797" max="1797" width="13.44140625" style="1238" customWidth="1"/>
    <col min="1798" max="1798" width="9" style="1238"/>
    <col min="1799" max="1799" width="9.33203125" style="1238" bestFit="1" customWidth="1"/>
    <col min="1800" max="1801" width="9" style="1238"/>
    <col min="1802" max="1802" width="9.33203125" style="1238" bestFit="1" customWidth="1"/>
    <col min="1803" max="1803" width="4" style="1238" customWidth="1"/>
    <col min="1804" max="1804" width="5.109375" style="1238" customWidth="1"/>
    <col min="1805" max="1805" width="13.77734375" style="1238" customWidth="1"/>
    <col min="1806" max="2048" width="9" style="1238"/>
    <col min="2049" max="2049" width="4.88671875" style="1238" customWidth="1"/>
    <col min="2050" max="2050" width="13.21875" style="1238" customWidth="1"/>
    <col min="2051" max="2051" width="15.6640625" style="1238" customWidth="1"/>
    <col min="2052" max="2052" width="9.33203125" style="1238" bestFit="1" customWidth="1"/>
    <col min="2053" max="2053" width="13.44140625" style="1238" customWidth="1"/>
    <col min="2054" max="2054" width="9" style="1238"/>
    <col min="2055" max="2055" width="9.33203125" style="1238" bestFit="1" customWidth="1"/>
    <col min="2056" max="2057" width="9" style="1238"/>
    <col min="2058" max="2058" width="9.33203125" style="1238" bestFit="1" customWidth="1"/>
    <col min="2059" max="2059" width="4" style="1238" customWidth="1"/>
    <col min="2060" max="2060" width="5.109375" style="1238" customWidth="1"/>
    <col min="2061" max="2061" width="13.77734375" style="1238" customWidth="1"/>
    <col min="2062" max="2304" width="9" style="1238"/>
    <col min="2305" max="2305" width="4.88671875" style="1238" customWidth="1"/>
    <col min="2306" max="2306" width="13.21875" style="1238" customWidth="1"/>
    <col min="2307" max="2307" width="15.6640625" style="1238" customWidth="1"/>
    <col min="2308" max="2308" width="9.33203125" style="1238" bestFit="1" customWidth="1"/>
    <col min="2309" max="2309" width="13.44140625" style="1238" customWidth="1"/>
    <col min="2310" max="2310" width="9" style="1238"/>
    <col min="2311" max="2311" width="9.33203125" style="1238" bestFit="1" customWidth="1"/>
    <col min="2312" max="2313" width="9" style="1238"/>
    <col min="2314" max="2314" width="9.33203125" style="1238" bestFit="1" customWidth="1"/>
    <col min="2315" max="2315" width="4" style="1238" customWidth="1"/>
    <col min="2316" max="2316" width="5.109375" style="1238" customWidth="1"/>
    <col min="2317" max="2317" width="13.77734375" style="1238" customWidth="1"/>
    <col min="2318" max="2560" width="9" style="1238"/>
    <col min="2561" max="2561" width="4.88671875" style="1238" customWidth="1"/>
    <col min="2562" max="2562" width="13.21875" style="1238" customWidth="1"/>
    <col min="2563" max="2563" width="15.6640625" style="1238" customWidth="1"/>
    <col min="2564" max="2564" width="9.33203125" style="1238" bestFit="1" customWidth="1"/>
    <col min="2565" max="2565" width="13.44140625" style="1238" customWidth="1"/>
    <col min="2566" max="2566" width="9" style="1238"/>
    <col min="2567" max="2567" width="9.33203125" style="1238" bestFit="1" customWidth="1"/>
    <col min="2568" max="2569" width="9" style="1238"/>
    <col min="2570" max="2570" width="9.33203125" style="1238" bestFit="1" customWidth="1"/>
    <col min="2571" max="2571" width="4" style="1238" customWidth="1"/>
    <col min="2572" max="2572" width="5.109375" style="1238" customWidth="1"/>
    <col min="2573" max="2573" width="13.77734375" style="1238" customWidth="1"/>
    <col min="2574" max="2816" width="9" style="1238"/>
    <col min="2817" max="2817" width="4.88671875" style="1238" customWidth="1"/>
    <col min="2818" max="2818" width="13.21875" style="1238" customWidth="1"/>
    <col min="2819" max="2819" width="15.6640625" style="1238" customWidth="1"/>
    <col min="2820" max="2820" width="9.33203125" style="1238" bestFit="1" customWidth="1"/>
    <col min="2821" max="2821" width="13.44140625" style="1238" customWidth="1"/>
    <col min="2822" max="2822" width="9" style="1238"/>
    <col min="2823" max="2823" width="9.33203125" style="1238" bestFit="1" customWidth="1"/>
    <col min="2824" max="2825" width="9" style="1238"/>
    <col min="2826" max="2826" width="9.33203125" style="1238" bestFit="1" customWidth="1"/>
    <col min="2827" max="2827" width="4" style="1238" customWidth="1"/>
    <col min="2828" max="2828" width="5.109375" style="1238" customWidth="1"/>
    <col min="2829" max="2829" width="13.77734375" style="1238" customWidth="1"/>
    <col min="2830" max="3072" width="9" style="1238"/>
    <col min="3073" max="3073" width="4.88671875" style="1238" customWidth="1"/>
    <col min="3074" max="3074" width="13.21875" style="1238" customWidth="1"/>
    <col min="3075" max="3075" width="15.6640625" style="1238" customWidth="1"/>
    <col min="3076" max="3076" width="9.33203125" style="1238" bestFit="1" customWidth="1"/>
    <col min="3077" max="3077" width="13.44140625" style="1238" customWidth="1"/>
    <col min="3078" max="3078" width="9" style="1238"/>
    <col min="3079" max="3079" width="9.33203125" style="1238" bestFit="1" customWidth="1"/>
    <col min="3080" max="3081" width="9" style="1238"/>
    <col min="3082" max="3082" width="9.33203125" style="1238" bestFit="1" customWidth="1"/>
    <col min="3083" max="3083" width="4" style="1238" customWidth="1"/>
    <col min="3084" max="3084" width="5.109375" style="1238" customWidth="1"/>
    <col min="3085" max="3085" width="13.77734375" style="1238" customWidth="1"/>
    <col min="3086" max="3328" width="9" style="1238"/>
    <col min="3329" max="3329" width="4.88671875" style="1238" customWidth="1"/>
    <col min="3330" max="3330" width="13.21875" style="1238" customWidth="1"/>
    <col min="3331" max="3331" width="15.6640625" style="1238" customWidth="1"/>
    <col min="3332" max="3332" width="9.33203125" style="1238" bestFit="1" customWidth="1"/>
    <col min="3333" max="3333" width="13.44140625" style="1238" customWidth="1"/>
    <col min="3334" max="3334" width="9" style="1238"/>
    <col min="3335" max="3335" width="9.33203125" style="1238" bestFit="1" customWidth="1"/>
    <col min="3336" max="3337" width="9" style="1238"/>
    <col min="3338" max="3338" width="9.33203125" style="1238" bestFit="1" customWidth="1"/>
    <col min="3339" max="3339" width="4" style="1238" customWidth="1"/>
    <col min="3340" max="3340" width="5.109375" style="1238" customWidth="1"/>
    <col min="3341" max="3341" width="13.77734375" style="1238" customWidth="1"/>
    <col min="3342" max="3584" width="9" style="1238"/>
    <col min="3585" max="3585" width="4.88671875" style="1238" customWidth="1"/>
    <col min="3586" max="3586" width="13.21875" style="1238" customWidth="1"/>
    <col min="3587" max="3587" width="15.6640625" style="1238" customWidth="1"/>
    <col min="3588" max="3588" width="9.33203125" style="1238" bestFit="1" customWidth="1"/>
    <col min="3589" max="3589" width="13.44140625" style="1238" customWidth="1"/>
    <col min="3590" max="3590" width="9" style="1238"/>
    <col min="3591" max="3591" width="9.33203125" style="1238" bestFit="1" customWidth="1"/>
    <col min="3592" max="3593" width="9" style="1238"/>
    <col min="3594" max="3594" width="9.33203125" style="1238" bestFit="1" customWidth="1"/>
    <col min="3595" max="3595" width="4" style="1238" customWidth="1"/>
    <col min="3596" max="3596" width="5.109375" style="1238" customWidth="1"/>
    <col min="3597" max="3597" width="13.77734375" style="1238" customWidth="1"/>
    <col min="3598" max="3840" width="9" style="1238"/>
    <col min="3841" max="3841" width="4.88671875" style="1238" customWidth="1"/>
    <col min="3842" max="3842" width="13.21875" style="1238" customWidth="1"/>
    <col min="3843" max="3843" width="15.6640625" style="1238" customWidth="1"/>
    <col min="3844" max="3844" width="9.33203125" style="1238" bestFit="1" customWidth="1"/>
    <col min="3845" max="3845" width="13.44140625" style="1238" customWidth="1"/>
    <col min="3846" max="3846" width="9" style="1238"/>
    <col min="3847" max="3847" width="9.33203125" style="1238" bestFit="1" customWidth="1"/>
    <col min="3848" max="3849" width="9" style="1238"/>
    <col min="3850" max="3850" width="9.33203125" style="1238" bestFit="1" customWidth="1"/>
    <col min="3851" max="3851" width="4" style="1238" customWidth="1"/>
    <col min="3852" max="3852" width="5.109375" style="1238" customWidth="1"/>
    <col min="3853" max="3853" width="13.77734375" style="1238" customWidth="1"/>
    <col min="3854" max="4096" width="9" style="1238"/>
    <col min="4097" max="4097" width="4.88671875" style="1238" customWidth="1"/>
    <col min="4098" max="4098" width="13.21875" style="1238" customWidth="1"/>
    <col min="4099" max="4099" width="15.6640625" style="1238" customWidth="1"/>
    <col min="4100" max="4100" width="9.33203125" style="1238" bestFit="1" customWidth="1"/>
    <col min="4101" max="4101" width="13.44140625" style="1238" customWidth="1"/>
    <col min="4102" max="4102" width="9" style="1238"/>
    <col min="4103" max="4103" width="9.33203125" style="1238" bestFit="1" customWidth="1"/>
    <col min="4104" max="4105" width="9" style="1238"/>
    <col min="4106" max="4106" width="9.33203125" style="1238" bestFit="1" customWidth="1"/>
    <col min="4107" max="4107" width="4" style="1238" customWidth="1"/>
    <col min="4108" max="4108" width="5.109375" style="1238" customWidth="1"/>
    <col min="4109" max="4109" width="13.77734375" style="1238" customWidth="1"/>
    <col min="4110" max="4352" width="9" style="1238"/>
    <col min="4353" max="4353" width="4.88671875" style="1238" customWidth="1"/>
    <col min="4354" max="4354" width="13.21875" style="1238" customWidth="1"/>
    <col min="4355" max="4355" width="15.6640625" style="1238" customWidth="1"/>
    <col min="4356" max="4356" width="9.33203125" style="1238" bestFit="1" customWidth="1"/>
    <col min="4357" max="4357" width="13.44140625" style="1238" customWidth="1"/>
    <col min="4358" max="4358" width="9" style="1238"/>
    <col min="4359" max="4359" width="9.33203125" style="1238" bestFit="1" customWidth="1"/>
    <col min="4360" max="4361" width="9" style="1238"/>
    <col min="4362" max="4362" width="9.33203125" style="1238" bestFit="1" customWidth="1"/>
    <col min="4363" max="4363" width="4" style="1238" customWidth="1"/>
    <col min="4364" max="4364" width="5.109375" style="1238" customWidth="1"/>
    <col min="4365" max="4365" width="13.77734375" style="1238" customWidth="1"/>
    <col min="4366" max="4608" width="9" style="1238"/>
    <col min="4609" max="4609" width="4.88671875" style="1238" customWidth="1"/>
    <col min="4610" max="4610" width="13.21875" style="1238" customWidth="1"/>
    <col min="4611" max="4611" width="15.6640625" style="1238" customWidth="1"/>
    <col min="4612" max="4612" width="9.33203125" style="1238" bestFit="1" customWidth="1"/>
    <col min="4613" max="4613" width="13.44140625" style="1238" customWidth="1"/>
    <col min="4614" max="4614" width="9" style="1238"/>
    <col min="4615" max="4615" width="9.33203125" style="1238" bestFit="1" customWidth="1"/>
    <col min="4616" max="4617" width="9" style="1238"/>
    <col min="4618" max="4618" width="9.33203125" style="1238" bestFit="1" customWidth="1"/>
    <col min="4619" max="4619" width="4" style="1238" customWidth="1"/>
    <col min="4620" max="4620" width="5.109375" style="1238" customWidth="1"/>
    <col min="4621" max="4621" width="13.77734375" style="1238" customWidth="1"/>
    <col min="4622" max="4864" width="9" style="1238"/>
    <col min="4865" max="4865" width="4.88671875" style="1238" customWidth="1"/>
    <col min="4866" max="4866" width="13.21875" style="1238" customWidth="1"/>
    <col min="4867" max="4867" width="15.6640625" style="1238" customWidth="1"/>
    <col min="4868" max="4868" width="9.33203125" style="1238" bestFit="1" customWidth="1"/>
    <col min="4869" max="4869" width="13.44140625" style="1238" customWidth="1"/>
    <col min="4870" max="4870" width="9" style="1238"/>
    <col min="4871" max="4871" width="9.33203125" style="1238" bestFit="1" customWidth="1"/>
    <col min="4872" max="4873" width="9" style="1238"/>
    <col min="4874" max="4874" width="9.33203125" style="1238" bestFit="1" customWidth="1"/>
    <col min="4875" max="4875" width="4" style="1238" customWidth="1"/>
    <col min="4876" max="4876" width="5.109375" style="1238" customWidth="1"/>
    <col min="4877" max="4877" width="13.77734375" style="1238" customWidth="1"/>
    <col min="4878" max="5120" width="9" style="1238"/>
    <col min="5121" max="5121" width="4.88671875" style="1238" customWidth="1"/>
    <col min="5122" max="5122" width="13.21875" style="1238" customWidth="1"/>
    <col min="5123" max="5123" width="15.6640625" style="1238" customWidth="1"/>
    <col min="5124" max="5124" width="9.33203125" style="1238" bestFit="1" customWidth="1"/>
    <col min="5125" max="5125" width="13.44140625" style="1238" customWidth="1"/>
    <col min="5126" max="5126" width="9" style="1238"/>
    <col min="5127" max="5127" width="9.33203125" style="1238" bestFit="1" customWidth="1"/>
    <col min="5128" max="5129" width="9" style="1238"/>
    <col min="5130" max="5130" width="9.33203125" style="1238" bestFit="1" customWidth="1"/>
    <col min="5131" max="5131" width="4" style="1238" customWidth="1"/>
    <col min="5132" max="5132" width="5.109375" style="1238" customWidth="1"/>
    <col min="5133" max="5133" width="13.77734375" style="1238" customWidth="1"/>
    <col min="5134" max="5376" width="9" style="1238"/>
    <col min="5377" max="5377" width="4.88671875" style="1238" customWidth="1"/>
    <col min="5378" max="5378" width="13.21875" style="1238" customWidth="1"/>
    <col min="5379" max="5379" width="15.6640625" style="1238" customWidth="1"/>
    <col min="5380" max="5380" width="9.33203125" style="1238" bestFit="1" customWidth="1"/>
    <col min="5381" max="5381" width="13.44140625" style="1238" customWidth="1"/>
    <col min="5382" max="5382" width="9" style="1238"/>
    <col min="5383" max="5383" width="9.33203125" style="1238" bestFit="1" customWidth="1"/>
    <col min="5384" max="5385" width="9" style="1238"/>
    <col min="5386" max="5386" width="9.33203125" style="1238" bestFit="1" customWidth="1"/>
    <col min="5387" max="5387" width="4" style="1238" customWidth="1"/>
    <col min="5388" max="5388" width="5.109375" style="1238" customWidth="1"/>
    <col min="5389" max="5389" width="13.77734375" style="1238" customWidth="1"/>
    <col min="5390" max="5632" width="9" style="1238"/>
    <col min="5633" max="5633" width="4.88671875" style="1238" customWidth="1"/>
    <col min="5634" max="5634" width="13.21875" style="1238" customWidth="1"/>
    <col min="5635" max="5635" width="15.6640625" style="1238" customWidth="1"/>
    <col min="5636" max="5636" width="9.33203125" style="1238" bestFit="1" customWidth="1"/>
    <col min="5637" max="5637" width="13.44140625" style="1238" customWidth="1"/>
    <col min="5638" max="5638" width="9" style="1238"/>
    <col min="5639" max="5639" width="9.33203125" style="1238" bestFit="1" customWidth="1"/>
    <col min="5640" max="5641" width="9" style="1238"/>
    <col min="5642" max="5642" width="9.33203125" style="1238" bestFit="1" customWidth="1"/>
    <col min="5643" max="5643" width="4" style="1238" customWidth="1"/>
    <col min="5644" max="5644" width="5.109375" style="1238" customWidth="1"/>
    <col min="5645" max="5645" width="13.77734375" style="1238" customWidth="1"/>
    <col min="5646" max="5888" width="9" style="1238"/>
    <col min="5889" max="5889" width="4.88671875" style="1238" customWidth="1"/>
    <col min="5890" max="5890" width="13.21875" style="1238" customWidth="1"/>
    <col min="5891" max="5891" width="15.6640625" style="1238" customWidth="1"/>
    <col min="5892" max="5892" width="9.33203125" style="1238" bestFit="1" customWidth="1"/>
    <col min="5893" max="5893" width="13.44140625" style="1238" customWidth="1"/>
    <col min="5894" max="5894" width="9" style="1238"/>
    <col min="5895" max="5895" width="9.33203125" style="1238" bestFit="1" customWidth="1"/>
    <col min="5896" max="5897" width="9" style="1238"/>
    <col min="5898" max="5898" width="9.33203125" style="1238" bestFit="1" customWidth="1"/>
    <col min="5899" max="5899" width="4" style="1238" customWidth="1"/>
    <col min="5900" max="5900" width="5.109375" style="1238" customWidth="1"/>
    <col min="5901" max="5901" width="13.77734375" style="1238" customWidth="1"/>
    <col min="5902" max="6144" width="9" style="1238"/>
    <col min="6145" max="6145" width="4.88671875" style="1238" customWidth="1"/>
    <col min="6146" max="6146" width="13.21875" style="1238" customWidth="1"/>
    <col min="6147" max="6147" width="15.6640625" style="1238" customWidth="1"/>
    <col min="6148" max="6148" width="9.33203125" style="1238" bestFit="1" customWidth="1"/>
    <col min="6149" max="6149" width="13.44140625" style="1238" customWidth="1"/>
    <col min="6150" max="6150" width="9" style="1238"/>
    <col min="6151" max="6151" width="9.33203125" style="1238" bestFit="1" customWidth="1"/>
    <col min="6152" max="6153" width="9" style="1238"/>
    <col min="6154" max="6154" width="9.33203125" style="1238" bestFit="1" customWidth="1"/>
    <col min="6155" max="6155" width="4" style="1238" customWidth="1"/>
    <col min="6156" max="6156" width="5.109375" style="1238" customWidth="1"/>
    <col min="6157" max="6157" width="13.77734375" style="1238" customWidth="1"/>
    <col min="6158" max="6400" width="9" style="1238"/>
    <col min="6401" max="6401" width="4.88671875" style="1238" customWidth="1"/>
    <col min="6402" max="6402" width="13.21875" style="1238" customWidth="1"/>
    <col min="6403" max="6403" width="15.6640625" style="1238" customWidth="1"/>
    <col min="6404" max="6404" width="9.33203125" style="1238" bestFit="1" customWidth="1"/>
    <col min="6405" max="6405" width="13.44140625" style="1238" customWidth="1"/>
    <col min="6406" max="6406" width="9" style="1238"/>
    <col min="6407" max="6407" width="9.33203125" style="1238" bestFit="1" customWidth="1"/>
    <col min="6408" max="6409" width="9" style="1238"/>
    <col min="6410" max="6410" width="9.33203125" style="1238" bestFit="1" customWidth="1"/>
    <col min="6411" max="6411" width="4" style="1238" customWidth="1"/>
    <col min="6412" max="6412" width="5.109375" style="1238" customWidth="1"/>
    <col min="6413" max="6413" width="13.77734375" style="1238" customWidth="1"/>
    <col min="6414" max="6656" width="9" style="1238"/>
    <col min="6657" max="6657" width="4.88671875" style="1238" customWidth="1"/>
    <col min="6658" max="6658" width="13.21875" style="1238" customWidth="1"/>
    <col min="6659" max="6659" width="15.6640625" style="1238" customWidth="1"/>
    <col min="6660" max="6660" width="9.33203125" style="1238" bestFit="1" customWidth="1"/>
    <col min="6661" max="6661" width="13.44140625" style="1238" customWidth="1"/>
    <col min="6662" max="6662" width="9" style="1238"/>
    <col min="6663" max="6663" width="9.33203125" style="1238" bestFit="1" customWidth="1"/>
    <col min="6664" max="6665" width="9" style="1238"/>
    <col min="6666" max="6666" width="9.33203125" style="1238" bestFit="1" customWidth="1"/>
    <col min="6667" max="6667" width="4" style="1238" customWidth="1"/>
    <col min="6668" max="6668" width="5.109375" style="1238" customWidth="1"/>
    <col min="6669" max="6669" width="13.77734375" style="1238" customWidth="1"/>
    <col min="6670" max="6912" width="9" style="1238"/>
    <col min="6913" max="6913" width="4.88671875" style="1238" customWidth="1"/>
    <col min="6914" max="6914" width="13.21875" style="1238" customWidth="1"/>
    <col min="6915" max="6915" width="15.6640625" style="1238" customWidth="1"/>
    <col min="6916" max="6916" width="9.33203125" style="1238" bestFit="1" customWidth="1"/>
    <col min="6917" max="6917" width="13.44140625" style="1238" customWidth="1"/>
    <col min="6918" max="6918" width="9" style="1238"/>
    <col min="6919" max="6919" width="9.33203125" style="1238" bestFit="1" customWidth="1"/>
    <col min="6920" max="6921" width="9" style="1238"/>
    <col min="6922" max="6922" width="9.33203125" style="1238" bestFit="1" customWidth="1"/>
    <col min="6923" max="6923" width="4" style="1238" customWidth="1"/>
    <col min="6924" max="6924" width="5.109375" style="1238" customWidth="1"/>
    <col min="6925" max="6925" width="13.77734375" style="1238" customWidth="1"/>
    <col min="6926" max="7168" width="9" style="1238"/>
    <col min="7169" max="7169" width="4.88671875" style="1238" customWidth="1"/>
    <col min="7170" max="7170" width="13.21875" style="1238" customWidth="1"/>
    <col min="7171" max="7171" width="15.6640625" style="1238" customWidth="1"/>
    <col min="7172" max="7172" width="9.33203125" style="1238" bestFit="1" customWidth="1"/>
    <col min="7173" max="7173" width="13.44140625" style="1238" customWidth="1"/>
    <col min="7174" max="7174" width="9" style="1238"/>
    <col min="7175" max="7175" width="9.33203125" style="1238" bestFit="1" customWidth="1"/>
    <col min="7176" max="7177" width="9" style="1238"/>
    <col min="7178" max="7178" width="9.33203125" style="1238" bestFit="1" customWidth="1"/>
    <col min="7179" max="7179" width="4" style="1238" customWidth="1"/>
    <col min="7180" max="7180" width="5.109375" style="1238" customWidth="1"/>
    <col min="7181" max="7181" width="13.77734375" style="1238" customWidth="1"/>
    <col min="7182" max="7424" width="9" style="1238"/>
    <col min="7425" max="7425" width="4.88671875" style="1238" customWidth="1"/>
    <col min="7426" max="7426" width="13.21875" style="1238" customWidth="1"/>
    <col min="7427" max="7427" width="15.6640625" style="1238" customWidth="1"/>
    <col min="7428" max="7428" width="9.33203125" style="1238" bestFit="1" customWidth="1"/>
    <col min="7429" max="7429" width="13.44140625" style="1238" customWidth="1"/>
    <col min="7430" max="7430" width="9" style="1238"/>
    <col min="7431" max="7431" width="9.33203125" style="1238" bestFit="1" customWidth="1"/>
    <col min="7432" max="7433" width="9" style="1238"/>
    <col min="7434" max="7434" width="9.33203125" style="1238" bestFit="1" customWidth="1"/>
    <col min="7435" max="7435" width="4" style="1238" customWidth="1"/>
    <col min="7436" max="7436" width="5.109375" style="1238" customWidth="1"/>
    <col min="7437" max="7437" width="13.77734375" style="1238" customWidth="1"/>
    <col min="7438" max="7680" width="9" style="1238"/>
    <col min="7681" max="7681" width="4.88671875" style="1238" customWidth="1"/>
    <col min="7682" max="7682" width="13.21875" style="1238" customWidth="1"/>
    <col min="7683" max="7683" width="15.6640625" style="1238" customWidth="1"/>
    <col min="7684" max="7684" width="9.33203125" style="1238" bestFit="1" customWidth="1"/>
    <col min="7685" max="7685" width="13.44140625" style="1238" customWidth="1"/>
    <col min="7686" max="7686" width="9" style="1238"/>
    <col min="7687" max="7687" width="9.33203125" style="1238" bestFit="1" customWidth="1"/>
    <col min="7688" max="7689" width="9" style="1238"/>
    <col min="7690" max="7690" width="9.33203125" style="1238" bestFit="1" customWidth="1"/>
    <col min="7691" max="7691" width="4" style="1238" customWidth="1"/>
    <col min="7692" max="7692" width="5.109375" style="1238" customWidth="1"/>
    <col min="7693" max="7693" width="13.77734375" style="1238" customWidth="1"/>
    <col min="7694" max="7936" width="9" style="1238"/>
    <col min="7937" max="7937" width="4.88671875" style="1238" customWidth="1"/>
    <col min="7938" max="7938" width="13.21875" style="1238" customWidth="1"/>
    <col min="7939" max="7939" width="15.6640625" style="1238" customWidth="1"/>
    <col min="7940" max="7940" width="9.33203125" style="1238" bestFit="1" customWidth="1"/>
    <col min="7941" max="7941" width="13.44140625" style="1238" customWidth="1"/>
    <col min="7942" max="7942" width="9" style="1238"/>
    <col min="7943" max="7943" width="9.33203125" style="1238" bestFit="1" customWidth="1"/>
    <col min="7944" max="7945" width="9" style="1238"/>
    <col min="7946" max="7946" width="9.33203125" style="1238" bestFit="1" customWidth="1"/>
    <col min="7947" max="7947" width="4" style="1238" customWidth="1"/>
    <col min="7948" max="7948" width="5.109375" style="1238" customWidth="1"/>
    <col min="7949" max="7949" width="13.77734375" style="1238" customWidth="1"/>
    <col min="7950" max="8192" width="9" style="1238"/>
    <col min="8193" max="8193" width="4.88671875" style="1238" customWidth="1"/>
    <col min="8194" max="8194" width="13.21875" style="1238" customWidth="1"/>
    <col min="8195" max="8195" width="15.6640625" style="1238" customWidth="1"/>
    <col min="8196" max="8196" width="9.33203125" style="1238" bestFit="1" customWidth="1"/>
    <col min="8197" max="8197" width="13.44140625" style="1238" customWidth="1"/>
    <col min="8198" max="8198" width="9" style="1238"/>
    <col min="8199" max="8199" width="9.33203125" style="1238" bestFit="1" customWidth="1"/>
    <col min="8200" max="8201" width="9" style="1238"/>
    <col min="8202" max="8202" width="9.33203125" style="1238" bestFit="1" customWidth="1"/>
    <col min="8203" max="8203" width="4" style="1238" customWidth="1"/>
    <col min="8204" max="8204" width="5.109375" style="1238" customWidth="1"/>
    <col min="8205" max="8205" width="13.77734375" style="1238" customWidth="1"/>
    <col min="8206" max="8448" width="9" style="1238"/>
    <col min="8449" max="8449" width="4.88671875" style="1238" customWidth="1"/>
    <col min="8450" max="8450" width="13.21875" style="1238" customWidth="1"/>
    <col min="8451" max="8451" width="15.6640625" style="1238" customWidth="1"/>
    <col min="8452" max="8452" width="9.33203125" style="1238" bestFit="1" customWidth="1"/>
    <col min="8453" max="8453" width="13.44140625" style="1238" customWidth="1"/>
    <col min="8454" max="8454" width="9" style="1238"/>
    <col min="8455" max="8455" width="9.33203125" style="1238" bestFit="1" customWidth="1"/>
    <col min="8456" max="8457" width="9" style="1238"/>
    <col min="8458" max="8458" width="9.33203125" style="1238" bestFit="1" customWidth="1"/>
    <col min="8459" max="8459" width="4" style="1238" customWidth="1"/>
    <col min="8460" max="8460" width="5.109375" style="1238" customWidth="1"/>
    <col min="8461" max="8461" width="13.77734375" style="1238" customWidth="1"/>
    <col min="8462" max="8704" width="9" style="1238"/>
    <col min="8705" max="8705" width="4.88671875" style="1238" customWidth="1"/>
    <col min="8706" max="8706" width="13.21875" style="1238" customWidth="1"/>
    <col min="8707" max="8707" width="15.6640625" style="1238" customWidth="1"/>
    <col min="8708" max="8708" width="9.33203125" style="1238" bestFit="1" customWidth="1"/>
    <col min="8709" max="8709" width="13.44140625" style="1238" customWidth="1"/>
    <col min="8710" max="8710" width="9" style="1238"/>
    <col min="8711" max="8711" width="9.33203125" style="1238" bestFit="1" customWidth="1"/>
    <col min="8712" max="8713" width="9" style="1238"/>
    <col min="8714" max="8714" width="9.33203125" style="1238" bestFit="1" customWidth="1"/>
    <col min="8715" max="8715" width="4" style="1238" customWidth="1"/>
    <col min="8716" max="8716" width="5.109375" style="1238" customWidth="1"/>
    <col min="8717" max="8717" width="13.77734375" style="1238" customWidth="1"/>
    <col min="8718" max="8960" width="9" style="1238"/>
    <col min="8961" max="8961" width="4.88671875" style="1238" customWidth="1"/>
    <col min="8962" max="8962" width="13.21875" style="1238" customWidth="1"/>
    <col min="8963" max="8963" width="15.6640625" style="1238" customWidth="1"/>
    <col min="8964" max="8964" width="9.33203125" style="1238" bestFit="1" customWidth="1"/>
    <col min="8965" max="8965" width="13.44140625" style="1238" customWidth="1"/>
    <col min="8966" max="8966" width="9" style="1238"/>
    <col min="8967" max="8967" width="9.33203125" style="1238" bestFit="1" customWidth="1"/>
    <col min="8968" max="8969" width="9" style="1238"/>
    <col min="8970" max="8970" width="9.33203125" style="1238" bestFit="1" customWidth="1"/>
    <col min="8971" max="8971" width="4" style="1238" customWidth="1"/>
    <col min="8972" max="8972" width="5.109375" style="1238" customWidth="1"/>
    <col min="8973" max="8973" width="13.77734375" style="1238" customWidth="1"/>
    <col min="8974" max="9216" width="9" style="1238"/>
    <col min="9217" max="9217" width="4.88671875" style="1238" customWidth="1"/>
    <col min="9218" max="9218" width="13.21875" style="1238" customWidth="1"/>
    <col min="9219" max="9219" width="15.6640625" style="1238" customWidth="1"/>
    <col min="9220" max="9220" width="9.33203125" style="1238" bestFit="1" customWidth="1"/>
    <col min="9221" max="9221" width="13.44140625" style="1238" customWidth="1"/>
    <col min="9222" max="9222" width="9" style="1238"/>
    <col min="9223" max="9223" width="9.33203125" style="1238" bestFit="1" customWidth="1"/>
    <col min="9224" max="9225" width="9" style="1238"/>
    <col min="9226" max="9226" width="9.33203125" style="1238" bestFit="1" customWidth="1"/>
    <col min="9227" max="9227" width="4" style="1238" customWidth="1"/>
    <col min="9228" max="9228" width="5.109375" style="1238" customWidth="1"/>
    <col min="9229" max="9229" width="13.77734375" style="1238" customWidth="1"/>
    <col min="9230" max="9472" width="9" style="1238"/>
    <col min="9473" max="9473" width="4.88671875" style="1238" customWidth="1"/>
    <col min="9474" max="9474" width="13.21875" style="1238" customWidth="1"/>
    <col min="9475" max="9475" width="15.6640625" style="1238" customWidth="1"/>
    <col min="9476" max="9476" width="9.33203125" style="1238" bestFit="1" customWidth="1"/>
    <col min="9477" max="9477" width="13.44140625" style="1238" customWidth="1"/>
    <col min="9478" max="9478" width="9" style="1238"/>
    <col min="9479" max="9479" width="9.33203125" style="1238" bestFit="1" customWidth="1"/>
    <col min="9480" max="9481" width="9" style="1238"/>
    <col min="9482" max="9482" width="9.33203125" style="1238" bestFit="1" customWidth="1"/>
    <col min="9483" max="9483" width="4" style="1238" customWidth="1"/>
    <col min="9484" max="9484" width="5.109375" style="1238" customWidth="1"/>
    <col min="9485" max="9485" width="13.77734375" style="1238" customWidth="1"/>
    <col min="9486" max="9728" width="9" style="1238"/>
    <col min="9729" max="9729" width="4.88671875" style="1238" customWidth="1"/>
    <col min="9730" max="9730" width="13.21875" style="1238" customWidth="1"/>
    <col min="9731" max="9731" width="15.6640625" style="1238" customWidth="1"/>
    <col min="9732" max="9732" width="9.33203125" style="1238" bestFit="1" customWidth="1"/>
    <col min="9733" max="9733" width="13.44140625" style="1238" customWidth="1"/>
    <col min="9734" max="9734" width="9" style="1238"/>
    <col min="9735" max="9735" width="9.33203125" style="1238" bestFit="1" customWidth="1"/>
    <col min="9736" max="9737" width="9" style="1238"/>
    <col min="9738" max="9738" width="9.33203125" style="1238" bestFit="1" customWidth="1"/>
    <col min="9739" max="9739" width="4" style="1238" customWidth="1"/>
    <col min="9740" max="9740" width="5.109375" style="1238" customWidth="1"/>
    <col min="9741" max="9741" width="13.77734375" style="1238" customWidth="1"/>
    <col min="9742" max="9984" width="9" style="1238"/>
    <col min="9985" max="9985" width="4.88671875" style="1238" customWidth="1"/>
    <col min="9986" max="9986" width="13.21875" style="1238" customWidth="1"/>
    <col min="9987" max="9987" width="15.6640625" style="1238" customWidth="1"/>
    <col min="9988" max="9988" width="9.33203125" style="1238" bestFit="1" customWidth="1"/>
    <col min="9989" max="9989" width="13.44140625" style="1238" customWidth="1"/>
    <col min="9990" max="9990" width="9" style="1238"/>
    <col min="9991" max="9991" width="9.33203125" style="1238" bestFit="1" customWidth="1"/>
    <col min="9992" max="9993" width="9" style="1238"/>
    <col min="9994" max="9994" width="9.33203125" style="1238" bestFit="1" customWidth="1"/>
    <col min="9995" max="9995" width="4" style="1238" customWidth="1"/>
    <col min="9996" max="9996" width="5.109375" style="1238" customWidth="1"/>
    <col min="9997" max="9997" width="13.77734375" style="1238" customWidth="1"/>
    <col min="9998" max="10240" width="9" style="1238"/>
    <col min="10241" max="10241" width="4.88671875" style="1238" customWidth="1"/>
    <col min="10242" max="10242" width="13.21875" style="1238" customWidth="1"/>
    <col min="10243" max="10243" width="15.6640625" style="1238" customWidth="1"/>
    <col min="10244" max="10244" width="9.33203125" style="1238" bestFit="1" customWidth="1"/>
    <col min="10245" max="10245" width="13.44140625" style="1238" customWidth="1"/>
    <col min="10246" max="10246" width="9" style="1238"/>
    <col min="10247" max="10247" width="9.33203125" style="1238" bestFit="1" customWidth="1"/>
    <col min="10248" max="10249" width="9" style="1238"/>
    <col min="10250" max="10250" width="9.33203125" style="1238" bestFit="1" customWidth="1"/>
    <col min="10251" max="10251" width="4" style="1238" customWidth="1"/>
    <col min="10252" max="10252" width="5.109375" style="1238" customWidth="1"/>
    <col min="10253" max="10253" width="13.77734375" style="1238" customWidth="1"/>
    <col min="10254" max="10496" width="9" style="1238"/>
    <col min="10497" max="10497" width="4.88671875" style="1238" customWidth="1"/>
    <col min="10498" max="10498" width="13.21875" style="1238" customWidth="1"/>
    <col min="10499" max="10499" width="15.6640625" style="1238" customWidth="1"/>
    <col min="10500" max="10500" width="9.33203125" style="1238" bestFit="1" customWidth="1"/>
    <col min="10501" max="10501" width="13.44140625" style="1238" customWidth="1"/>
    <col min="10502" max="10502" width="9" style="1238"/>
    <col min="10503" max="10503" width="9.33203125" style="1238" bestFit="1" customWidth="1"/>
    <col min="10504" max="10505" width="9" style="1238"/>
    <col min="10506" max="10506" width="9.33203125" style="1238" bestFit="1" customWidth="1"/>
    <col min="10507" max="10507" width="4" style="1238" customWidth="1"/>
    <col min="10508" max="10508" width="5.109375" style="1238" customWidth="1"/>
    <col min="10509" max="10509" width="13.77734375" style="1238" customWidth="1"/>
    <col min="10510" max="10752" width="9" style="1238"/>
    <col min="10753" max="10753" width="4.88671875" style="1238" customWidth="1"/>
    <col min="10754" max="10754" width="13.21875" style="1238" customWidth="1"/>
    <col min="10755" max="10755" width="15.6640625" style="1238" customWidth="1"/>
    <col min="10756" max="10756" width="9.33203125" style="1238" bestFit="1" customWidth="1"/>
    <col min="10757" max="10757" width="13.44140625" style="1238" customWidth="1"/>
    <col min="10758" max="10758" width="9" style="1238"/>
    <col min="10759" max="10759" width="9.33203125" style="1238" bestFit="1" customWidth="1"/>
    <col min="10760" max="10761" width="9" style="1238"/>
    <col min="10762" max="10762" width="9.33203125" style="1238" bestFit="1" customWidth="1"/>
    <col min="10763" max="10763" width="4" style="1238" customWidth="1"/>
    <col min="10764" max="10764" width="5.109375" style="1238" customWidth="1"/>
    <col min="10765" max="10765" width="13.77734375" style="1238" customWidth="1"/>
    <col min="10766" max="11008" width="9" style="1238"/>
    <col min="11009" max="11009" width="4.88671875" style="1238" customWidth="1"/>
    <col min="11010" max="11010" width="13.21875" style="1238" customWidth="1"/>
    <col min="11011" max="11011" width="15.6640625" style="1238" customWidth="1"/>
    <col min="11012" max="11012" width="9.33203125" style="1238" bestFit="1" customWidth="1"/>
    <col min="11013" max="11013" width="13.44140625" style="1238" customWidth="1"/>
    <col min="11014" max="11014" width="9" style="1238"/>
    <col min="11015" max="11015" width="9.33203125" style="1238" bestFit="1" customWidth="1"/>
    <col min="11016" max="11017" width="9" style="1238"/>
    <col min="11018" max="11018" width="9.33203125" style="1238" bestFit="1" customWidth="1"/>
    <col min="11019" max="11019" width="4" style="1238" customWidth="1"/>
    <col min="11020" max="11020" width="5.109375" style="1238" customWidth="1"/>
    <col min="11021" max="11021" width="13.77734375" style="1238" customWidth="1"/>
    <col min="11022" max="11264" width="9" style="1238"/>
    <col min="11265" max="11265" width="4.88671875" style="1238" customWidth="1"/>
    <col min="11266" max="11266" width="13.21875" style="1238" customWidth="1"/>
    <col min="11267" max="11267" width="15.6640625" style="1238" customWidth="1"/>
    <col min="11268" max="11268" width="9.33203125" style="1238" bestFit="1" customWidth="1"/>
    <col min="11269" max="11269" width="13.44140625" style="1238" customWidth="1"/>
    <col min="11270" max="11270" width="9" style="1238"/>
    <col min="11271" max="11271" width="9.33203125" style="1238" bestFit="1" customWidth="1"/>
    <col min="11272" max="11273" width="9" style="1238"/>
    <col min="11274" max="11274" width="9.33203125" style="1238" bestFit="1" customWidth="1"/>
    <col min="11275" max="11275" width="4" style="1238" customWidth="1"/>
    <col min="11276" max="11276" width="5.109375" style="1238" customWidth="1"/>
    <col min="11277" max="11277" width="13.77734375" style="1238" customWidth="1"/>
    <col min="11278" max="11520" width="9" style="1238"/>
    <col min="11521" max="11521" width="4.88671875" style="1238" customWidth="1"/>
    <col min="11522" max="11522" width="13.21875" style="1238" customWidth="1"/>
    <col min="11523" max="11523" width="15.6640625" style="1238" customWidth="1"/>
    <col min="11524" max="11524" width="9.33203125" style="1238" bestFit="1" customWidth="1"/>
    <col min="11525" max="11525" width="13.44140625" style="1238" customWidth="1"/>
    <col min="11526" max="11526" width="9" style="1238"/>
    <col min="11527" max="11527" width="9.33203125" style="1238" bestFit="1" customWidth="1"/>
    <col min="11528" max="11529" width="9" style="1238"/>
    <col min="11530" max="11530" width="9.33203125" style="1238" bestFit="1" customWidth="1"/>
    <col min="11531" max="11531" width="4" style="1238" customWidth="1"/>
    <col min="11532" max="11532" width="5.109375" style="1238" customWidth="1"/>
    <col min="11533" max="11533" width="13.77734375" style="1238" customWidth="1"/>
    <col min="11534" max="11776" width="9" style="1238"/>
    <col min="11777" max="11777" width="4.88671875" style="1238" customWidth="1"/>
    <col min="11778" max="11778" width="13.21875" style="1238" customWidth="1"/>
    <col min="11779" max="11779" width="15.6640625" style="1238" customWidth="1"/>
    <col min="11780" max="11780" width="9.33203125" style="1238" bestFit="1" customWidth="1"/>
    <col min="11781" max="11781" width="13.44140625" style="1238" customWidth="1"/>
    <col min="11782" max="11782" width="9" style="1238"/>
    <col min="11783" max="11783" width="9.33203125" style="1238" bestFit="1" customWidth="1"/>
    <col min="11784" max="11785" width="9" style="1238"/>
    <col min="11786" max="11786" width="9.33203125" style="1238" bestFit="1" customWidth="1"/>
    <col min="11787" max="11787" width="4" style="1238" customWidth="1"/>
    <col min="11788" max="11788" width="5.109375" style="1238" customWidth="1"/>
    <col min="11789" max="11789" width="13.77734375" style="1238" customWidth="1"/>
    <col min="11790" max="12032" width="9" style="1238"/>
    <col min="12033" max="12033" width="4.88671875" style="1238" customWidth="1"/>
    <col min="12034" max="12034" width="13.21875" style="1238" customWidth="1"/>
    <col min="12035" max="12035" width="15.6640625" style="1238" customWidth="1"/>
    <col min="12036" max="12036" width="9.33203125" style="1238" bestFit="1" customWidth="1"/>
    <col min="12037" max="12037" width="13.44140625" style="1238" customWidth="1"/>
    <col min="12038" max="12038" width="9" style="1238"/>
    <col min="12039" max="12039" width="9.33203125" style="1238" bestFit="1" customWidth="1"/>
    <col min="12040" max="12041" width="9" style="1238"/>
    <col min="12042" max="12042" width="9.33203125" style="1238" bestFit="1" customWidth="1"/>
    <col min="12043" max="12043" width="4" style="1238" customWidth="1"/>
    <col min="12044" max="12044" width="5.109375" style="1238" customWidth="1"/>
    <col min="12045" max="12045" width="13.77734375" style="1238" customWidth="1"/>
    <col min="12046" max="12288" width="9" style="1238"/>
    <col min="12289" max="12289" width="4.88671875" style="1238" customWidth="1"/>
    <col min="12290" max="12290" width="13.21875" style="1238" customWidth="1"/>
    <col min="12291" max="12291" width="15.6640625" style="1238" customWidth="1"/>
    <col min="12292" max="12292" width="9.33203125" style="1238" bestFit="1" customWidth="1"/>
    <col min="12293" max="12293" width="13.44140625" style="1238" customWidth="1"/>
    <col min="12294" max="12294" width="9" style="1238"/>
    <col min="12295" max="12295" width="9.33203125" style="1238" bestFit="1" customWidth="1"/>
    <col min="12296" max="12297" width="9" style="1238"/>
    <col min="12298" max="12298" width="9.33203125" style="1238" bestFit="1" customWidth="1"/>
    <col min="12299" max="12299" width="4" style="1238" customWidth="1"/>
    <col min="12300" max="12300" width="5.109375" style="1238" customWidth="1"/>
    <col min="12301" max="12301" width="13.77734375" style="1238" customWidth="1"/>
    <col min="12302" max="12544" width="9" style="1238"/>
    <col min="12545" max="12545" width="4.88671875" style="1238" customWidth="1"/>
    <col min="12546" max="12546" width="13.21875" style="1238" customWidth="1"/>
    <col min="12547" max="12547" width="15.6640625" style="1238" customWidth="1"/>
    <col min="12548" max="12548" width="9.33203125" style="1238" bestFit="1" customWidth="1"/>
    <col min="12549" max="12549" width="13.44140625" style="1238" customWidth="1"/>
    <col min="12550" max="12550" width="9" style="1238"/>
    <col min="12551" max="12551" width="9.33203125" style="1238" bestFit="1" customWidth="1"/>
    <col min="12552" max="12553" width="9" style="1238"/>
    <col min="12554" max="12554" width="9.33203125" style="1238" bestFit="1" customWidth="1"/>
    <col min="12555" max="12555" width="4" style="1238" customWidth="1"/>
    <col min="12556" max="12556" width="5.109375" style="1238" customWidth="1"/>
    <col min="12557" max="12557" width="13.77734375" style="1238" customWidth="1"/>
    <col min="12558" max="12800" width="9" style="1238"/>
    <col min="12801" max="12801" width="4.88671875" style="1238" customWidth="1"/>
    <col min="12802" max="12802" width="13.21875" style="1238" customWidth="1"/>
    <col min="12803" max="12803" width="15.6640625" style="1238" customWidth="1"/>
    <col min="12804" max="12804" width="9.33203125" style="1238" bestFit="1" customWidth="1"/>
    <col min="12805" max="12805" width="13.44140625" style="1238" customWidth="1"/>
    <col min="12806" max="12806" width="9" style="1238"/>
    <col min="12807" max="12807" width="9.33203125" style="1238" bestFit="1" customWidth="1"/>
    <col min="12808" max="12809" width="9" style="1238"/>
    <col min="12810" max="12810" width="9.33203125" style="1238" bestFit="1" customWidth="1"/>
    <col min="12811" max="12811" width="4" style="1238" customWidth="1"/>
    <col min="12812" max="12812" width="5.109375" style="1238" customWidth="1"/>
    <col min="12813" max="12813" width="13.77734375" style="1238" customWidth="1"/>
    <col min="12814" max="13056" width="9" style="1238"/>
    <col min="13057" max="13057" width="4.88671875" style="1238" customWidth="1"/>
    <col min="13058" max="13058" width="13.21875" style="1238" customWidth="1"/>
    <col min="13059" max="13059" width="15.6640625" style="1238" customWidth="1"/>
    <col min="13060" max="13060" width="9.33203125" style="1238" bestFit="1" customWidth="1"/>
    <col min="13061" max="13061" width="13.44140625" style="1238" customWidth="1"/>
    <col min="13062" max="13062" width="9" style="1238"/>
    <col min="13063" max="13063" width="9.33203125" style="1238" bestFit="1" customWidth="1"/>
    <col min="13064" max="13065" width="9" style="1238"/>
    <col min="13066" max="13066" width="9.33203125" style="1238" bestFit="1" customWidth="1"/>
    <col min="13067" max="13067" width="4" style="1238" customWidth="1"/>
    <col min="13068" max="13068" width="5.109375" style="1238" customWidth="1"/>
    <col min="13069" max="13069" width="13.77734375" style="1238" customWidth="1"/>
    <col min="13070" max="13312" width="9" style="1238"/>
    <col min="13313" max="13313" width="4.88671875" style="1238" customWidth="1"/>
    <col min="13314" max="13314" width="13.21875" style="1238" customWidth="1"/>
    <col min="13315" max="13315" width="15.6640625" style="1238" customWidth="1"/>
    <col min="13316" max="13316" width="9.33203125" style="1238" bestFit="1" customWidth="1"/>
    <col min="13317" max="13317" width="13.44140625" style="1238" customWidth="1"/>
    <col min="13318" max="13318" width="9" style="1238"/>
    <col min="13319" max="13319" width="9.33203125" style="1238" bestFit="1" customWidth="1"/>
    <col min="13320" max="13321" width="9" style="1238"/>
    <col min="13322" max="13322" width="9.33203125" style="1238" bestFit="1" customWidth="1"/>
    <col min="13323" max="13323" width="4" style="1238" customWidth="1"/>
    <col min="13324" max="13324" width="5.109375" style="1238" customWidth="1"/>
    <col min="13325" max="13325" width="13.77734375" style="1238" customWidth="1"/>
    <col min="13326" max="13568" width="9" style="1238"/>
    <col min="13569" max="13569" width="4.88671875" style="1238" customWidth="1"/>
    <col min="13570" max="13570" width="13.21875" style="1238" customWidth="1"/>
    <col min="13571" max="13571" width="15.6640625" style="1238" customWidth="1"/>
    <col min="13572" max="13572" width="9.33203125" style="1238" bestFit="1" customWidth="1"/>
    <col min="13573" max="13573" width="13.44140625" style="1238" customWidth="1"/>
    <col min="13574" max="13574" width="9" style="1238"/>
    <col min="13575" max="13575" width="9.33203125" style="1238" bestFit="1" customWidth="1"/>
    <col min="13576" max="13577" width="9" style="1238"/>
    <col min="13578" max="13578" width="9.33203125" style="1238" bestFit="1" customWidth="1"/>
    <col min="13579" max="13579" width="4" style="1238" customWidth="1"/>
    <col min="13580" max="13580" width="5.109375" style="1238" customWidth="1"/>
    <col min="13581" max="13581" width="13.77734375" style="1238" customWidth="1"/>
    <col min="13582" max="13824" width="9" style="1238"/>
    <col min="13825" max="13825" width="4.88671875" style="1238" customWidth="1"/>
    <col min="13826" max="13826" width="13.21875" style="1238" customWidth="1"/>
    <col min="13827" max="13827" width="15.6640625" style="1238" customWidth="1"/>
    <col min="13828" max="13828" width="9.33203125" style="1238" bestFit="1" customWidth="1"/>
    <col min="13829" max="13829" width="13.44140625" style="1238" customWidth="1"/>
    <col min="13830" max="13830" width="9" style="1238"/>
    <col min="13831" max="13831" width="9.33203125" style="1238" bestFit="1" customWidth="1"/>
    <col min="13832" max="13833" width="9" style="1238"/>
    <col min="13834" max="13834" width="9.33203125" style="1238" bestFit="1" customWidth="1"/>
    <col min="13835" max="13835" width="4" style="1238" customWidth="1"/>
    <col min="13836" max="13836" width="5.109375" style="1238" customWidth="1"/>
    <col min="13837" max="13837" width="13.77734375" style="1238" customWidth="1"/>
    <col min="13838" max="14080" width="9" style="1238"/>
    <col min="14081" max="14081" width="4.88671875" style="1238" customWidth="1"/>
    <col min="14082" max="14082" width="13.21875" style="1238" customWidth="1"/>
    <col min="14083" max="14083" width="15.6640625" style="1238" customWidth="1"/>
    <col min="14084" max="14084" width="9.33203125" style="1238" bestFit="1" customWidth="1"/>
    <col min="14085" max="14085" width="13.44140625" style="1238" customWidth="1"/>
    <col min="14086" max="14086" width="9" style="1238"/>
    <col min="14087" max="14087" width="9.33203125" style="1238" bestFit="1" customWidth="1"/>
    <col min="14088" max="14089" width="9" style="1238"/>
    <col min="14090" max="14090" width="9.33203125" style="1238" bestFit="1" customWidth="1"/>
    <col min="14091" max="14091" width="4" style="1238" customWidth="1"/>
    <col min="14092" max="14092" width="5.109375" style="1238" customWidth="1"/>
    <col min="14093" max="14093" width="13.77734375" style="1238" customWidth="1"/>
    <col min="14094" max="14336" width="9" style="1238"/>
    <col min="14337" max="14337" width="4.88671875" style="1238" customWidth="1"/>
    <col min="14338" max="14338" width="13.21875" style="1238" customWidth="1"/>
    <col min="14339" max="14339" width="15.6640625" style="1238" customWidth="1"/>
    <col min="14340" max="14340" width="9.33203125" style="1238" bestFit="1" customWidth="1"/>
    <col min="14341" max="14341" width="13.44140625" style="1238" customWidth="1"/>
    <col min="14342" max="14342" width="9" style="1238"/>
    <col min="14343" max="14343" width="9.33203125" style="1238" bestFit="1" customWidth="1"/>
    <col min="14344" max="14345" width="9" style="1238"/>
    <col min="14346" max="14346" width="9.33203125" style="1238" bestFit="1" customWidth="1"/>
    <col min="14347" max="14347" width="4" style="1238" customWidth="1"/>
    <col min="14348" max="14348" width="5.109375" style="1238" customWidth="1"/>
    <col min="14349" max="14349" width="13.77734375" style="1238" customWidth="1"/>
    <col min="14350" max="14592" width="9" style="1238"/>
    <col min="14593" max="14593" width="4.88671875" style="1238" customWidth="1"/>
    <col min="14594" max="14594" width="13.21875" style="1238" customWidth="1"/>
    <col min="14595" max="14595" width="15.6640625" style="1238" customWidth="1"/>
    <col min="14596" max="14596" width="9.33203125" style="1238" bestFit="1" customWidth="1"/>
    <col min="14597" max="14597" width="13.44140625" style="1238" customWidth="1"/>
    <col min="14598" max="14598" width="9" style="1238"/>
    <col min="14599" max="14599" width="9.33203125" style="1238" bestFit="1" customWidth="1"/>
    <col min="14600" max="14601" width="9" style="1238"/>
    <col min="14602" max="14602" width="9.33203125" style="1238" bestFit="1" customWidth="1"/>
    <col min="14603" max="14603" width="4" style="1238" customWidth="1"/>
    <col min="14604" max="14604" width="5.109375" style="1238" customWidth="1"/>
    <col min="14605" max="14605" width="13.77734375" style="1238" customWidth="1"/>
    <col min="14606" max="14848" width="9" style="1238"/>
    <col min="14849" max="14849" width="4.88671875" style="1238" customWidth="1"/>
    <col min="14850" max="14850" width="13.21875" style="1238" customWidth="1"/>
    <col min="14851" max="14851" width="15.6640625" style="1238" customWidth="1"/>
    <col min="14852" max="14852" width="9.33203125" style="1238" bestFit="1" customWidth="1"/>
    <col min="14853" max="14853" width="13.44140625" style="1238" customWidth="1"/>
    <col min="14854" max="14854" width="9" style="1238"/>
    <col min="14855" max="14855" width="9.33203125" style="1238" bestFit="1" customWidth="1"/>
    <col min="14856" max="14857" width="9" style="1238"/>
    <col min="14858" max="14858" width="9.33203125" style="1238" bestFit="1" customWidth="1"/>
    <col min="14859" max="14859" width="4" style="1238" customWidth="1"/>
    <col min="14860" max="14860" width="5.109375" style="1238" customWidth="1"/>
    <col min="14861" max="14861" width="13.77734375" style="1238" customWidth="1"/>
    <col min="14862" max="15104" width="9" style="1238"/>
    <col min="15105" max="15105" width="4.88671875" style="1238" customWidth="1"/>
    <col min="15106" max="15106" width="13.21875" style="1238" customWidth="1"/>
    <col min="15107" max="15107" width="15.6640625" style="1238" customWidth="1"/>
    <col min="15108" max="15108" width="9.33203125" style="1238" bestFit="1" customWidth="1"/>
    <col min="15109" max="15109" width="13.44140625" style="1238" customWidth="1"/>
    <col min="15110" max="15110" width="9" style="1238"/>
    <col min="15111" max="15111" width="9.33203125" style="1238" bestFit="1" customWidth="1"/>
    <col min="15112" max="15113" width="9" style="1238"/>
    <col min="15114" max="15114" width="9.33203125" style="1238" bestFit="1" customWidth="1"/>
    <col min="15115" max="15115" width="4" style="1238" customWidth="1"/>
    <col min="15116" max="15116" width="5.109375" style="1238" customWidth="1"/>
    <col min="15117" max="15117" width="13.77734375" style="1238" customWidth="1"/>
    <col min="15118" max="15360" width="9" style="1238"/>
    <col min="15361" max="15361" width="4.88671875" style="1238" customWidth="1"/>
    <col min="15362" max="15362" width="13.21875" style="1238" customWidth="1"/>
    <col min="15363" max="15363" width="15.6640625" style="1238" customWidth="1"/>
    <col min="15364" max="15364" width="9.33203125" style="1238" bestFit="1" customWidth="1"/>
    <col min="15365" max="15365" width="13.44140625" style="1238" customWidth="1"/>
    <col min="15366" max="15366" width="9" style="1238"/>
    <col min="15367" max="15367" width="9.33203125" style="1238" bestFit="1" customWidth="1"/>
    <col min="15368" max="15369" width="9" style="1238"/>
    <col min="15370" max="15370" width="9.33203125" style="1238" bestFit="1" customWidth="1"/>
    <col min="15371" max="15371" width="4" style="1238" customWidth="1"/>
    <col min="15372" max="15372" width="5.109375" style="1238" customWidth="1"/>
    <col min="15373" max="15373" width="13.77734375" style="1238" customWidth="1"/>
    <col min="15374" max="15616" width="9" style="1238"/>
    <col min="15617" max="15617" width="4.88671875" style="1238" customWidth="1"/>
    <col min="15618" max="15618" width="13.21875" style="1238" customWidth="1"/>
    <col min="15619" max="15619" width="15.6640625" style="1238" customWidth="1"/>
    <col min="15620" max="15620" width="9.33203125" style="1238" bestFit="1" customWidth="1"/>
    <col min="15621" max="15621" width="13.44140625" style="1238" customWidth="1"/>
    <col min="15622" max="15622" width="9" style="1238"/>
    <col min="15623" max="15623" width="9.33203125" style="1238" bestFit="1" customWidth="1"/>
    <col min="15624" max="15625" width="9" style="1238"/>
    <col min="15626" max="15626" width="9.33203125" style="1238" bestFit="1" customWidth="1"/>
    <col min="15627" max="15627" width="4" style="1238" customWidth="1"/>
    <col min="15628" max="15628" width="5.109375" style="1238" customWidth="1"/>
    <col min="15629" max="15629" width="13.77734375" style="1238" customWidth="1"/>
    <col min="15630" max="15872" width="9" style="1238"/>
    <col min="15873" max="15873" width="4.88671875" style="1238" customWidth="1"/>
    <col min="15874" max="15874" width="13.21875" style="1238" customWidth="1"/>
    <col min="15875" max="15875" width="15.6640625" style="1238" customWidth="1"/>
    <col min="15876" max="15876" width="9.33203125" style="1238" bestFit="1" customWidth="1"/>
    <col min="15877" max="15877" width="13.44140625" style="1238" customWidth="1"/>
    <col min="15878" max="15878" width="9" style="1238"/>
    <col min="15879" max="15879" width="9.33203125" style="1238" bestFit="1" customWidth="1"/>
    <col min="15880" max="15881" width="9" style="1238"/>
    <col min="15882" max="15882" width="9.33203125" style="1238" bestFit="1" customWidth="1"/>
    <col min="15883" max="15883" width="4" style="1238" customWidth="1"/>
    <col min="15884" max="15884" width="5.109375" style="1238" customWidth="1"/>
    <col min="15885" max="15885" width="13.77734375" style="1238" customWidth="1"/>
    <col min="15886" max="16128" width="9" style="1238"/>
    <col min="16129" max="16129" width="4.88671875" style="1238" customWidth="1"/>
    <col min="16130" max="16130" width="13.21875" style="1238" customWidth="1"/>
    <col min="16131" max="16131" width="15.6640625" style="1238" customWidth="1"/>
    <col min="16132" max="16132" width="9.33203125" style="1238" bestFit="1" customWidth="1"/>
    <col min="16133" max="16133" width="13.44140625" style="1238" customWidth="1"/>
    <col min="16134" max="16134" width="9" style="1238"/>
    <col min="16135" max="16135" width="9.33203125" style="1238" bestFit="1" customWidth="1"/>
    <col min="16136" max="16137" width="9" style="1238"/>
    <col min="16138" max="16138" width="9.33203125" style="1238" bestFit="1" customWidth="1"/>
    <col min="16139" max="16139" width="4" style="1238" customWidth="1"/>
    <col min="16140" max="16140" width="5.109375" style="1238" customWidth="1"/>
    <col min="16141" max="16141" width="13.77734375" style="1238" customWidth="1"/>
    <col min="16142" max="16384" width="9" style="1238"/>
  </cols>
  <sheetData>
    <row r="1" spans="1:257" s="1300" customFormat="1" ht="15" thickBot="1">
      <c r="A1" s="1294"/>
      <c r="B1" s="1301" t="s">
        <v>602</v>
      </c>
      <c r="C1" s="1295">
        <f>项目基本情况!D3</f>
        <v>45622</v>
      </c>
      <c r="D1" s="1301" t="s">
        <v>603</v>
      </c>
      <c r="E1" s="1296">
        <f>'数据-取费表'!B22</f>
        <v>2</v>
      </c>
      <c r="F1" s="1301" t="s">
        <v>604</v>
      </c>
      <c r="G1" s="1297">
        <f ca="1">INDIRECT("d"&amp;$K$1)/100</f>
        <v>3.1E-2</v>
      </c>
      <c r="H1" s="1301" t="s">
        <v>634</v>
      </c>
      <c r="I1" s="1297">
        <f ca="1">F4/100</f>
        <v>1.4999999999999999E-2</v>
      </c>
      <c r="J1" s="1302">
        <f>IF(C1&gt;C13,0,MATCH(C1,C$13:C$114,-1))+IF(SUMIF(C13:C114,C1,D13:D114)=0,13,12)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6"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3.1</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3.1</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3.1</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3.1</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5" thickBot="1">
      <c r="B7" s="1253" t="s">
        <v>611</v>
      </c>
      <c r="C7" s="1254">
        <v>5</v>
      </c>
      <c r="D7" s="1255">
        <f ca="1">INDIRECT("h"&amp;$J$1)</f>
        <v>3.6</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399999999999999">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2">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31.2">
      <c r="A13" s="1283"/>
      <c r="B13" s="1284" t="s">
        <v>632</v>
      </c>
      <c r="C13" s="2818">
        <v>45586</v>
      </c>
      <c r="D13" s="2819">
        <v>3.1</v>
      </c>
      <c r="E13" s="2819">
        <f>D13</f>
        <v>3.1</v>
      </c>
      <c r="F13" s="2819">
        <f>D13</f>
        <v>3.1</v>
      </c>
      <c r="G13" s="2819">
        <f>D13</f>
        <v>3.1</v>
      </c>
      <c r="H13" s="2819">
        <v>3.6</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5.6">
      <c r="A14" s="1283"/>
      <c r="B14" s="2813"/>
      <c r="C14" s="2815">
        <v>45495</v>
      </c>
      <c r="D14" s="2814">
        <v>3.35</v>
      </c>
      <c r="E14" s="2814">
        <f>D14</f>
        <v>3.35</v>
      </c>
      <c r="F14" s="2814">
        <f>D14</f>
        <v>3.35</v>
      </c>
      <c r="G14" s="2814">
        <f>D14</f>
        <v>3.35</v>
      </c>
      <c r="H14" s="2814">
        <v>3.85</v>
      </c>
      <c r="I14" s="2819"/>
      <c r="J14" s="2819"/>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5.6">
      <c r="A15" s="1283"/>
      <c r="B15" s="2813"/>
      <c r="C15" s="2815">
        <v>45342</v>
      </c>
      <c r="D15" s="2814">
        <v>3.45</v>
      </c>
      <c r="E15" s="2814">
        <f>D15</f>
        <v>3.45</v>
      </c>
      <c r="F15" s="2814">
        <f>D15</f>
        <v>3.45</v>
      </c>
      <c r="G15" s="2814">
        <f>D15</f>
        <v>3.45</v>
      </c>
      <c r="H15" s="2814">
        <v>3.95</v>
      </c>
      <c r="I15" s="2819"/>
      <c r="J15" s="2819"/>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5.6">
      <c r="A16" s="1283"/>
      <c r="B16" s="2813"/>
      <c r="C16" s="2815">
        <v>45159</v>
      </c>
      <c r="D16" s="2814">
        <v>3.45</v>
      </c>
      <c r="E16" s="2814">
        <f>D16</f>
        <v>3.45</v>
      </c>
      <c r="F16" s="2814">
        <f>D16</f>
        <v>3.45</v>
      </c>
      <c r="G16" s="2814">
        <f>D16</f>
        <v>3.45</v>
      </c>
      <c r="H16" s="2814">
        <v>4.2</v>
      </c>
      <c r="I16" s="2819"/>
      <c r="J16" s="2819"/>
      <c r="K16" s="1283"/>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5.6">
      <c r="A17" s="1283"/>
      <c r="B17" s="2813"/>
      <c r="C17" s="2815">
        <v>45097</v>
      </c>
      <c r="D17" s="2814">
        <v>3.55</v>
      </c>
      <c r="E17" s="2814">
        <f>D17</f>
        <v>3.55</v>
      </c>
      <c r="F17" s="2814">
        <f>D17</f>
        <v>3.55</v>
      </c>
      <c r="G17" s="2814">
        <f>D17</f>
        <v>3.55</v>
      </c>
      <c r="H17" s="2814">
        <v>4.2</v>
      </c>
      <c r="I17" s="2819"/>
      <c r="J17" s="2819"/>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6.8">
      <c r="A18" s="1283"/>
      <c r="B18" s="2813"/>
      <c r="C18" s="2815">
        <v>44795</v>
      </c>
      <c r="D18" s="2814">
        <v>3.65</v>
      </c>
      <c r="E18" s="2814">
        <v>3.65</v>
      </c>
      <c r="F18" s="2814">
        <v>3.65</v>
      </c>
      <c r="G18" s="2814">
        <v>3.65</v>
      </c>
      <c r="H18" s="2814">
        <v>4.3</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5.6">
      <c r="A19" s="1283"/>
      <c r="B19" s="2813"/>
      <c r="C19" s="2815">
        <v>44701</v>
      </c>
      <c r="D19" s="2814">
        <v>3.7</v>
      </c>
      <c r="E19" s="2814">
        <f>D19</f>
        <v>3.7</v>
      </c>
      <c r="F19" s="2814">
        <f>D19</f>
        <v>3.7</v>
      </c>
      <c r="G19" s="2814">
        <f>D19</f>
        <v>3.7</v>
      </c>
      <c r="H19" s="2814">
        <v>4.45</v>
      </c>
      <c r="I19" s="2819"/>
      <c r="J19" s="2819"/>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5.6">
      <c r="A20" s="1283"/>
      <c r="B20" s="2813"/>
      <c r="C20" s="2815">
        <v>44581</v>
      </c>
      <c r="D20" s="2814">
        <v>3.7</v>
      </c>
      <c r="E20" s="2814">
        <f>D20</f>
        <v>3.7</v>
      </c>
      <c r="F20" s="2814">
        <f>D20</f>
        <v>3.7</v>
      </c>
      <c r="G20" s="2814">
        <f>D20</f>
        <v>3.7</v>
      </c>
      <c r="H20" s="2814">
        <v>4.5999999999999996</v>
      </c>
      <c r="I20" s="2819"/>
      <c r="J20" s="2819"/>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5.6">
      <c r="A21" s="1283"/>
      <c r="B21" s="2814"/>
      <c r="C21" s="2815">
        <v>44550</v>
      </c>
      <c r="D21" s="2814">
        <v>3.8</v>
      </c>
      <c r="E21" s="2814">
        <f>D21</f>
        <v>3.8</v>
      </c>
      <c r="F21" s="2814">
        <f>D21</f>
        <v>3.8</v>
      </c>
      <c r="G21" s="2814">
        <f>D21</f>
        <v>3.8</v>
      </c>
      <c r="H21" s="2814">
        <v>4.6500000000000004</v>
      </c>
      <c r="I21" s="2814"/>
      <c r="J21" s="2819"/>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5.6">
      <c r="A22" s="1283"/>
      <c r="B22" s="2814"/>
      <c r="C22" s="2815">
        <v>43941</v>
      </c>
      <c r="D22" s="2814">
        <v>3.85</v>
      </c>
      <c r="E22" s="2814">
        <v>3.85</v>
      </c>
      <c r="F22" s="2814">
        <v>3.85</v>
      </c>
      <c r="G22" s="2814">
        <v>3.85</v>
      </c>
      <c r="H22" s="2814">
        <v>4.6500000000000004</v>
      </c>
      <c r="I22" s="2814"/>
      <c r="J22" s="2814"/>
      <c r="K22" s="1277"/>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ht="15.6">
      <c r="A23" s="2820"/>
      <c r="B23" s="2814"/>
      <c r="C23" s="2815">
        <v>43881</v>
      </c>
      <c r="D23" s="2814">
        <v>4.05</v>
      </c>
      <c r="E23" s="2814">
        <v>4.05</v>
      </c>
      <c r="F23" s="2814">
        <v>4.05</v>
      </c>
      <c r="G23" s="2814">
        <v>4.05</v>
      </c>
      <c r="H23" s="2814">
        <v>4.75</v>
      </c>
      <c r="I23" s="2814"/>
      <c r="J23" s="2814"/>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2814"/>
      <c r="C24" s="2815">
        <v>43789</v>
      </c>
      <c r="D24" s="2814">
        <v>4.1500000000000004</v>
      </c>
      <c r="E24" s="2814">
        <v>4.1500000000000004</v>
      </c>
      <c r="F24" s="2814">
        <v>4.1500000000000004</v>
      </c>
      <c r="G24" s="2814">
        <v>4.1500000000000004</v>
      </c>
      <c r="H24" s="2814">
        <v>4.8</v>
      </c>
      <c r="I24" s="2814"/>
      <c r="J24" s="2814"/>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2814"/>
      <c r="C25" s="2815">
        <v>43728</v>
      </c>
      <c r="D25" s="2814">
        <v>4.2</v>
      </c>
      <c r="E25" s="2814">
        <v>4.2</v>
      </c>
      <c r="F25" s="2814">
        <v>4.2</v>
      </c>
      <c r="G25" s="2814">
        <v>4.2</v>
      </c>
      <c r="H25" s="2814">
        <v>4.8499999999999996</v>
      </c>
      <c r="I25" s="2814"/>
      <c r="J25" s="2814"/>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ht="15.6">
      <c r="B26" s="2813" t="s">
        <v>2307</v>
      </c>
      <c r="C26" s="2816">
        <v>43697</v>
      </c>
      <c r="D26" s="2817">
        <v>4.25</v>
      </c>
      <c r="E26" s="2817">
        <v>4.25</v>
      </c>
      <c r="F26" s="2817">
        <v>4.25</v>
      </c>
      <c r="G26" s="2817">
        <v>4.25</v>
      </c>
      <c r="H26" s="2817">
        <v>4.8499999999999996</v>
      </c>
      <c r="I26" s="2817"/>
      <c r="J26" s="2817"/>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ht="15.6">
      <c r="B27" s="2821"/>
      <c r="C27" s="2822">
        <v>42301</v>
      </c>
      <c r="D27" s="2823">
        <v>4.3499999999999996</v>
      </c>
      <c r="E27" s="2823">
        <v>4.3499999999999996</v>
      </c>
      <c r="F27" s="2823">
        <v>4.75</v>
      </c>
      <c r="G27" s="2823">
        <v>4.75</v>
      </c>
      <c r="H27" s="2823">
        <v>4.9000000000000004</v>
      </c>
      <c r="I27" s="2823"/>
      <c r="J27" s="2823"/>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42242</v>
      </c>
      <c r="D28" s="1289">
        <v>4.5999999999999996</v>
      </c>
      <c r="E28" s="1289">
        <v>4.5999999999999996</v>
      </c>
      <c r="F28" s="1289">
        <v>5</v>
      </c>
      <c r="G28" s="1289">
        <v>5</v>
      </c>
      <c r="H28" s="1289">
        <v>5.15</v>
      </c>
      <c r="I28" s="1289">
        <v>2.75</v>
      </c>
      <c r="J28" s="1289">
        <v>3.25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42183</v>
      </c>
      <c r="D29" s="1289">
        <v>4.8499999999999996</v>
      </c>
      <c r="E29" s="1289">
        <v>4.8499999999999996</v>
      </c>
      <c r="F29" s="1289">
        <v>5.25</v>
      </c>
      <c r="G29" s="1289">
        <v>5.25</v>
      </c>
      <c r="H29" s="1289">
        <v>5.4</v>
      </c>
      <c r="I29" s="1289">
        <v>3</v>
      </c>
      <c r="J29" s="1289">
        <v>3.5</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42135</v>
      </c>
      <c r="D30" s="1289">
        <v>5.0999999999999996</v>
      </c>
      <c r="E30" s="1289">
        <v>5.0999999999999996</v>
      </c>
      <c r="F30" s="1289">
        <v>5.5</v>
      </c>
      <c r="G30" s="1289">
        <v>5.5</v>
      </c>
      <c r="H30" s="1289">
        <v>5.65</v>
      </c>
      <c r="I30" s="1289">
        <v>3.25</v>
      </c>
      <c r="J30" s="1289">
        <v>3.75</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42064</v>
      </c>
      <c r="D31" s="1289">
        <v>5.35</v>
      </c>
      <c r="E31" s="1289">
        <v>5.35</v>
      </c>
      <c r="F31" s="1289">
        <v>5.75</v>
      </c>
      <c r="G31" s="1289">
        <v>5.75</v>
      </c>
      <c r="H31" s="1289">
        <v>5.9</v>
      </c>
      <c r="I31" s="1289"/>
      <c r="J31" s="1289"/>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41965</v>
      </c>
      <c r="D32" s="1289">
        <v>5.6</v>
      </c>
      <c r="E32" s="1289">
        <v>5.6</v>
      </c>
      <c r="F32" s="1289">
        <v>6</v>
      </c>
      <c r="G32" s="1289">
        <v>6</v>
      </c>
      <c r="H32" s="1289">
        <v>6.15</v>
      </c>
      <c r="I32" s="1289"/>
      <c r="J32" s="1289"/>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41096</v>
      </c>
      <c r="D33" s="1289">
        <v>5.6</v>
      </c>
      <c r="E33" s="1289">
        <v>6</v>
      </c>
      <c r="F33" s="1289">
        <v>6.15</v>
      </c>
      <c r="G33" s="1289">
        <v>6.4</v>
      </c>
      <c r="H33" s="1289">
        <v>6.55</v>
      </c>
      <c r="I33" s="1289">
        <v>4</v>
      </c>
      <c r="J33" s="1289">
        <v>4.5</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41068</v>
      </c>
      <c r="D34" s="1289">
        <v>5.85</v>
      </c>
      <c r="E34" s="1289">
        <v>6.31</v>
      </c>
      <c r="F34" s="1289">
        <v>6.4</v>
      </c>
      <c r="G34" s="1289">
        <v>6.65</v>
      </c>
      <c r="H34" s="1289">
        <v>6.8</v>
      </c>
      <c r="I34" s="1289">
        <v>4.2</v>
      </c>
      <c r="J34" s="1289">
        <v>4.7</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40731</v>
      </c>
      <c r="D35" s="1289">
        <v>6.1</v>
      </c>
      <c r="E35" s="1289">
        <v>6.56</v>
      </c>
      <c r="F35" s="1289">
        <v>6.65</v>
      </c>
      <c r="G35" s="1289">
        <v>6.9</v>
      </c>
      <c r="H35" s="1289">
        <v>7.05</v>
      </c>
      <c r="I35" s="1289">
        <v>4.45</v>
      </c>
      <c r="J35" s="1289">
        <v>4.9000000000000004</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40639</v>
      </c>
      <c r="D36" s="1289">
        <v>5.85</v>
      </c>
      <c r="E36" s="1289">
        <v>6.31</v>
      </c>
      <c r="F36" s="1289">
        <v>6.4</v>
      </c>
      <c r="G36" s="1289">
        <v>6.65</v>
      </c>
      <c r="H36" s="1289">
        <v>6.8</v>
      </c>
      <c r="I36" s="1289">
        <v>4.2</v>
      </c>
      <c r="J36" s="1289">
        <v>4.7</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40583</v>
      </c>
      <c r="D37" s="1289">
        <v>5.6</v>
      </c>
      <c r="E37" s="1289">
        <v>6.06</v>
      </c>
      <c r="F37" s="1289">
        <v>6.1</v>
      </c>
      <c r="G37" s="1289">
        <v>6.45</v>
      </c>
      <c r="H37" s="1289">
        <v>6.6</v>
      </c>
      <c r="I37" s="1289">
        <v>4</v>
      </c>
      <c r="J37" s="1289">
        <v>4.5</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0">
        <v>40538</v>
      </c>
      <c r="D38" s="1289">
        <v>5.35</v>
      </c>
      <c r="E38" s="1289">
        <v>5.81</v>
      </c>
      <c r="F38" s="1289">
        <v>5.85</v>
      </c>
      <c r="G38" s="1289">
        <v>6.22</v>
      </c>
      <c r="H38" s="1289">
        <v>6.4</v>
      </c>
      <c r="I38" s="1289">
        <v>3.75</v>
      </c>
      <c r="J38" s="1289">
        <v>4.3</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40471</v>
      </c>
      <c r="D39" s="1289">
        <v>5.0999999999999996</v>
      </c>
      <c r="E39" s="1289">
        <v>5.56</v>
      </c>
      <c r="F39" s="1289">
        <v>5.6</v>
      </c>
      <c r="G39" s="1289">
        <v>5.96</v>
      </c>
      <c r="H39" s="1289">
        <v>6.14</v>
      </c>
      <c r="I39" s="1289">
        <v>3.5</v>
      </c>
      <c r="J39" s="1289">
        <v>4.05</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39805</v>
      </c>
      <c r="D40" s="1289">
        <v>4.8600000000000003</v>
      </c>
      <c r="E40" s="1289">
        <v>5.31</v>
      </c>
      <c r="F40" s="1289">
        <v>5.4</v>
      </c>
      <c r="G40" s="1289">
        <v>5.76</v>
      </c>
      <c r="H40" s="1289">
        <v>5.94</v>
      </c>
      <c r="I40" s="1289">
        <v>3.33</v>
      </c>
      <c r="J40" s="1289">
        <v>3.87</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39779</v>
      </c>
      <c r="D41" s="1289">
        <v>5.04</v>
      </c>
      <c r="E41" s="1289">
        <v>5.58</v>
      </c>
      <c r="F41" s="1289">
        <v>5.67</v>
      </c>
      <c r="G41" s="1289">
        <v>5.94</v>
      </c>
      <c r="H41" s="1289">
        <v>6.12</v>
      </c>
      <c r="I41" s="1289">
        <v>3.51</v>
      </c>
      <c r="J41" s="1289">
        <v>4.05</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39751</v>
      </c>
      <c r="D42" s="1289">
        <v>6.03</v>
      </c>
      <c r="E42" s="1289">
        <v>6.66</v>
      </c>
      <c r="F42" s="1289">
        <v>6.75</v>
      </c>
      <c r="G42" s="1289">
        <v>7.02</v>
      </c>
      <c r="H42" s="1289">
        <v>7.2</v>
      </c>
      <c r="I42" s="1289">
        <v>4.05</v>
      </c>
      <c r="J42" s="1289">
        <v>4.59</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1">
        <v>39748</v>
      </c>
      <c r="D43" s="1289">
        <v>6.12</v>
      </c>
      <c r="E43" s="1289">
        <v>6.93</v>
      </c>
      <c r="F43" s="1289">
        <v>7.02</v>
      </c>
      <c r="G43" s="1289">
        <v>7.29</v>
      </c>
      <c r="H43" s="1289">
        <v>7.47</v>
      </c>
      <c r="I43" s="1289">
        <v>4.05</v>
      </c>
      <c r="J43" s="1289">
        <v>4.59</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39730</v>
      </c>
      <c r="D44" s="1289">
        <v>6.12</v>
      </c>
      <c r="E44" s="1289">
        <v>6.93</v>
      </c>
      <c r="F44" s="1289">
        <v>7.02</v>
      </c>
      <c r="G44" s="1289">
        <v>7.29</v>
      </c>
      <c r="H44" s="1289">
        <v>7.47</v>
      </c>
      <c r="I44" s="1289">
        <v>4.32</v>
      </c>
      <c r="J44" s="1289">
        <v>4.8600000000000003</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39707</v>
      </c>
      <c r="D45" s="1289">
        <v>6.21</v>
      </c>
      <c r="E45" s="1289">
        <v>7.2</v>
      </c>
      <c r="F45" s="1289">
        <v>7.29</v>
      </c>
      <c r="G45" s="1289">
        <v>7.56</v>
      </c>
      <c r="H45" s="1289">
        <v>7.74</v>
      </c>
      <c r="I45" s="1289">
        <v>4.59</v>
      </c>
      <c r="J45" s="1289">
        <v>5.13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39437</v>
      </c>
      <c r="D46" s="1289">
        <v>6.57</v>
      </c>
      <c r="E46" s="1289">
        <v>7.47</v>
      </c>
      <c r="F46" s="1289">
        <v>7.56</v>
      </c>
      <c r="G46" s="1289">
        <v>7.74</v>
      </c>
      <c r="H46" s="1289">
        <v>7.83</v>
      </c>
      <c r="I46" s="1289">
        <v>4.7699999999999996</v>
      </c>
      <c r="J46" s="1289">
        <v>5.22</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39340</v>
      </c>
      <c r="D47" s="1289">
        <v>6.48</v>
      </c>
      <c r="E47" s="1289">
        <v>7.29</v>
      </c>
      <c r="F47" s="1289">
        <v>7.47</v>
      </c>
      <c r="G47" s="1289">
        <v>7.65</v>
      </c>
      <c r="H47" s="1289">
        <v>7.83</v>
      </c>
      <c r="I47" s="1289">
        <v>4.7699999999999996</v>
      </c>
      <c r="J47" s="1289">
        <v>5.22</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39316</v>
      </c>
      <c r="D48" s="1289">
        <v>6.21</v>
      </c>
      <c r="E48" s="1289">
        <v>7.02</v>
      </c>
      <c r="F48" s="1289">
        <v>7.2</v>
      </c>
      <c r="G48" s="1289">
        <v>7.38</v>
      </c>
      <c r="H48" s="1289">
        <v>7.56</v>
      </c>
      <c r="I48" s="1289">
        <v>4.59</v>
      </c>
      <c r="J48" s="1289">
        <v>5.04</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39284</v>
      </c>
      <c r="D49" s="1289">
        <v>6.03</v>
      </c>
      <c r="E49" s="1289">
        <v>6.84</v>
      </c>
      <c r="F49" s="1289">
        <v>7.02</v>
      </c>
      <c r="G49" s="1289">
        <v>7.2</v>
      </c>
      <c r="H49" s="1289">
        <v>7.38</v>
      </c>
      <c r="I49" s="1289">
        <v>4.5</v>
      </c>
      <c r="J49" s="1289">
        <v>4.95</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39221</v>
      </c>
      <c r="D50" s="1289">
        <v>5.85</v>
      </c>
      <c r="E50" s="1289">
        <v>6.57</v>
      </c>
      <c r="F50" s="1289">
        <v>6.75</v>
      </c>
      <c r="G50" s="1289">
        <v>6.93</v>
      </c>
      <c r="H50" s="1289">
        <v>7.2</v>
      </c>
      <c r="I50" s="1289">
        <v>4.41</v>
      </c>
      <c r="J50" s="1289">
        <v>4.8600000000000003</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39159</v>
      </c>
      <c r="D51" s="1289">
        <v>5.67</v>
      </c>
      <c r="E51" s="1289">
        <v>6.39</v>
      </c>
      <c r="F51" s="1289">
        <v>6.57</v>
      </c>
      <c r="G51" s="1289">
        <v>6.75</v>
      </c>
      <c r="H51" s="1289">
        <v>7.11</v>
      </c>
      <c r="I51" s="1289">
        <v>4.32</v>
      </c>
      <c r="J51" s="1289">
        <v>4.7699999999999996</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38948</v>
      </c>
      <c r="D52" s="1289">
        <v>5.58</v>
      </c>
      <c r="E52" s="1289">
        <v>6.12</v>
      </c>
      <c r="F52" s="1289">
        <v>6.3</v>
      </c>
      <c r="G52" s="1289">
        <v>6.48</v>
      </c>
      <c r="H52" s="1289">
        <v>6.84</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38835</v>
      </c>
      <c r="D53" s="1289">
        <v>5.4</v>
      </c>
      <c r="E53" s="1289">
        <v>5.85</v>
      </c>
      <c r="F53" s="1289">
        <v>6.03</v>
      </c>
      <c r="G53" s="1289">
        <v>6.12</v>
      </c>
      <c r="H53" s="1289">
        <v>6.39</v>
      </c>
      <c r="I53" s="1289">
        <v>4.1399999999999997</v>
      </c>
      <c r="J53" s="1289">
        <v>4.59</v>
      </c>
      <c r="L53" s="1289"/>
      <c r="M53" s="1290"/>
      <c r="N53" s="1289"/>
      <c r="O53" s="1289"/>
      <c r="P53" s="1289"/>
      <c r="Q53" s="1289"/>
      <c r="R53" s="1289"/>
      <c r="S53" s="1289"/>
      <c r="T53" s="1289"/>
      <c r="U53" s="1289"/>
      <c r="V53" s="1289"/>
      <c r="W53" s="1289"/>
      <c r="X53" s="1289"/>
      <c r="Y53" s="1289"/>
      <c r="Z53" s="1289"/>
    </row>
    <row r="54" spans="2:26">
      <c r="B54" s="1289"/>
      <c r="C54" s="1290">
        <v>38428</v>
      </c>
      <c r="D54" s="1289">
        <v>5.22</v>
      </c>
      <c r="E54" s="1289">
        <v>5.58</v>
      </c>
      <c r="F54" s="1289">
        <v>5.76</v>
      </c>
      <c r="G54" s="1289">
        <v>5.85</v>
      </c>
      <c r="H54" s="1289">
        <v>6.12</v>
      </c>
      <c r="I54" s="1289">
        <v>3.96</v>
      </c>
      <c r="J54" s="1289">
        <v>4.41</v>
      </c>
      <c r="L54" s="1289"/>
      <c r="M54" s="1290"/>
      <c r="N54" s="1289"/>
      <c r="O54" s="1289"/>
      <c r="P54" s="1289"/>
      <c r="Q54" s="1289"/>
      <c r="R54" s="1289"/>
      <c r="S54" s="1289"/>
      <c r="T54" s="1289"/>
      <c r="U54" s="1289"/>
      <c r="V54" s="1289"/>
      <c r="W54" s="1289"/>
      <c r="X54" s="1289"/>
      <c r="Y54" s="1289"/>
      <c r="Z54" s="1289"/>
    </row>
    <row r="55" spans="2:26">
      <c r="B55" s="1289"/>
      <c r="C55" s="1290">
        <v>38289</v>
      </c>
      <c r="D55" s="1289">
        <v>5.22</v>
      </c>
      <c r="E55" s="1289">
        <v>5.58</v>
      </c>
      <c r="F55" s="1289">
        <v>5.76</v>
      </c>
      <c r="G55" s="1289">
        <v>5.85</v>
      </c>
      <c r="H55" s="1289">
        <v>6.12</v>
      </c>
      <c r="I55" s="1289">
        <v>3.78</v>
      </c>
      <c r="J55" s="1289">
        <v>4.2300000000000004</v>
      </c>
      <c r="L55" s="1289"/>
      <c r="M55" s="1290"/>
      <c r="N55" s="1289"/>
      <c r="O55" s="1289"/>
      <c r="P55" s="1289"/>
      <c r="Q55" s="1289"/>
      <c r="R55" s="1289"/>
      <c r="S55" s="1289"/>
      <c r="T55" s="1289"/>
      <c r="U55" s="1289"/>
      <c r="V55" s="1289"/>
      <c r="W55" s="1289"/>
      <c r="X55" s="1289"/>
      <c r="Y55" s="1289"/>
      <c r="Z55" s="1289"/>
    </row>
    <row r="56" spans="2:26">
      <c r="B56" s="1289"/>
      <c r="C56" s="1290">
        <v>37308</v>
      </c>
      <c r="D56" s="1289">
        <v>5.04</v>
      </c>
      <c r="E56" s="1289">
        <v>5.31</v>
      </c>
      <c r="F56" s="1289">
        <v>5.49</v>
      </c>
      <c r="G56" s="1289">
        <v>5.58</v>
      </c>
      <c r="H56" s="1289">
        <v>5.76</v>
      </c>
      <c r="I56" s="1289">
        <v>3.6</v>
      </c>
      <c r="J56" s="1289">
        <v>4.05</v>
      </c>
      <c r="L56" s="1289"/>
      <c r="M56" s="1290"/>
      <c r="N56" s="1289"/>
      <c r="O56" s="1289"/>
      <c r="P56" s="1289"/>
      <c r="Q56" s="1289"/>
      <c r="R56" s="1289"/>
      <c r="S56" s="1289"/>
      <c r="T56" s="1289"/>
      <c r="U56" s="1289"/>
      <c r="V56" s="1289"/>
      <c r="W56" s="1289"/>
      <c r="X56" s="1289"/>
      <c r="Y56" s="1289"/>
      <c r="Z56" s="1289"/>
    </row>
    <row r="57" spans="2:26">
      <c r="B57" s="1289"/>
      <c r="C57" s="1290">
        <v>36321</v>
      </c>
      <c r="D57" s="1289">
        <v>5.58</v>
      </c>
      <c r="E57" s="1289">
        <v>5.85</v>
      </c>
      <c r="F57" s="1289">
        <v>5.94</v>
      </c>
      <c r="G57" s="1289">
        <v>6.03</v>
      </c>
      <c r="H57" s="1289">
        <v>6.21</v>
      </c>
      <c r="I57" s="1289">
        <v>4.1399999999999997</v>
      </c>
      <c r="J57" s="1289">
        <v>4.59</v>
      </c>
      <c r="L57" s="1289"/>
      <c r="M57" s="1290"/>
      <c r="N57" s="1289"/>
      <c r="O57" s="1289"/>
      <c r="P57" s="1289"/>
      <c r="Q57" s="1289"/>
      <c r="R57" s="1289"/>
      <c r="S57" s="1289"/>
      <c r="T57" s="1289"/>
      <c r="U57" s="1289"/>
      <c r="V57" s="1289"/>
      <c r="W57" s="1289"/>
      <c r="X57" s="1289"/>
      <c r="Y57" s="1289"/>
      <c r="Z57" s="1289"/>
    </row>
    <row r="58" spans="2:26">
      <c r="B58" s="1289"/>
      <c r="C58" s="1290">
        <v>36136</v>
      </c>
      <c r="D58" s="1289">
        <v>6.12</v>
      </c>
      <c r="E58" s="1289">
        <v>6.39</v>
      </c>
      <c r="F58" s="1289">
        <v>6.66</v>
      </c>
      <c r="G58" s="1289">
        <v>7.2</v>
      </c>
      <c r="H58" s="1289">
        <v>7.56</v>
      </c>
      <c r="I58" s="1289">
        <v>0</v>
      </c>
      <c r="J58" s="1289">
        <v>0</v>
      </c>
    </row>
    <row r="59" spans="2:26">
      <c r="B59" s="1289"/>
      <c r="C59" s="1290">
        <v>35977</v>
      </c>
      <c r="D59" s="1289">
        <v>6.57</v>
      </c>
      <c r="E59" s="1289">
        <v>6.93</v>
      </c>
      <c r="F59" s="1289">
        <v>7.11</v>
      </c>
      <c r="G59" s="1289">
        <v>7.65</v>
      </c>
      <c r="H59" s="1289">
        <v>8.01</v>
      </c>
      <c r="I59" s="1289">
        <v>0</v>
      </c>
      <c r="J59" s="1289">
        <v>0</v>
      </c>
    </row>
    <row r="60" spans="2:26">
      <c r="B60" s="1289"/>
      <c r="C60" s="1290">
        <v>35879</v>
      </c>
      <c r="D60" s="1289">
        <v>7.02</v>
      </c>
      <c r="E60" s="1289">
        <v>7.92</v>
      </c>
      <c r="F60" s="1289">
        <v>9</v>
      </c>
      <c r="G60" s="1289">
        <v>9.7200000000000006</v>
      </c>
      <c r="H60" s="1289">
        <v>10.35</v>
      </c>
      <c r="I60" s="1289">
        <v>0</v>
      </c>
      <c r="J60" s="1289">
        <v>0</v>
      </c>
    </row>
    <row r="61" spans="2:26">
      <c r="B61" s="1289"/>
      <c r="C61" s="1290">
        <v>35726</v>
      </c>
      <c r="D61" s="1289">
        <v>7.65</v>
      </c>
      <c r="E61" s="1289">
        <v>8.64</v>
      </c>
      <c r="F61" s="1289">
        <v>9.36</v>
      </c>
      <c r="G61" s="1289">
        <v>9.9</v>
      </c>
      <c r="H61" s="1289">
        <v>10.53</v>
      </c>
      <c r="I61" s="1289">
        <v>0</v>
      </c>
      <c r="J61" s="1289">
        <v>0</v>
      </c>
    </row>
    <row r="62" spans="2:26">
      <c r="B62" s="1289"/>
      <c r="C62" s="1290">
        <v>35300</v>
      </c>
      <c r="D62" s="1289">
        <v>9.18</v>
      </c>
      <c r="E62" s="1289">
        <v>10.08</v>
      </c>
      <c r="F62" s="1289">
        <v>10.98</v>
      </c>
      <c r="G62" s="1289">
        <v>11.7</v>
      </c>
      <c r="H62" s="1289">
        <v>12.42</v>
      </c>
      <c r="I62" s="1289">
        <v>0</v>
      </c>
      <c r="J62" s="1289">
        <v>0</v>
      </c>
    </row>
    <row r="63" spans="2:26">
      <c r="B63" s="1289"/>
      <c r="C63" s="1290">
        <v>35186</v>
      </c>
      <c r="D63" s="1289">
        <v>9.7200000000000006</v>
      </c>
      <c r="E63" s="1289">
        <v>10.98</v>
      </c>
      <c r="F63" s="1289">
        <v>13.14</v>
      </c>
      <c r="G63" s="1289">
        <v>14.94</v>
      </c>
      <c r="H63" s="1289">
        <v>15.12</v>
      </c>
      <c r="I63" s="1289">
        <v>0</v>
      </c>
      <c r="J63" s="1289">
        <v>0</v>
      </c>
    </row>
    <row r="64" spans="2:26">
      <c r="B64" s="1289"/>
      <c r="C64" s="1290">
        <v>34881</v>
      </c>
      <c r="D64" s="1289">
        <v>10.08</v>
      </c>
      <c r="E64" s="1289">
        <v>12.06</v>
      </c>
      <c r="F64" s="1289">
        <v>13.5</v>
      </c>
      <c r="G64" s="1289">
        <v>15.12</v>
      </c>
      <c r="H64" s="1289">
        <v>15.3</v>
      </c>
      <c r="I64" s="1289">
        <v>0</v>
      </c>
      <c r="J64" s="1289">
        <v>0</v>
      </c>
    </row>
    <row r="65" spans="2:10">
      <c r="B65" s="1289"/>
      <c r="C65" s="1290">
        <v>34700</v>
      </c>
      <c r="D65" s="1289">
        <v>9</v>
      </c>
      <c r="E65" s="1289">
        <v>10.98</v>
      </c>
      <c r="F65" s="1289">
        <v>12.96</v>
      </c>
      <c r="G65" s="1289">
        <v>14.58</v>
      </c>
      <c r="H65" s="1289">
        <v>14.76</v>
      </c>
      <c r="I65" s="1289">
        <v>0</v>
      </c>
      <c r="J65" s="1289">
        <v>0</v>
      </c>
    </row>
    <row r="66" spans="2:10">
      <c r="B66" s="1289"/>
      <c r="C66" s="1290">
        <v>34161</v>
      </c>
      <c r="D66" s="1289">
        <v>9</v>
      </c>
      <c r="E66" s="1289">
        <v>10.98</v>
      </c>
      <c r="F66" s="1289">
        <v>12.24</v>
      </c>
      <c r="G66" s="1289">
        <v>13.86</v>
      </c>
      <c r="H66" s="1289">
        <v>14.04</v>
      </c>
      <c r="I66" s="1289">
        <v>0</v>
      </c>
      <c r="J66" s="1289">
        <v>0</v>
      </c>
    </row>
    <row r="67" spans="2:10">
      <c r="B67" s="1289"/>
      <c r="C67" s="1290">
        <v>34104</v>
      </c>
      <c r="D67" s="1289">
        <v>8.82</v>
      </c>
      <c r="E67" s="1289">
        <v>9.36</v>
      </c>
      <c r="F67" s="1289">
        <v>10.8</v>
      </c>
      <c r="G67" s="1289">
        <v>12.06</v>
      </c>
      <c r="H67" s="1289">
        <v>12.24</v>
      </c>
      <c r="I67" s="1289">
        <v>0</v>
      </c>
      <c r="J67" s="1289">
        <v>0</v>
      </c>
    </row>
    <row r="68" spans="2:10">
      <c r="B68" s="1289"/>
      <c r="C68" s="1290">
        <v>33349</v>
      </c>
      <c r="D68" s="1289">
        <v>8.1</v>
      </c>
      <c r="E68" s="1289">
        <v>8.64</v>
      </c>
      <c r="F68" s="1289">
        <v>9</v>
      </c>
      <c r="G68" s="1289">
        <v>9.5399999999999991</v>
      </c>
      <c r="H68" s="1289">
        <v>9.7200000000000006</v>
      </c>
      <c r="I68" s="1289">
        <v>0</v>
      </c>
      <c r="J68" s="1289">
        <v>0</v>
      </c>
    </row>
    <row r="69" spans="2:10">
      <c r="B69" s="1289"/>
      <c r="C69" s="1290">
        <v>33318</v>
      </c>
      <c r="D69" s="1289">
        <v>9</v>
      </c>
      <c r="E69" s="1289">
        <v>10.08</v>
      </c>
      <c r="F69" s="1289">
        <v>10.8</v>
      </c>
      <c r="G69" s="1289">
        <v>11.52</v>
      </c>
      <c r="H69" s="1289">
        <v>11.88</v>
      </c>
      <c r="I69" s="1289" t="s">
        <v>633</v>
      </c>
      <c r="J69" s="1289" t="s">
        <v>633</v>
      </c>
    </row>
    <row r="70" spans="2:10">
      <c r="B70" s="1289"/>
      <c r="C70" s="1290">
        <v>33106</v>
      </c>
      <c r="D70" s="1289">
        <v>8.64</v>
      </c>
      <c r="E70" s="1289">
        <v>9.36</v>
      </c>
      <c r="F70" s="1289">
        <v>10.08</v>
      </c>
      <c r="G70" s="1289">
        <v>10.8</v>
      </c>
      <c r="H70" s="1289">
        <v>11.16</v>
      </c>
      <c r="I70" s="1289">
        <v>0</v>
      </c>
      <c r="J70" s="1289">
        <v>0</v>
      </c>
    </row>
    <row r="71" spans="2:10">
      <c r="B71" s="1289"/>
      <c r="C71" s="1290">
        <v>32540</v>
      </c>
      <c r="D71" s="1289">
        <v>11.34</v>
      </c>
      <c r="E71" s="1289">
        <v>11.34</v>
      </c>
      <c r="F71" s="1289">
        <v>12.78</v>
      </c>
      <c r="G71" s="1289">
        <v>14.4</v>
      </c>
      <c r="H71" s="1289">
        <v>19.260000000000002</v>
      </c>
      <c r="I71" s="1289">
        <v>0</v>
      </c>
      <c r="J71" s="1289">
        <v>0</v>
      </c>
    </row>
    <row r="72" spans="2:10">
      <c r="B72" s="1289"/>
      <c r="C72" s="1290"/>
      <c r="D72" s="1289"/>
      <c r="E72" s="1289"/>
      <c r="F72" s="1289"/>
      <c r="G72" s="1289"/>
      <c r="H72" s="1289"/>
      <c r="I72" s="1289"/>
      <c r="J72" s="1289"/>
    </row>
    <row r="73" spans="2:10">
      <c r="B73" s="1292"/>
      <c r="C73" s="1293"/>
      <c r="D73" s="1292"/>
      <c r="E73" s="1292"/>
      <c r="F73" s="1292"/>
      <c r="G73" s="1292"/>
      <c r="H73" s="1292"/>
      <c r="I73" s="1292"/>
      <c r="J73" s="1292"/>
    </row>
    <row r="74" spans="2:10">
      <c r="B74" s="1292"/>
      <c r="C74" s="1293"/>
      <c r="D74" s="1292"/>
      <c r="E74" s="1292"/>
      <c r="F74" s="1292"/>
      <c r="G74" s="1292"/>
      <c r="H74" s="1292"/>
      <c r="I74" s="1292"/>
      <c r="J74" s="1292"/>
    </row>
    <row r="75" spans="2:10">
      <c r="B75" s="1292"/>
      <c r="C75" s="1293"/>
      <c r="D75" s="1292"/>
      <c r="E75" s="1292"/>
      <c r="F75" s="1292"/>
      <c r="G75" s="1292"/>
      <c r="H75" s="1292"/>
      <c r="I75" s="1292"/>
      <c r="J75" s="1292"/>
    </row>
    <row r="76" spans="2:10">
      <c r="B76" s="1241"/>
      <c r="C76" s="1241"/>
      <c r="D76" s="1241"/>
      <c r="E76" s="1241"/>
      <c r="F76" s="1241"/>
      <c r="G76" s="1241"/>
      <c r="H76" s="1241"/>
      <c r="I76" s="1241"/>
      <c r="J76" s="1241"/>
    </row>
    <row r="77" spans="2:10">
      <c r="B77" s="1241"/>
      <c r="C77" s="1241"/>
      <c r="D77" s="1241"/>
      <c r="E77" s="1241"/>
      <c r="F77" s="1241"/>
      <c r="G77" s="1241"/>
      <c r="H77" s="1241"/>
      <c r="I77" s="1241"/>
      <c r="J77" s="124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6" customWidth="1"/>
    <col min="2" max="9" width="12.109375" style="1476" customWidth="1"/>
    <col min="10" max="16384" width="9" style="1476"/>
  </cols>
  <sheetData>
    <row r="1" spans="1:9" ht="18" thickBot="1">
      <c r="A1" s="3493" t="str">
        <f>IF(项目基本情况!B9="房地产市场价值","估价结果一览表","结果表-2")</f>
        <v>估价结果一览表</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房地产市场价值</v>
      </c>
      <c r="I2" s="3494"/>
    </row>
    <row r="3" spans="1:9" ht="15.6">
      <c r="A3" s="3489"/>
      <c r="B3" s="3489"/>
      <c r="C3" s="3489"/>
      <c r="D3" s="854" t="s">
        <v>925</v>
      </c>
      <c r="E3" s="854" t="s">
        <v>931</v>
      </c>
      <c r="F3" s="854" t="s">
        <v>925</v>
      </c>
      <c r="G3" s="854" t="s">
        <v>926</v>
      </c>
      <c r="H3" s="854" t="s">
        <v>925</v>
      </c>
      <c r="I3" s="854" t="s">
        <v>926</v>
      </c>
    </row>
    <row r="4" spans="1:9" ht="15">
      <c r="A4" s="1504" t="str">
        <f>项目基本情况!S2</f>
        <v>北京市房地产</v>
      </c>
      <c r="B4" s="854">
        <f>项目基本情况!C17</f>
        <v>375.87</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9" t="s">
        <v>927</v>
      </c>
      <c r="B5" s="3489"/>
      <c r="C5" s="3489"/>
      <c r="D5" s="3489" t="e">
        <f ca="1">结果表!D119</f>
        <v>#REF!</v>
      </c>
      <c r="E5" s="3489"/>
      <c r="F5" s="3489" t="e">
        <f ca="1">结果表!F119</f>
        <v>#REF!</v>
      </c>
      <c r="G5" s="3489"/>
      <c r="H5" s="3489" t="e">
        <f ca="1">结果表!H119</f>
        <v>#REF!</v>
      </c>
      <c r="I5" s="3489"/>
    </row>
    <row r="6" spans="1:9" ht="15.6">
      <c r="A6" s="3488" t="str">
        <f>结果表!A120</f>
        <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6">
      <c r="A8" s="3488" t="str">
        <f>结果表!A122</f>
        <v/>
      </c>
      <c r="B8" s="3488"/>
      <c r="C8" s="3488"/>
      <c r="D8" s="3488" t="e">
        <f ca="1">结果表!D122</f>
        <v>#REF!</v>
      </c>
      <c r="E8" s="3488"/>
      <c r="F8" s="3488"/>
      <c r="G8" s="3488"/>
      <c r="H8" s="3488"/>
      <c r="I8" s="3488"/>
    </row>
    <row r="9" spans="1:9" ht="15">
      <c r="A9" s="3489" t="s">
        <v>927</v>
      </c>
      <c r="B9" s="3489"/>
      <c r="C9" s="3489"/>
      <c r="D9" s="3489" t="e">
        <f ca="1">结果表!D123</f>
        <v>#REF!</v>
      </c>
      <c r="E9" s="3489"/>
      <c r="F9" s="3489"/>
      <c r="G9" s="3489"/>
      <c r="H9" s="3489"/>
      <c r="I9" s="3489"/>
    </row>
    <row r="10" spans="1:9" ht="15.6">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6">
      <c r="A12" s="3488" t="str">
        <f>结果表!A126</f>
        <v/>
      </c>
      <c r="B12" s="3488"/>
      <c r="C12" s="3488"/>
      <c r="D12" s="3488" t="str">
        <f>结果表!D126</f>
        <v>——</v>
      </c>
      <c r="E12" s="3488"/>
      <c r="F12" s="3488"/>
      <c r="G12" s="3488"/>
      <c r="H12" s="3488"/>
      <c r="I12" s="3488"/>
    </row>
    <row r="13" spans="1:9" ht="15.6" thickBot="1">
      <c r="A13" s="3486" t="s">
        <v>927</v>
      </c>
      <c r="B13" s="3486"/>
      <c r="C13" s="3486"/>
      <c r="D13" s="3486" t="e">
        <f>结果表!D127</f>
        <v>#VALUE!</v>
      </c>
      <c r="E13" s="3486"/>
      <c r="F13" s="3486"/>
      <c r="G13" s="3486"/>
      <c r="H13" s="3486"/>
      <c r="I13" s="3486"/>
    </row>
    <row r="14" spans="1:9" ht="14.4" thickTop="1">
      <c r="A14" s="3487" t="s">
        <v>932</v>
      </c>
      <c r="B14" s="3487"/>
      <c r="C14" s="3487"/>
      <c r="D14" s="3487"/>
      <c r="E14" s="3487"/>
      <c r="F14" s="3487"/>
      <c r="G14" s="3487"/>
      <c r="H14" s="3487"/>
      <c r="I14" s="3487"/>
    </row>
    <row r="16" spans="1:9" ht="17.399999999999999">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
  <sheetViews>
    <sheetView workbookViewId="0">
      <selection activeCell="C3" sqref="C3"/>
    </sheetView>
  </sheetViews>
  <sheetFormatPr defaultRowHeight="15.6"/>
  <cols>
    <col min="1" max="54" width="22.21875" style="3447" customWidth="1"/>
    <col min="55" max="16384" width="8.88671875" style="3447"/>
  </cols>
  <sheetData>
    <row r="1" spans="1:21">
      <c r="A1" s="3817" t="s">
        <v>3489</v>
      </c>
      <c r="B1" s="3816">
        <v>45566.333831018521</v>
      </c>
      <c r="C1" s="3817"/>
      <c r="D1" s="3816">
        <v>45536.333831018521</v>
      </c>
      <c r="E1" s="3817"/>
      <c r="F1" s="3816">
        <v>45505.333831018521</v>
      </c>
      <c r="G1" s="3817"/>
      <c r="H1" s="3816">
        <v>45474.333831018521</v>
      </c>
      <c r="I1" s="3817"/>
      <c r="J1" s="3816">
        <v>45444.333831018521</v>
      </c>
      <c r="K1" s="3817"/>
      <c r="L1" s="3816">
        <v>45413.333831018521</v>
      </c>
      <c r="M1" s="3817"/>
      <c r="N1" s="3816">
        <v>45383.333831018521</v>
      </c>
      <c r="O1" s="3817"/>
      <c r="P1" s="3816">
        <v>45352.333831018521</v>
      </c>
      <c r="Q1" s="3817"/>
      <c r="R1" s="3816">
        <v>45323.333831018521</v>
      </c>
      <c r="S1" s="3817"/>
      <c r="T1" s="3816">
        <v>45292.333831018521</v>
      </c>
      <c r="U1" s="3817"/>
    </row>
    <row r="2" spans="1:21">
      <c r="A2" s="3817"/>
      <c r="B2" s="3447" t="s">
        <v>3490</v>
      </c>
      <c r="C2" s="3447" t="s">
        <v>3491</v>
      </c>
      <c r="D2" s="3447" t="s">
        <v>3490</v>
      </c>
      <c r="E2" s="3447" t="s">
        <v>3491</v>
      </c>
      <c r="F2" s="3447" t="s">
        <v>3490</v>
      </c>
      <c r="G2" s="3447" t="s">
        <v>3491</v>
      </c>
      <c r="H2" s="3447" t="s">
        <v>3490</v>
      </c>
      <c r="I2" s="3447" t="s">
        <v>3491</v>
      </c>
      <c r="J2" s="3447" t="s">
        <v>3490</v>
      </c>
      <c r="K2" s="3447" t="s">
        <v>3491</v>
      </c>
      <c r="L2" s="3447" t="s">
        <v>3490</v>
      </c>
      <c r="M2" s="3447" t="s">
        <v>3491</v>
      </c>
      <c r="N2" s="3447" t="s">
        <v>3490</v>
      </c>
      <c r="O2" s="3447" t="s">
        <v>3491</v>
      </c>
      <c r="P2" s="3447" t="s">
        <v>3490</v>
      </c>
      <c r="Q2" s="3447" t="s">
        <v>3491</v>
      </c>
      <c r="R2" s="3447" t="s">
        <v>3490</v>
      </c>
      <c r="S2" s="3447" t="s">
        <v>3491</v>
      </c>
      <c r="T2" s="3447" t="s">
        <v>3490</v>
      </c>
      <c r="U2" s="3447" t="s">
        <v>3491</v>
      </c>
    </row>
    <row r="3" spans="1:21">
      <c r="A3" s="3447" t="s">
        <v>3474</v>
      </c>
      <c r="B3" s="3447">
        <v>268.49</v>
      </c>
      <c r="C3" s="3447">
        <v>127676</v>
      </c>
      <c r="D3" s="3447">
        <v>269.99</v>
      </c>
      <c r="E3" s="3447">
        <v>130257</v>
      </c>
      <c r="F3" s="3447">
        <v>268.35000000000002</v>
      </c>
      <c r="G3" s="3447">
        <v>130770</v>
      </c>
      <c r="H3" s="3447">
        <v>271.02999999999997</v>
      </c>
      <c r="I3" s="3447">
        <v>130724</v>
      </c>
      <c r="J3" s="3447">
        <v>265.51</v>
      </c>
      <c r="K3" s="3447">
        <v>136732</v>
      </c>
      <c r="L3" s="3447">
        <v>259.45</v>
      </c>
      <c r="M3" s="3447">
        <v>137086</v>
      </c>
      <c r="N3" s="3447">
        <v>257.37</v>
      </c>
      <c r="O3" s="3447">
        <v>139609</v>
      </c>
      <c r="P3" s="3447">
        <v>254.47</v>
      </c>
      <c r="Q3" s="3447">
        <v>140161</v>
      </c>
      <c r="R3" s="3447">
        <v>253.33</v>
      </c>
      <c r="S3" s="3447">
        <v>139869</v>
      </c>
      <c r="T3" s="3447">
        <v>250.28</v>
      </c>
      <c r="U3" s="3447">
        <v>139452</v>
      </c>
    </row>
  </sheetData>
  <mergeCells count="11">
    <mergeCell ref="L1:M1"/>
    <mergeCell ref="N1:O1"/>
    <mergeCell ref="P1:Q1"/>
    <mergeCell ref="R1:S1"/>
    <mergeCell ref="T1:U1"/>
    <mergeCell ref="J1:K1"/>
    <mergeCell ref="A1:A2"/>
    <mergeCell ref="B1:C1"/>
    <mergeCell ref="D1:E1"/>
    <mergeCell ref="F1:G1"/>
    <mergeCell ref="H1:I1"/>
  </mergeCells>
  <phoneticPr fontId="134" type="noConversion"/>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6" customWidth="1"/>
    <col min="2" max="3" width="22.33203125" style="1476" customWidth="1"/>
    <col min="4" max="4" width="23" style="1476" customWidth="1"/>
    <col min="5" max="16384" width="9" style="1476"/>
  </cols>
  <sheetData>
    <row r="1" spans="1:4" ht="17.399999999999999">
      <c r="A1" s="3501" t="s">
        <v>949</v>
      </c>
      <c r="B1" s="3501"/>
      <c r="C1" s="3501"/>
      <c r="D1" s="3501"/>
    </row>
    <row r="2" spans="1:4" ht="17.399999999999999">
      <c r="A2" s="3502" t="s">
        <v>933</v>
      </c>
      <c r="B2" s="3502"/>
      <c r="C2" s="3502"/>
      <c r="D2" s="3502"/>
    </row>
    <row r="3" spans="1:4" ht="17.399999999999999">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7.399999999999999">
      <c r="A6" s="3502" t="s">
        <v>939</v>
      </c>
      <c r="B6" s="3502"/>
      <c r="C6" s="3502"/>
      <c r="D6" s="3502"/>
    </row>
    <row r="7" spans="1:4" ht="17.399999999999999">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7.399999999999999">
      <c r="A10" s="1515" t="s">
        <v>941</v>
      </c>
      <c r="B10" s="675"/>
      <c r="C10" s="675"/>
      <c r="D10" s="675"/>
    </row>
    <row r="11" spans="1:4" ht="30" customHeight="1">
      <c r="A11" s="3503" t="s">
        <v>942</v>
      </c>
      <c r="B11" s="3495"/>
      <c r="C11" s="3495"/>
      <c r="D11" s="3495"/>
    </row>
    <row r="12" spans="1:4" ht="15.6">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0"/>
      <c r="C12" s="3500"/>
      <c r="D12" s="3500"/>
    </row>
    <row r="13" spans="1:4" ht="30" customHeight="1">
      <c r="A13" s="3495" t="str">
        <f>IF(项目基本情况!B8="抵押","3.抵押双方在办理抵押登记手续时，应使用本公司出具的正式《房地产评估报告》，特提醒报告使用者注意。","——")</f>
        <v>——</v>
      </c>
      <c r="B13" s="3500"/>
      <c r="C13" s="3500"/>
      <c r="D13" s="3500"/>
    </row>
    <row r="14" spans="1:4" ht="15.75" customHeight="1">
      <c r="A14" s="3495" t="str">
        <f>IF(项目基本情况!B8="抵押","4.本次评估估价师所知悉的法定优先受偿款情况说明如下：","——")</f>
        <v>——</v>
      </c>
      <c r="B14" s="3500"/>
      <c r="C14" s="3500"/>
      <c r="D14" s="3500"/>
    </row>
    <row r="15" spans="1:4" ht="42" customHeight="1">
      <c r="A15" s="3495" t="str">
        <f>IF(项目基本情况!B8="抵押","（1）"&amp;CONCATENATE(项目基本情况!L20,项目基本情况!L21,项目基本情况!L22),"——")</f>
        <v>——</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6"/>
      <c r="B23" s="1488"/>
      <c r="C23" s="1488"/>
      <c r="D23" s="1488"/>
    </row>
    <row r="24" spans="1:4">
      <c r="A24" s="1516"/>
      <c r="B24" s="1488"/>
      <c r="C24" s="1488"/>
      <c r="D24" s="1488"/>
    </row>
    <row r="25" spans="1:4" ht="17.399999999999999">
      <c r="A25" s="1517" t="s">
        <v>946</v>
      </c>
    </row>
    <row r="26" spans="1:4" ht="17.399999999999999">
      <c r="A26" s="1486"/>
    </row>
    <row r="27" spans="1:4" ht="17.399999999999999">
      <c r="A27" s="1486" t="s">
        <v>947</v>
      </c>
    </row>
    <row r="30" spans="1:4" ht="17.399999999999999">
      <c r="D30" s="1517"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4" customWidth="1"/>
    <col min="3" max="10" width="12.44140625" style="1474" customWidth="1"/>
    <col min="11" max="16384" width="9" style="1474"/>
  </cols>
  <sheetData>
    <row r="1" spans="1:10" ht="17.399999999999999">
      <c r="A1" s="1507" t="s">
        <v>391</v>
      </c>
      <c r="B1" s="1518"/>
      <c r="C1" s="1518"/>
      <c r="D1" s="1518"/>
      <c r="E1" s="1518"/>
      <c r="F1" s="1518"/>
      <c r="G1" s="1518"/>
      <c r="H1" s="1518"/>
      <c r="I1" s="1518"/>
      <c r="J1" s="1518"/>
    </row>
    <row r="2" spans="1:10" ht="17.399999999999999">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35" sqref="C35"/>
    </sheetView>
  </sheetViews>
  <sheetFormatPr defaultColWidth="14.44140625" defaultRowHeight="15.6"/>
  <cols>
    <col min="1" max="1" width="14.44140625" style="1524" customWidth="1"/>
    <col min="2" max="16384" width="14.44140625" style="1506"/>
  </cols>
  <sheetData>
    <row r="1" spans="1:7" s="1521" customFormat="1" ht="17.399999999999999">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4.4">
      <c r="A15" s="3509" t="s">
        <v>956</v>
      </c>
      <c r="B15" s="3504" t="s">
        <v>109</v>
      </c>
      <c r="C15" s="3505"/>
    </row>
    <row r="16" spans="1:7" ht="14.4">
      <c r="A16" s="3510"/>
      <c r="B16" s="3504" t="s">
        <v>42</v>
      </c>
      <c r="C16" s="3505"/>
    </row>
    <row r="17" spans="1:3" ht="14.4">
      <c r="A17" s="3510"/>
      <c r="B17" s="3507" t="s">
        <v>957</v>
      </c>
      <c r="C17" s="1531" t="s">
        <v>956</v>
      </c>
    </row>
    <row r="18" spans="1:3" ht="14.4">
      <c r="A18" s="3510"/>
      <c r="B18" s="3507"/>
      <c r="C18" s="1531" t="s">
        <v>958</v>
      </c>
    </row>
    <row r="19" spans="1:3" ht="14.4">
      <c r="A19" s="3510"/>
      <c r="B19" s="3507"/>
      <c r="C19" s="1531" t="s">
        <v>959</v>
      </c>
    </row>
    <row r="20" spans="1:3" ht="14.4">
      <c r="A20" s="3511"/>
      <c r="B20" s="3506" t="s">
        <v>960</v>
      </c>
      <c r="C20" s="3505"/>
    </row>
    <row r="21" spans="1:3" ht="14.4">
      <c r="A21" s="1532" t="s">
        <v>961</v>
      </c>
      <c r="B21" s="1533"/>
      <c r="C21" s="1534"/>
    </row>
    <row r="22" spans="1:3" ht="14.4">
      <c r="A22" s="3508" t="s">
        <v>962</v>
      </c>
      <c r="B22" s="3506" t="s">
        <v>963</v>
      </c>
      <c r="C22" s="3505"/>
    </row>
    <row r="23" spans="1:3" ht="14.4">
      <c r="A23" s="3508"/>
      <c r="B23" s="3506" t="s">
        <v>964</v>
      </c>
      <c r="C23" s="3505"/>
    </row>
    <row r="24" spans="1:3" ht="14.4">
      <c r="A24" s="3508"/>
      <c r="B24" s="3506" t="s">
        <v>965</v>
      </c>
      <c r="C24" s="3505"/>
    </row>
    <row r="25" spans="1:3" ht="14.4">
      <c r="A25" s="3508"/>
      <c r="B25" s="3507" t="s">
        <v>966</v>
      </c>
      <c r="C25" s="1531" t="s">
        <v>967</v>
      </c>
    </row>
    <row r="26" spans="1:3" ht="14.4">
      <c r="A26" s="3508"/>
      <c r="B26" s="3507"/>
      <c r="C26" s="1531" t="s">
        <v>968</v>
      </c>
    </row>
    <row r="27" spans="1:3" ht="14.4">
      <c r="A27" s="3508"/>
      <c r="B27" s="3507"/>
      <c r="C27" s="1531" t="s">
        <v>969</v>
      </c>
    </row>
    <row r="28" spans="1:3" ht="14.4">
      <c r="A28" s="3508"/>
      <c r="B28" s="3507"/>
      <c r="C28" s="1531" t="s">
        <v>970</v>
      </c>
    </row>
    <row r="29" spans="1:3" ht="14.4">
      <c r="A29" s="3508"/>
      <c r="B29" s="3507"/>
      <c r="C29" s="1531" t="s">
        <v>971</v>
      </c>
    </row>
    <row r="30" spans="1:3" ht="14.4">
      <c r="A30" s="3508"/>
      <c r="B30" s="3507"/>
      <c r="C30" s="1531" t="s">
        <v>972</v>
      </c>
    </row>
    <row r="31" spans="1:3" ht="14.4">
      <c r="A31" s="3508"/>
      <c r="B31" s="3507"/>
      <c r="C31" s="1531" t="s">
        <v>973</v>
      </c>
    </row>
    <row r="32" spans="1:3" ht="14.4">
      <c r="A32" s="3508"/>
      <c r="B32" s="3507"/>
      <c r="C32" s="1531" t="s">
        <v>974</v>
      </c>
    </row>
    <row r="33" spans="1:3" ht="14.4">
      <c r="A33" s="3508"/>
      <c r="B33" s="3507"/>
      <c r="C33" s="1531" t="s">
        <v>975</v>
      </c>
    </row>
    <row r="34" spans="1:3">
      <c r="A34" s="1535" t="s">
        <v>49</v>
      </c>
    </row>
    <row r="37" spans="1:3">
      <c r="A37" s="1535" t="s">
        <v>976</v>
      </c>
    </row>
    <row r="38" spans="1:3" ht="14.4">
      <c r="A38" s="1536" t="s">
        <v>50</v>
      </c>
    </row>
    <row r="39" spans="1:3" ht="14.4">
      <c r="A39" s="1536" t="s">
        <v>51</v>
      </c>
    </row>
    <row r="40" spans="1:3" ht="14.4">
      <c r="A40" s="1536" t="s">
        <v>52</v>
      </c>
    </row>
    <row r="41" spans="1:3" ht="14.4">
      <c r="A41" s="1537" t="s">
        <v>53</v>
      </c>
    </row>
    <row r="42" spans="1:3" ht="14.4">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6" customWidth="1"/>
    <col min="2" max="2" width="38.6640625" style="2336" customWidth="1"/>
    <col min="3" max="3" width="26" style="2336" customWidth="1"/>
    <col min="4" max="4" width="35" style="2336" hidden="1" customWidth="1"/>
    <col min="5" max="5" width="30.109375" style="2336" customWidth="1"/>
    <col min="6" max="6" width="35.44140625" style="2336" customWidth="1"/>
    <col min="7" max="7" width="31" style="2336" customWidth="1"/>
    <col min="8" max="8" width="37.44140625" style="2336" hidden="1" customWidth="1"/>
    <col min="9" max="16384" width="22.6640625" style="2336"/>
  </cols>
  <sheetData>
    <row r="1" spans="1:8" ht="24" customHeight="1">
      <c r="A1" s="2335"/>
      <c r="B1" s="2335"/>
      <c r="C1" s="2335"/>
      <c r="D1" s="2335"/>
      <c r="E1" s="2335"/>
      <c r="F1" s="2335"/>
      <c r="G1" s="2335"/>
      <c r="H1" s="2335"/>
    </row>
    <row r="2" spans="1:8" ht="24" customHeight="1">
      <c r="A2" s="2337" t="s">
        <v>2137</v>
      </c>
      <c r="B2" s="2338">
        <f ca="1">TODAY()</f>
        <v>45645</v>
      </c>
      <c r="C2" s="2339" t="s">
        <v>2138</v>
      </c>
      <c r="D2" s="2339"/>
      <c r="E2" s="2339"/>
      <c r="F2" s="2335"/>
      <c r="G2" s="2335"/>
      <c r="H2" s="2335"/>
    </row>
    <row r="3" spans="1:8" ht="24" customHeight="1">
      <c r="A3" s="2340" t="s">
        <v>2139</v>
      </c>
      <c r="B3" s="2341" t="s">
        <v>2140</v>
      </c>
      <c r="C3" s="2341" t="s">
        <v>2141</v>
      </c>
      <c r="D3" s="2342" t="s">
        <v>2142</v>
      </c>
      <c r="E3" s="2343" t="s">
        <v>2143</v>
      </c>
      <c r="F3" s="1303" t="s">
        <v>2144</v>
      </c>
      <c r="G3" s="2341" t="s">
        <v>2141</v>
      </c>
      <c r="H3" s="2342" t="s">
        <v>2145</v>
      </c>
    </row>
    <row r="4" spans="1:8" ht="24" customHeight="1">
      <c r="A4" s="1303" t="s">
        <v>2146</v>
      </c>
      <c r="B4" s="1303">
        <f ca="1">IF(C4&lt;B2,"已过期",1119970066)</f>
        <v>1119970066</v>
      </c>
      <c r="C4" s="2344">
        <v>45937</v>
      </c>
      <c r="D4" s="2345" t="str">
        <f ca="1">A4&amp;"（注册号："&amp;B4&amp;"）"</f>
        <v>梁津（注册号：1119970066）</v>
      </c>
      <c r="E4" s="2346" t="s">
        <v>2146</v>
      </c>
      <c r="F4" s="1303">
        <f ca="1">IF(G4&lt;B2,"已过期",96010014)</f>
        <v>96010014</v>
      </c>
      <c r="G4" s="2347">
        <v>47118</v>
      </c>
      <c r="H4" s="2348" t="str">
        <f ca="1">E4&amp;"（注册号："&amp;F4&amp;"）"</f>
        <v>梁津（注册号：96010014）</v>
      </c>
    </row>
    <row r="5" spans="1:8" ht="24" customHeight="1">
      <c r="A5" s="1303" t="s">
        <v>2147</v>
      </c>
      <c r="B5" s="1303">
        <f ca="1">IF(C5&lt;B2,"已过期",1119970111)</f>
        <v>1119970111</v>
      </c>
      <c r="C5" s="2344">
        <v>45937</v>
      </c>
      <c r="D5" s="2345" t="str">
        <f t="shared" ref="D5:D15" ca="1" si="0">A5&amp;"（注册号："&amp;B5&amp;"）"</f>
        <v>叶凌（注册号：1119970111）</v>
      </c>
      <c r="E5" s="2346" t="s">
        <v>2147</v>
      </c>
      <c r="F5" s="1303">
        <f ca="1">IF(G5&lt;B2,"已过期",94010078)</f>
        <v>94010078</v>
      </c>
      <c r="G5" s="2347">
        <v>46387</v>
      </c>
      <c r="H5" s="2348" t="str">
        <f t="shared" ref="H5:H16" ca="1" si="1">E5&amp;"（注册号："&amp;F5&amp;"）"</f>
        <v>叶凌（注册号：94010078）</v>
      </c>
    </row>
    <row r="6" spans="1:8" ht="24" customHeight="1">
      <c r="A6" s="1303" t="s">
        <v>2148</v>
      </c>
      <c r="B6" s="1303" t="str">
        <f ca="1">IF(C6&lt;B2,"已过期",1120050019)</f>
        <v>已过期</v>
      </c>
      <c r="C6" s="2344">
        <v>45410</v>
      </c>
      <c r="D6" s="2345" t="str">
        <f t="shared" ca="1" si="0"/>
        <v>王鹏（注册号：已过期）</v>
      </c>
      <c r="E6" s="2346" t="s">
        <v>2148</v>
      </c>
      <c r="F6" s="1303">
        <f ca="1">IF(G6&lt;B2,"已过期",2002110030)</f>
        <v>2002110030</v>
      </c>
      <c r="G6" s="2347">
        <v>46387</v>
      </c>
      <c r="H6" s="2348" t="str">
        <f t="shared" ca="1" si="1"/>
        <v>王鹏（注册号：2002110030）</v>
      </c>
    </row>
    <row r="7" spans="1:8" ht="24" customHeight="1">
      <c r="A7" s="1303" t="s">
        <v>2149</v>
      </c>
      <c r="B7" s="1303">
        <f ca="1">IF(C7&lt;B2,"已过期",1120000080)</f>
        <v>1120000080</v>
      </c>
      <c r="C7" s="2344">
        <v>45937</v>
      </c>
      <c r="D7" s="2345" t="str">
        <f t="shared" ca="1" si="0"/>
        <v>欧红伟（注册号：1120000080）</v>
      </c>
      <c r="E7" s="2346" t="s">
        <v>2149</v>
      </c>
      <c r="F7" s="1303">
        <f ca="1">IF(G7&lt;B2,"已过期",2000110082)</f>
        <v>2000110082</v>
      </c>
      <c r="G7" s="2347">
        <v>46387</v>
      </c>
      <c r="H7" s="2348" t="str">
        <f t="shared" ca="1" si="1"/>
        <v>欧红伟（注册号：2000110082）</v>
      </c>
    </row>
    <row r="8" spans="1:8" ht="24" customHeight="1">
      <c r="A8" s="1303" t="s">
        <v>2150</v>
      </c>
      <c r="B8" s="1303">
        <f ca="1">IF(C8&lt;B2,"已过期",1419970001)</f>
        <v>1419970001</v>
      </c>
      <c r="C8" s="2344">
        <v>45937</v>
      </c>
      <c r="D8" s="2345" t="str">
        <f t="shared" ca="1" si="0"/>
        <v>吴薇（注册号：1419970001）</v>
      </c>
      <c r="E8" s="2346" t="s">
        <v>2150</v>
      </c>
      <c r="F8" s="1303">
        <f ca="1">IF(G8&lt;B2,"已过期",2002110125)</f>
        <v>2002110125</v>
      </c>
      <c r="G8" s="2347">
        <v>47118</v>
      </c>
      <c r="H8" s="2348" t="str">
        <f t="shared" ca="1" si="1"/>
        <v>吴薇（注册号：2002110125）</v>
      </c>
    </row>
    <row r="9" spans="1:8" ht="24" customHeight="1">
      <c r="A9" s="1303" t="s">
        <v>2151</v>
      </c>
      <c r="B9" s="1303" t="str">
        <f ca="1">IF(C9&lt;B2,"已过期",1120060040)</f>
        <v>已过期</v>
      </c>
      <c r="C9" s="2349">
        <v>45592</v>
      </c>
      <c r="D9" s="2345" t="str">
        <f t="shared" ca="1" si="0"/>
        <v>陈颖（注册号：已过期）</v>
      </c>
      <c r="E9" s="2346" t="s">
        <v>2151</v>
      </c>
      <c r="F9" s="1303">
        <f ca="1">IF(G9&lt;B2,"已过期",2004110096)</f>
        <v>2004110096</v>
      </c>
      <c r="G9" s="2347">
        <v>47118</v>
      </c>
      <c r="H9" s="2348" t="str">
        <f t="shared" ca="1" si="1"/>
        <v>陈颖（注册号：2004110096）</v>
      </c>
    </row>
    <row r="10" spans="1:8" ht="24" customHeight="1">
      <c r="A10" s="1303" t="s">
        <v>2152</v>
      </c>
      <c r="B10" s="1303">
        <f ca="1">IF(C10&lt;B2,"已过期",1120100036)</f>
        <v>1120100036</v>
      </c>
      <c r="C10" s="2349">
        <v>45752</v>
      </c>
      <c r="D10" s="2345" t="str">
        <f t="shared" ca="1" si="0"/>
        <v>崔锴（注册号：1120100036）</v>
      </c>
      <c r="E10" s="2346" t="s">
        <v>2152</v>
      </c>
      <c r="F10" s="1303">
        <f ca="1">IF(G10&lt;B2,"已过期",2010110070)</f>
        <v>2010110070</v>
      </c>
      <c r="G10" s="2347">
        <v>47907</v>
      </c>
      <c r="H10" s="2348" t="str">
        <f t="shared" ca="1" si="1"/>
        <v>崔锴（注册号：2010110070）</v>
      </c>
    </row>
    <row r="11" spans="1:8" ht="24" customHeight="1">
      <c r="A11" s="1303" t="s">
        <v>2153</v>
      </c>
      <c r="B11" s="1303">
        <f ca="1">IF(C11&lt;B2,"已过期",1120070131)</f>
        <v>1120070131</v>
      </c>
      <c r="C11" s="2344">
        <v>45937</v>
      </c>
      <c r="D11" s="2345" t="str">
        <f t="shared" ca="1" si="0"/>
        <v>郑燚（注册号：1120070131）</v>
      </c>
      <c r="E11" s="2346" t="s">
        <v>2153</v>
      </c>
      <c r="F11" s="1303">
        <f ca="1">IF(G11&lt;B2,"已过期",2014110011)</f>
        <v>2014110011</v>
      </c>
      <c r="G11" s="2347">
        <v>49302</v>
      </c>
      <c r="H11" s="2348" t="str">
        <f t="shared" ca="1" si="1"/>
        <v>郑燚（注册号：2014110011）</v>
      </c>
    </row>
    <row r="12" spans="1:8" ht="24" customHeight="1">
      <c r="A12" s="1303" t="s">
        <v>2154</v>
      </c>
      <c r="B12" s="1303">
        <f ca="1">IF(C12&lt;B2,"已过期",1120040230)</f>
        <v>1120040230</v>
      </c>
      <c r="C12" s="2349">
        <v>45937</v>
      </c>
      <c r="D12" s="2345" t="str">
        <f t="shared" ca="1" si="0"/>
        <v>苏海（注册号：1120040230）</v>
      </c>
      <c r="E12" s="2346" t="s">
        <v>2154</v>
      </c>
      <c r="F12" s="1303">
        <f ca="1">IF(G12&lt;B2,"已过期",98030020)</f>
        <v>98030020</v>
      </c>
      <c r="G12" s="2347">
        <v>47118</v>
      </c>
      <c r="H12" s="2348" t="str">
        <f t="shared" ca="1" si="1"/>
        <v>苏海（注册号：98030020）</v>
      </c>
    </row>
    <row r="13" spans="1:8" ht="24" customHeight="1">
      <c r="A13" s="1303" t="s">
        <v>2155</v>
      </c>
      <c r="B13" s="1303" t="str">
        <f ca="1">IF(C13&lt;B2,"已过期",1120020033)</f>
        <v>已过期</v>
      </c>
      <c r="C13" s="2344">
        <v>45375</v>
      </c>
      <c r="D13" s="2345" t="str">
        <f t="shared" ca="1" si="0"/>
        <v>刘敬东（注册号：已过期）</v>
      </c>
      <c r="E13" s="2346" t="s">
        <v>2155</v>
      </c>
      <c r="F13" s="1303">
        <f ca="1">IF(G13&lt;B2,"已过期",2000110137)</f>
        <v>2000110137</v>
      </c>
      <c r="G13" s="2347">
        <v>46387</v>
      </c>
      <c r="H13" s="2348" t="str">
        <f t="shared" ca="1" si="1"/>
        <v>刘敬东（注册号：2000110137）</v>
      </c>
    </row>
    <row r="14" spans="1:8" ht="24" customHeight="1">
      <c r="A14" s="1303" t="s">
        <v>2156</v>
      </c>
      <c r="B14" s="1303" t="str">
        <f ca="1">IF(C14&lt;B2,"已过期",1119980106)</f>
        <v>已过期</v>
      </c>
      <c r="C14" s="2349">
        <v>44969</v>
      </c>
      <c r="D14" s="2345" t="str">
        <f t="shared" ca="1" si="0"/>
        <v>刘俊财（注册号：已过期）</v>
      </c>
      <c r="E14" s="2346" t="s">
        <v>2156</v>
      </c>
      <c r="F14" s="1303">
        <f ca="1">IF(G14&lt;B2,"已过期",96010063)</f>
        <v>96010063</v>
      </c>
      <c r="G14" s="2347">
        <v>47483</v>
      </c>
      <c r="H14" s="2348" t="str">
        <f t="shared" ca="1" si="1"/>
        <v>刘俊财（注册号：96010063）</v>
      </c>
    </row>
    <row r="15" spans="1:8" ht="24" customHeight="1">
      <c r="A15" s="1303" t="s">
        <v>2434</v>
      </c>
      <c r="B15" s="1303">
        <v>1120210056</v>
      </c>
      <c r="C15" s="2349">
        <v>45410</v>
      </c>
      <c r="D15" s="2345" t="str">
        <f t="shared" si="0"/>
        <v>宁小鳗（注册号：1120210056）</v>
      </c>
      <c r="E15" s="2346" t="s">
        <v>2157</v>
      </c>
      <c r="F15" s="1303">
        <f ca="1">IF(G15&lt;B2,"已过期",2011110090)</f>
        <v>2011110090</v>
      </c>
      <c r="G15" s="2347">
        <v>48302</v>
      </c>
      <c r="H15" s="2348" t="str">
        <f t="shared" ca="1" si="1"/>
        <v>赵雯（注册号：2011110090）</v>
      </c>
    </row>
    <row r="16" spans="1:8" s="2351" customFormat="1" ht="24" customHeight="1">
      <c r="A16" s="1303"/>
      <c r="B16" s="1303"/>
      <c r="C16" s="1303"/>
      <c r="D16" s="2345" t="str">
        <f>A16&amp;"（注册号："&amp;B16&amp;"）"</f>
        <v>（注册号：）</v>
      </c>
      <c r="E16" s="2346"/>
      <c r="F16" s="1303"/>
      <c r="G16" s="1303"/>
      <c r="H16" s="2350" t="str">
        <f t="shared" si="1"/>
        <v>（注册号：）</v>
      </c>
    </row>
    <row r="17" spans="1:8" ht="24" customHeight="1">
      <c r="A17" s="3512" t="s">
        <v>2158</v>
      </c>
      <c r="B17" s="3512"/>
      <c r="C17" s="3512"/>
      <c r="D17" s="3512"/>
      <c r="E17" s="3512"/>
      <c r="F17" s="3512"/>
      <c r="G17" s="3512"/>
      <c r="H17" s="3512"/>
    </row>
    <row r="18" spans="1:8" ht="24" customHeight="1">
      <c r="A18" s="3513" t="s">
        <v>2159</v>
      </c>
      <c r="B18" s="3513"/>
      <c r="C18" s="3513"/>
      <c r="D18" s="2342"/>
      <c r="E18" s="3514" t="s">
        <v>2160</v>
      </c>
      <c r="F18" s="3513"/>
      <c r="G18" s="3513"/>
    </row>
    <row r="19" spans="1:8" s="2353" customFormat="1" ht="24" customHeight="1">
      <c r="A19" s="2352" t="s">
        <v>2161</v>
      </c>
      <c r="B19" s="2341" t="s">
        <v>2162</v>
      </c>
      <c r="C19" s="2341" t="s">
        <v>2141</v>
      </c>
      <c r="D19" s="2342"/>
      <c r="E19" s="2346" t="s">
        <v>2161</v>
      </c>
      <c r="F19" s="2341" t="s">
        <v>2162</v>
      </c>
      <c r="G19" s="2341" t="s">
        <v>2141</v>
      </c>
    </row>
    <row r="20" spans="1:8" s="2353" customFormat="1" ht="24" customHeight="1">
      <c r="A20" s="2354" t="s">
        <v>2163</v>
      </c>
      <c r="B20" s="2354" t="s">
        <v>2164</v>
      </c>
      <c r="C20" s="2347">
        <v>45898</v>
      </c>
      <c r="D20" s="2355"/>
      <c r="E20" s="2356" t="s">
        <v>2165</v>
      </c>
      <c r="F20" s="2359" t="s">
        <v>2435</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49" priority="53">
      <formula>AND($C4-TODAY()&lt;30,TODAY()&lt;$C4)</formula>
    </cfRule>
  </conditionalFormatting>
  <conditionalFormatting sqref="C20:D20">
    <cfRule type="expression" dxfId="248" priority="52">
      <formula>AND($C20-TODAY()&lt;30,TODAY()&lt;$C20)</formula>
    </cfRule>
  </conditionalFormatting>
  <conditionalFormatting sqref="C20:D20 G4 C4:D5 C13:D13">
    <cfRule type="cellIs" dxfId="247" priority="54" stopIfTrue="1" operator="lessThan">
      <formula>$B$2</formula>
    </cfRule>
  </conditionalFormatting>
  <conditionalFormatting sqref="G5 G7 G9">
    <cfRule type="cellIs" dxfId="246" priority="51" stopIfTrue="1" operator="lessThan">
      <formula>$B$2</formula>
    </cfRule>
  </conditionalFormatting>
  <conditionalFormatting sqref="C6:D6 D14 D16">
    <cfRule type="expression" dxfId="245" priority="49">
      <formula>AND($C6-TODAY()&lt;30,TODAY()&lt;$C6)</formula>
    </cfRule>
  </conditionalFormatting>
  <conditionalFormatting sqref="G6 G8 G10 C6:D6 D7:D12 D14 D16">
    <cfRule type="cellIs" dxfId="244" priority="50" stopIfTrue="1" operator="lessThan">
      <formula>$B$2</formula>
    </cfRule>
  </conditionalFormatting>
  <conditionalFormatting sqref="D12">
    <cfRule type="expression" dxfId="243" priority="47">
      <formula>AND($C12-TODAY()&lt;30,TODAY()&lt;$C12)</formula>
    </cfRule>
  </conditionalFormatting>
  <conditionalFormatting sqref="D12">
    <cfRule type="cellIs" dxfId="242" priority="48" stopIfTrue="1" operator="lessThan">
      <formula>$B$2</formula>
    </cfRule>
  </conditionalFormatting>
  <conditionalFormatting sqref="C13:D13">
    <cfRule type="expression" dxfId="241" priority="45">
      <formula>AND($C13-TODAY()&lt;30,TODAY()&lt;$C13)</formula>
    </cfRule>
  </conditionalFormatting>
  <conditionalFormatting sqref="C13:D13">
    <cfRule type="cellIs" dxfId="240" priority="46" stopIfTrue="1" operator="lessThan">
      <formula>$B$2</formula>
    </cfRule>
  </conditionalFormatting>
  <conditionalFormatting sqref="D14">
    <cfRule type="expression" dxfId="239" priority="43">
      <formula>AND($C14-TODAY()&lt;30,TODAY()&lt;$C14)</formula>
    </cfRule>
  </conditionalFormatting>
  <conditionalFormatting sqref="D14">
    <cfRule type="cellIs" dxfId="238" priority="44" stopIfTrue="1" operator="lessThan">
      <formula>$B$2</formula>
    </cfRule>
  </conditionalFormatting>
  <conditionalFormatting sqref="G13">
    <cfRule type="cellIs" dxfId="237" priority="42" stopIfTrue="1" operator="lessThan">
      <formula>$B$2</formula>
    </cfRule>
  </conditionalFormatting>
  <conditionalFormatting sqref="B4:B11 F4:F11 B13 F13:F14">
    <cfRule type="cellIs" dxfId="236" priority="41" stopIfTrue="1" operator="equal">
      <formula>"已过期"</formula>
    </cfRule>
  </conditionalFormatting>
  <conditionalFormatting sqref="C7">
    <cfRule type="cellIs" dxfId="235" priority="38" stopIfTrue="1" operator="lessThan">
      <formula>$B$2</formula>
    </cfRule>
  </conditionalFormatting>
  <conditionalFormatting sqref="C7">
    <cfRule type="expression" dxfId="234" priority="37">
      <formula>AND($C7-TODAY()&lt;30,TODAY()&lt;$C7)</formula>
    </cfRule>
  </conditionalFormatting>
  <conditionalFormatting sqref="C8">
    <cfRule type="expression" dxfId="233" priority="35">
      <formula>AND($C8-TODAY()&lt;30,TODAY()&lt;$C8)</formula>
    </cfRule>
  </conditionalFormatting>
  <conditionalFormatting sqref="C8">
    <cfRule type="cellIs" dxfId="232" priority="36" stopIfTrue="1" operator="lessThan">
      <formula>$B$2</formula>
    </cfRule>
  </conditionalFormatting>
  <conditionalFormatting sqref="C11">
    <cfRule type="expression" dxfId="231" priority="33">
      <formula>AND($C11-TODAY()&lt;30,TODAY()&lt;$C11)</formula>
    </cfRule>
  </conditionalFormatting>
  <conditionalFormatting sqref="C11">
    <cfRule type="cellIs" dxfId="230" priority="34" stopIfTrue="1" operator="lessThan">
      <formula>$B$2</formula>
    </cfRule>
  </conditionalFormatting>
  <conditionalFormatting sqref="A16:C16">
    <cfRule type="cellIs" dxfId="229" priority="32" stopIfTrue="1" operator="equal">
      <formula>"已过期"</formula>
    </cfRule>
  </conditionalFormatting>
  <conditionalFormatting sqref="E16:G16">
    <cfRule type="cellIs" dxfId="228" priority="31" stopIfTrue="1" operator="equal">
      <formula>"已过期"</formula>
    </cfRule>
  </conditionalFormatting>
  <conditionalFormatting sqref="G11">
    <cfRule type="cellIs" dxfId="227" priority="30" stopIfTrue="1" operator="lessThan">
      <formula>$B$2</formula>
    </cfRule>
  </conditionalFormatting>
  <conditionalFormatting sqref="F12">
    <cfRule type="cellIs" dxfId="226" priority="29" stopIfTrue="1" operator="equal">
      <formula>"已过期"</formula>
    </cfRule>
  </conditionalFormatting>
  <conditionalFormatting sqref="G12">
    <cfRule type="cellIs" dxfId="225" priority="28" stopIfTrue="1" operator="lessThan">
      <formula>$B$2</formula>
    </cfRule>
  </conditionalFormatting>
  <conditionalFormatting sqref="C12">
    <cfRule type="cellIs" dxfId="224" priority="27" stopIfTrue="1" operator="lessThan">
      <formula>$B$2</formula>
    </cfRule>
  </conditionalFormatting>
  <conditionalFormatting sqref="C12">
    <cfRule type="expression" dxfId="223" priority="25">
      <formula>AND($C12-TODAY()&lt;30,TODAY()&lt;$C12)</formula>
    </cfRule>
  </conditionalFormatting>
  <conditionalFormatting sqref="C12">
    <cfRule type="cellIs" dxfId="222" priority="26" stopIfTrue="1" operator="lessThan">
      <formula>$B$2</formula>
    </cfRule>
  </conditionalFormatting>
  <conditionalFormatting sqref="B12">
    <cfRule type="cellIs" dxfId="221" priority="24" stopIfTrue="1" operator="equal">
      <formula>"已过期"</formula>
    </cfRule>
  </conditionalFormatting>
  <conditionalFormatting sqref="C9:C10">
    <cfRule type="expression" dxfId="220" priority="22">
      <formula>AND($C9-TODAY()&lt;30,TODAY()&lt;$C9)</formula>
    </cfRule>
  </conditionalFormatting>
  <conditionalFormatting sqref="C9:C10">
    <cfRule type="cellIs" dxfId="219" priority="23" stopIfTrue="1" operator="lessThan">
      <formula>$B$2</formula>
    </cfRule>
  </conditionalFormatting>
  <conditionalFormatting sqref="G21">
    <cfRule type="expression" dxfId="218" priority="20" stopIfTrue="1">
      <formula>AND(#REF!-TODAY()&lt;30,TODAY()&lt;#REF!)</formula>
    </cfRule>
  </conditionalFormatting>
  <conditionalFormatting sqref="G21">
    <cfRule type="cellIs" dxfId="217" priority="21" stopIfTrue="1" operator="lessThan">
      <formula>$B$2</formula>
    </cfRule>
  </conditionalFormatting>
  <conditionalFormatting sqref="C14">
    <cfRule type="expression" dxfId="216" priority="18">
      <formula>AND($C14-TODAY()&lt;30,TODAY()&lt;$C14)</formula>
    </cfRule>
  </conditionalFormatting>
  <conditionalFormatting sqref="C14">
    <cfRule type="cellIs" dxfId="215" priority="19" stopIfTrue="1" operator="lessThan">
      <formula>$B$2</formula>
    </cfRule>
  </conditionalFormatting>
  <conditionalFormatting sqref="C14">
    <cfRule type="expression" dxfId="214" priority="16">
      <formula>AND($C14-TODAY()&lt;30,TODAY()&lt;$C14)</formula>
    </cfRule>
  </conditionalFormatting>
  <conditionalFormatting sqref="C14">
    <cfRule type="cellIs" dxfId="213" priority="17" stopIfTrue="1" operator="lessThan">
      <formula>$B$2</formula>
    </cfRule>
  </conditionalFormatting>
  <conditionalFormatting sqref="B14">
    <cfRule type="cellIs" dxfId="212" priority="15" stopIfTrue="1" operator="equal">
      <formula>"已过期"</formula>
    </cfRule>
  </conditionalFormatting>
  <conditionalFormatting sqref="G14">
    <cfRule type="cellIs" dxfId="211" priority="14" stopIfTrue="1" operator="lessThan">
      <formula>$B$2</formula>
    </cfRule>
  </conditionalFormatting>
  <conditionalFormatting sqref="D15">
    <cfRule type="expression" dxfId="210" priority="12">
      <formula>AND($C15-TODAY()&lt;30,TODAY()&lt;$C15)</formula>
    </cfRule>
  </conditionalFormatting>
  <conditionalFormatting sqref="D15">
    <cfRule type="cellIs" dxfId="209" priority="13" stopIfTrue="1" operator="lessThan">
      <formula>$B$2</formula>
    </cfRule>
  </conditionalFormatting>
  <conditionalFormatting sqref="D15">
    <cfRule type="expression" dxfId="208" priority="10">
      <formula>AND($C15-TODAY()&lt;30,TODAY()&lt;$C15)</formula>
    </cfRule>
  </conditionalFormatting>
  <conditionalFormatting sqref="D15">
    <cfRule type="cellIs" dxfId="207" priority="11" stopIfTrue="1" operator="lessThan">
      <formula>$B$2</formula>
    </cfRule>
  </conditionalFormatting>
  <conditionalFormatting sqref="F15">
    <cfRule type="cellIs" dxfId="206" priority="9" stopIfTrue="1" operator="equal">
      <formula>"已过期"</formula>
    </cfRule>
  </conditionalFormatting>
  <conditionalFormatting sqref="C15">
    <cfRule type="expression" dxfId="205" priority="7">
      <formula>AND($C15-TODAY()&lt;30,TODAY()&lt;$C15)</formula>
    </cfRule>
  </conditionalFormatting>
  <conditionalFormatting sqref="C15">
    <cfRule type="cellIs" dxfId="204" priority="8" stopIfTrue="1" operator="lessThan">
      <formula>$B$2</formula>
    </cfRule>
  </conditionalFormatting>
  <conditionalFormatting sqref="C15">
    <cfRule type="expression" dxfId="203" priority="5">
      <formula>AND($C15-TODAY()&lt;30,TODAY()&lt;$C15)</formula>
    </cfRule>
  </conditionalFormatting>
  <conditionalFormatting sqref="C15">
    <cfRule type="cellIs" dxfId="202" priority="6" stopIfTrue="1" operator="lessThan">
      <formula>$B$2</formula>
    </cfRule>
  </conditionalFormatting>
  <conditionalFormatting sqref="B15">
    <cfRule type="cellIs" dxfId="201" priority="4" stopIfTrue="1" operator="equal">
      <formula>"已过期"</formula>
    </cfRule>
  </conditionalFormatting>
  <conditionalFormatting sqref="G15">
    <cfRule type="cellIs" dxfId="200" priority="3" stopIfTrue="1" operator="lessThan">
      <formula>$B$2</formula>
    </cfRule>
  </conditionalFormatting>
  <conditionalFormatting sqref="G20">
    <cfRule type="expression" dxfId="199" priority="1" stopIfTrue="1">
      <formula>AND(#REF!-TODAY()&lt;30,TODAY()&lt;#REF!)</formula>
    </cfRule>
  </conditionalFormatting>
  <conditionalFormatting sqref="G20">
    <cfRule type="cellIs" dxfId="198"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166</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比较法-住宅（新）</vt:lpstr>
      <vt:lpstr>成交建委</vt:lpstr>
      <vt:lpstr>比较法-住宅（二手）</vt:lpstr>
      <vt:lpstr>假设开发法</vt:lpstr>
      <vt:lpstr>收益法</vt:lpstr>
      <vt:lpstr>案例</vt:lpstr>
      <vt:lpstr>中指成交</vt:lpstr>
      <vt:lpstr>收益法 (元)</vt:lpstr>
      <vt:lpstr>收益法-酒店模型</vt:lpstr>
      <vt:lpstr>收益法（汇总）</vt:lpstr>
      <vt:lpstr>成本法 (元)</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租金</vt:lpstr>
      <vt:lpstr>'比较法-办公'!Print_Area</vt:lpstr>
      <vt:lpstr>'比较法-仓储'!Print_Area</vt:lpstr>
      <vt:lpstr>'比较法-车位'!Print_Area</vt:lpstr>
      <vt:lpstr>'比较法-工业'!Print_Area</vt:lpstr>
      <vt:lpstr>'比较法-商业'!Print_Area</vt:lpstr>
      <vt:lpstr>'比较法-住宅（二手）'!Print_Area</vt:lpstr>
      <vt:lpstr>'比较法-住宅（新）'!Print_Area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'比较法-住宅（新）'!住宅朝向</vt:lpstr>
      <vt:lpstr>住宅朝向</vt:lpstr>
      <vt:lpstr>'比较法-住宅（新）'!住宅房型</vt:lpstr>
      <vt:lpstr>住宅房型</vt:lpstr>
      <vt:lpstr>'比较法-住宅（新）'!住宅公共部分装修</vt:lpstr>
      <vt:lpstr>住宅公共部分装修</vt:lpstr>
      <vt:lpstr>'比较法-住宅（新）'!住宅基础设施水平</vt:lpstr>
      <vt:lpstr>住宅基础设施水平</vt:lpstr>
      <vt:lpstr>'比较法-住宅（新）'!住宅建筑结构</vt:lpstr>
      <vt:lpstr>住宅建筑结构</vt:lpstr>
      <vt:lpstr>'比较法-住宅（新）'!住宅建筑类型</vt:lpstr>
      <vt:lpstr>住宅建筑类型</vt:lpstr>
      <vt:lpstr>'比较法-住宅（新）'!住宅建筑品质</vt:lpstr>
      <vt:lpstr>住宅建筑品质</vt:lpstr>
      <vt:lpstr>'比较法-住宅（新）'!住宅交易情况</vt:lpstr>
      <vt:lpstr>住宅交易情况</vt:lpstr>
      <vt:lpstr>'比较法-住宅（新）'!住宅楼层</vt:lpstr>
      <vt:lpstr>住宅楼层</vt:lpstr>
      <vt:lpstr>'比较法-住宅（新）'!住宅内部装修</vt:lpstr>
      <vt:lpstr>住宅内部装修</vt:lpstr>
      <vt:lpstr>'比较法-住宅（新）'!住宅物业管理</vt:lpstr>
      <vt:lpstr>住宅物业管理</vt:lpstr>
      <vt:lpstr>'比较法-住宅（新）'!住宅用途</vt:lpstr>
      <vt:lpstr>住宅用途</vt:lpstr>
      <vt:lpstr>'比较法-住宅（新）'!住宅主力户型面积</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2024-12-19T14:04:26Z</dcterms:modified>
</cp:coreProperties>
</file>