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21"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典型户型修正" sheetId="31" r:id="rId29"/>
    <sheet name="结果表-车库" sheetId="79" state="hidden" r:id="rId30"/>
    <sheet name="成本法 (元)" sheetId="69" state="hidden" r:id="rId31"/>
    <sheet name="基准地价修正" sheetId="43"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收益法 (元)-车库" sheetId="78"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车库" sheetId="80" state="hidden" r:id="rId47"/>
    <sheet name="清单" sheetId="77" r:id="rId48"/>
    <sheet name="Sheet5" sheetId="81" r:id="rId49"/>
  </sheet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1">基准地价修正!$A$1:$J$41,基准地价修正!$A$45:$H$88,基准地价修正!$R$1:$V$16</definedName>
    <definedName name="_xlnm.Print_Area" localSheetId="19">假设开发法!$A$1:$K$32</definedName>
    <definedName name="_xlnm.Print_Area" localSheetId="17">结果表!$A$1:$I$127</definedName>
    <definedName name="_xlnm.Print_Area" localSheetId="29">'结果表-车库'!$A$1:$I$127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40">'收益法 (元)-车库'!$A$1:$F$43,'收益法 (元)-车库'!$H$3:$M$29,'收益法 (元)-车库'!$A$45:$F$71,'收益法 (元)-车库'!$I$46:$N$65</definedName>
    <definedName name="_xlnm.Print_Area" localSheetId="23">'收益法（汇总）'!$A$1:$F$13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'典型户型修正-车库'!$5:$5</definedName>
    <definedName name="一修多修正项2">典型户型修正!$5:$5</definedName>
    <definedName name="一修多修正项3" localSheetId="46">'典型户型修正-车库'!$7:$7</definedName>
    <definedName name="一修多修正项3">典型户型修正!$7:$7</definedName>
    <definedName name="一修多修正项4" localSheetId="46">'典型户型修正-车库'!$9:$9</definedName>
    <definedName name="一修多修正项4">典型户型修正!$9:$9</definedName>
    <definedName name="一修多修正项5" localSheetId="46">'典型户型修正-车库'!$11:$11</definedName>
    <definedName name="一修多修正项5">典型户型修正!$11:$11</definedName>
    <definedName name="一修多修正项6" localSheetId="46">'典型户型修正-车库'!$13:$13</definedName>
    <definedName name="一修多修正项6">典型户型修正!$13:$13</definedName>
    <definedName name="一修多修正项7" localSheetId="46">'典型户型修正-车库'!$15:$15</definedName>
    <definedName name="一修多修正项7">典型户型修正!$15:$15</definedName>
    <definedName name="一修多修正项8" localSheetId="46">'典型户型修正-车库'!$17:$17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3" i="1" l="1"/>
  <c r="N21" i="1" l="1"/>
  <c r="E12" i="77"/>
  <c r="C40" i="77" l="1"/>
  <c r="D32" i="77"/>
  <c r="C25" i="77"/>
  <c r="C39" i="77" s="1"/>
  <c r="C26" i="77"/>
  <c r="C27" i="77"/>
  <c r="C41" i="77" s="1"/>
  <c r="C28" i="77"/>
  <c r="C29" i="77"/>
  <c r="C30" i="77"/>
  <c r="C31" i="77"/>
  <c r="C24" i="77"/>
  <c r="C38" i="77" s="1"/>
  <c r="C42" i="77" s="1"/>
  <c r="B25" i="77"/>
  <c r="B39" i="77" s="1"/>
  <c r="B26" i="77"/>
  <c r="B40" i="77" s="1"/>
  <c r="B27" i="77"/>
  <c r="B28" i="77"/>
  <c r="B29" i="77"/>
  <c r="B30" i="77"/>
  <c r="B31" i="77"/>
  <c r="B24" i="77"/>
  <c r="B38" i="77" s="1"/>
  <c r="C32" i="77" l="1"/>
  <c r="D31" i="77" s="1"/>
  <c r="L8" i="1"/>
  <c r="D27" i="77" l="1"/>
  <c r="D28" i="77"/>
  <c r="D29" i="77"/>
  <c r="D24" i="77"/>
  <c r="D38" i="77" s="1"/>
  <c r="D25" i="77"/>
  <c r="D39" i="77" s="1"/>
  <c r="D26" i="77"/>
  <c r="D40" i="77" s="1"/>
  <c r="D30" i="77"/>
  <c r="D39" i="43"/>
  <c r="D41" i="77" l="1"/>
  <c r="D42" i="77" s="1"/>
  <c r="A27" i="31"/>
  <c r="A28" i="31"/>
  <c r="A29" i="31"/>
  <c r="A30" i="31"/>
  <c r="A31" i="31"/>
  <c r="B28" i="31"/>
  <c r="B29" i="31"/>
  <c r="B30" i="31"/>
  <c r="B31" i="31"/>
  <c r="B27" i="31"/>
  <c r="T28" i="31" s="1"/>
  <c r="D3" i="31"/>
  <c r="E3" i="31"/>
  <c r="F3" i="31"/>
  <c r="G3" i="31"/>
  <c r="H3" i="31"/>
  <c r="D4" i="31"/>
  <c r="E4" i="31"/>
  <c r="F4" i="31"/>
  <c r="G4" i="31"/>
  <c r="H4" i="31"/>
  <c r="C4" i="31"/>
  <c r="C3" i="31"/>
  <c r="B25" i="31"/>
  <c r="B26" i="31"/>
  <c r="A25" i="31"/>
  <c r="A26" i="31"/>
  <c r="B24" i="31"/>
  <c r="A24" i="31"/>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R432" i="80"/>
  <c r="S432" i="80" s="1"/>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R41" i="80"/>
  <c r="S41" i="80" s="1"/>
  <c r="Q41" i="80"/>
  <c r="O41" i="80"/>
  <c r="M41" i="80"/>
  <c r="K41" i="80"/>
  <c r="I41" i="80"/>
  <c r="G41" i="80"/>
  <c r="E41" i="80"/>
  <c r="C41" i="80"/>
  <c r="R40" i="80"/>
  <c r="S40" i="80" s="1"/>
  <c r="Q40" i="80"/>
  <c r="O40" i="80"/>
  <c r="M40" i="80"/>
  <c r="K40" i="80"/>
  <c r="I40" i="80"/>
  <c r="G40" i="80"/>
  <c r="E40" i="80"/>
  <c r="C40" i="80"/>
  <c r="R39" i="80"/>
  <c r="S39" i="80" s="1"/>
  <c r="Q39" i="80"/>
  <c r="O39" i="80"/>
  <c r="M39" i="80"/>
  <c r="K39" i="80"/>
  <c r="I39" i="80"/>
  <c r="G39" i="80"/>
  <c r="E39" i="80"/>
  <c r="C39" i="80"/>
  <c r="R38" i="80"/>
  <c r="S38" i="80" s="1"/>
  <c r="Q38" i="80"/>
  <c r="O38" i="80"/>
  <c r="M38" i="80"/>
  <c r="K38" i="80"/>
  <c r="I38" i="80"/>
  <c r="G38" i="80"/>
  <c r="E38" i="80"/>
  <c r="C38" i="80"/>
  <c r="R37" i="80"/>
  <c r="S37" i="80" s="1"/>
  <c r="Q37" i="80"/>
  <c r="O37" i="80"/>
  <c r="M37" i="80"/>
  <c r="K37" i="80"/>
  <c r="I37" i="80"/>
  <c r="G37" i="80"/>
  <c r="E37" i="80"/>
  <c r="C37" i="80"/>
  <c r="R36" i="80"/>
  <c r="S36" i="80" s="1"/>
  <c r="Q36" i="80"/>
  <c r="O36" i="80"/>
  <c r="M36" i="80"/>
  <c r="K36" i="80"/>
  <c r="I36" i="80"/>
  <c r="G36" i="80"/>
  <c r="E36" i="80"/>
  <c r="C36" i="80"/>
  <c r="R35" i="80"/>
  <c r="S35" i="80" s="1"/>
  <c r="Q35" i="80"/>
  <c r="O35" i="80"/>
  <c r="M35" i="80"/>
  <c r="K35" i="80"/>
  <c r="I35" i="80"/>
  <c r="G35" i="80"/>
  <c r="E35" i="80"/>
  <c r="C35" i="80"/>
  <c r="R34" i="80"/>
  <c r="S34" i="80" s="1"/>
  <c r="Q34" i="80"/>
  <c r="O34" i="80"/>
  <c r="M34" i="80"/>
  <c r="K34" i="80"/>
  <c r="I34" i="80"/>
  <c r="G34" i="80"/>
  <c r="E34" i="80"/>
  <c r="C34" i="80"/>
  <c r="R33" i="80"/>
  <c r="S33" i="80" s="1"/>
  <c r="Q33" i="80"/>
  <c r="O33" i="80"/>
  <c r="M33" i="80"/>
  <c r="K33" i="80"/>
  <c r="I33" i="80"/>
  <c r="G33" i="80"/>
  <c r="E33" i="80"/>
  <c r="C33" i="80"/>
  <c r="R32" i="80"/>
  <c r="S32" i="80" s="1"/>
  <c r="Q32" i="80"/>
  <c r="O32" i="80"/>
  <c r="M32" i="80"/>
  <c r="K32" i="80"/>
  <c r="I32" i="80"/>
  <c r="G32" i="80"/>
  <c r="E32" i="80"/>
  <c r="C32" i="80"/>
  <c r="R31" i="80"/>
  <c r="S31" i="80" s="1"/>
  <c r="Q31" i="80"/>
  <c r="O31" i="80"/>
  <c r="M31" i="80"/>
  <c r="K31" i="80"/>
  <c r="I31" i="80"/>
  <c r="G31" i="80"/>
  <c r="E31" i="80"/>
  <c r="C31" i="80"/>
  <c r="R30" i="80"/>
  <c r="S30" i="80" s="1"/>
  <c r="Q30" i="80"/>
  <c r="O30" i="80"/>
  <c r="M30" i="80"/>
  <c r="K30" i="80"/>
  <c r="I30" i="80"/>
  <c r="G30" i="80"/>
  <c r="E30" i="80"/>
  <c r="C30" i="80"/>
  <c r="R29" i="80"/>
  <c r="S29" i="80" s="1"/>
  <c r="Q29" i="80"/>
  <c r="O29" i="80"/>
  <c r="M29" i="80"/>
  <c r="K29" i="80"/>
  <c r="I29" i="80"/>
  <c r="G29" i="80"/>
  <c r="E29" i="80"/>
  <c r="C29" i="80"/>
  <c r="R28" i="80"/>
  <c r="S28" i="80" s="1"/>
  <c r="Q28" i="80"/>
  <c r="O28" i="80"/>
  <c r="M28" i="80"/>
  <c r="K28" i="80"/>
  <c r="I28" i="80"/>
  <c r="G28" i="80"/>
  <c r="E28" i="80"/>
  <c r="C28" i="80"/>
  <c r="Q27" i="80"/>
  <c r="O27" i="80"/>
  <c r="M27" i="80"/>
  <c r="K27" i="80"/>
  <c r="I27" i="80"/>
  <c r="G27" i="80"/>
  <c r="E27" i="80"/>
  <c r="C27" i="80"/>
  <c r="Q26" i="80"/>
  <c r="O26" i="80"/>
  <c r="M26" i="80"/>
  <c r="K26" i="80"/>
  <c r="I26" i="80"/>
  <c r="G26" i="80"/>
  <c r="E26" i="80"/>
  <c r="C26" i="80"/>
  <c r="Q25" i="80"/>
  <c r="O25" i="80"/>
  <c r="M25" i="80"/>
  <c r="K25" i="80"/>
  <c r="I25" i="80"/>
  <c r="G25" i="80"/>
  <c r="E25" i="80"/>
  <c r="C25"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S2" i="80"/>
  <c r="R2" i="80"/>
  <c r="Q2" i="80"/>
  <c r="P2" i="80"/>
  <c r="O2" i="80"/>
  <c r="N2" i="80"/>
  <c r="M2" i="80"/>
  <c r="L2" i="80"/>
  <c r="K2" i="80"/>
  <c r="J2" i="80"/>
  <c r="I2" i="80"/>
  <c r="H2" i="80"/>
  <c r="G2" i="80"/>
  <c r="F2" i="80"/>
  <c r="E2" i="80"/>
  <c r="D2" i="80"/>
  <c r="C2" i="80"/>
  <c r="A120" i="79"/>
  <c r="H111" i="79"/>
  <c r="D126" i="79" s="1"/>
  <c r="D127" i="79" s="1"/>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N55" i="79" s="1"/>
  <c r="F56" i="79"/>
  <c r="O55" i="79"/>
  <c r="K55" i="79"/>
  <c r="J55" i="79"/>
  <c r="I55" i="79"/>
  <c r="F55" i="79"/>
  <c r="O53" i="79" s="1"/>
  <c r="O54" i="79"/>
  <c r="N54" i="79"/>
  <c r="N53" i="79"/>
  <c r="K49" i="79"/>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4" i="78" s="1"/>
  <c r="D22" i="78"/>
  <c r="F21" i="78"/>
  <c r="F20" i="78"/>
  <c r="M19" i="78"/>
  <c r="F18" i="78"/>
  <c r="M17" i="78"/>
  <c r="F17" i="78"/>
  <c r="F15" i="78"/>
  <c r="N6" i="1"/>
  <c r="F21" i="6"/>
  <c r="F19" i="6"/>
  <c r="A3" i="3"/>
  <c r="D12" i="77"/>
  <c r="I13" i="3"/>
  <c r="E16" i="77"/>
  <c r="E17" i="77"/>
  <c r="E18" i="77"/>
  <c r="D17" i="77"/>
  <c r="D16" i="77"/>
  <c r="D11" i="77"/>
  <c r="D18" i="77" s="1"/>
  <c r="F20" i="80"/>
  <c r="D34" i="79"/>
  <c r="D35" i="79"/>
  <c r="Y9" i="1" l="1"/>
  <c r="Y7" i="1"/>
  <c r="N9" i="1"/>
  <c r="N7" i="1"/>
  <c r="Y8" i="1"/>
  <c r="Y6" i="1"/>
  <c r="N8" i="1"/>
  <c r="D23" i="78"/>
  <c r="C18" i="79"/>
  <c r="D18" i="79" s="1"/>
  <c r="K120" i="79"/>
  <c r="D121" i="79"/>
  <c r="C92" i="79"/>
  <c r="C94" i="79"/>
  <c r="H109" i="79"/>
  <c r="H112" i="79"/>
  <c r="P61" i="78"/>
  <c r="AH5" i="71"/>
  <c r="AG5" i="71"/>
  <c r="AE5" i="71"/>
  <c r="AF5" i="71" s="1"/>
  <c r="AD5" i="71"/>
  <c r="Q5" i="71"/>
  <c r="P5" i="71"/>
  <c r="O5" i="71"/>
  <c r="N5" i="71"/>
  <c r="D124" i="79" l="1"/>
  <c r="D125" i="79" s="1"/>
  <c r="H110" i="79"/>
  <c r="E20" i="43"/>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B19" i="71" s="1"/>
  <c r="B18" i="71" s="1"/>
  <c r="B17" i="71" s="1"/>
  <c r="B16" i="71" s="1"/>
  <c r="B15" i="71" s="1"/>
  <c r="B14" i="71" s="1"/>
  <c r="B13" i="71" s="1"/>
  <c r="B12" i="71" s="1"/>
  <c r="Q19" i="71"/>
  <c r="P19" i="71"/>
  <c r="E19" i="71" s="1"/>
  <c r="O19" i="71"/>
  <c r="C19" i="71"/>
  <c r="C18" i="71" s="1"/>
  <c r="Q20" i="71"/>
  <c r="F19" i="71"/>
  <c r="F18" i="71" s="1"/>
  <c r="F17" i="71" s="1"/>
  <c r="P20" i="71"/>
  <c r="O20" i="71"/>
  <c r="N20"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E109" i="9"/>
  <c r="A124" i="9" s="1"/>
  <c r="B44" i="72"/>
  <c r="B42" i="72"/>
  <c r="B69" i="72"/>
  <c r="B68" i="72"/>
  <c r="B63" i="72"/>
  <c r="B62" i="72"/>
  <c r="B16" i="72"/>
  <c r="B65" i="72"/>
  <c r="B60" i="72"/>
  <c r="B67" i="72"/>
  <c r="B66" i="72"/>
  <c r="B10" i="72"/>
  <c r="C53" i="10"/>
  <c r="B51" i="10"/>
  <c r="B19" i="72"/>
  <c r="A18" i="51"/>
  <c r="B13" i="72" s="1"/>
  <c r="C8" i="68"/>
  <c r="B49" i="48"/>
  <c r="B5" i="72" s="1"/>
  <c r="I19" i="43"/>
  <c r="D84" i="71"/>
  <c r="F83" i="71"/>
  <c r="F82" i="71" s="1"/>
  <c r="F81" i="71" s="1"/>
  <c r="E83" i="71"/>
  <c r="E82" i="71"/>
  <c r="E81" i="71" s="1"/>
  <c r="C83" i="71"/>
  <c r="D83" i="71" s="1"/>
  <c r="B83" i="71"/>
  <c r="B82" i="71" s="1"/>
  <c r="B81" i="71"/>
  <c r="D80" i="71"/>
  <c r="F79" i="71"/>
  <c r="F78" i="71" s="1"/>
  <c r="F77" i="71" s="1"/>
  <c r="E79" i="71"/>
  <c r="E78" i="71"/>
  <c r="E77" i="71" s="1"/>
  <c r="C79" i="71"/>
  <c r="D79" i="71" s="1"/>
  <c r="B79" i="71"/>
  <c r="B78" i="71" s="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F63" i="71"/>
  <c r="V63" i="71"/>
  <c r="E63" i="71"/>
  <c r="P63" i="71"/>
  <c r="C63" i="71"/>
  <c r="B63" i="71"/>
  <c r="F62" i="71"/>
  <c r="F61" i="71" s="1"/>
  <c r="Q61" i="71" s="1"/>
  <c r="D60" i="71"/>
  <c r="Q59" i="71"/>
  <c r="P59" i="71"/>
  <c r="O59" i="71"/>
  <c r="N59" i="71"/>
  <c r="Q58" i="71"/>
  <c r="P58" i="71"/>
  <c r="O58" i="71"/>
  <c r="N58" i="71"/>
  <c r="Q57" i="71"/>
  <c r="P57" i="71"/>
  <c r="O57" i="71"/>
  <c r="N57" i="71"/>
  <c r="Q56" i="71"/>
  <c r="F57" i="71"/>
  <c r="F58" i="71" s="1"/>
  <c r="F59" i="71" s="1"/>
  <c r="V59" i="71" s="1"/>
  <c r="P56" i="71"/>
  <c r="E57" i="71" s="1"/>
  <c r="O56" i="71"/>
  <c r="C57" i="71" s="1"/>
  <c r="N56" i="71"/>
  <c r="B57"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s="1"/>
  <c r="F50" i="71"/>
  <c r="F51" i="71" s="1"/>
  <c r="V51" i="71" s="1"/>
  <c r="P48" i="71"/>
  <c r="E49" i="71"/>
  <c r="O48" i="71"/>
  <c r="C49" i="71" s="1"/>
  <c r="N48" i="71"/>
  <c r="B49" i="71" s="1"/>
  <c r="B50" i="71" s="1"/>
  <c r="B51" i="71" s="1"/>
  <c r="S51" i="71" s="1"/>
  <c r="D48" i="71"/>
  <c r="Q47" i="71"/>
  <c r="P47" i="71"/>
  <c r="O47" i="71"/>
  <c r="N47" i="71"/>
  <c r="Q46" i="71"/>
  <c r="P46" i="71"/>
  <c r="O46" i="71"/>
  <c r="N46" i="71"/>
  <c r="Q45" i="71"/>
  <c r="P45" i="71"/>
  <c r="O45" i="71"/>
  <c r="N45" i="71"/>
  <c r="Q44" i="71"/>
  <c r="F45" i="71" s="1"/>
  <c r="P44" i="71"/>
  <c r="E45" i="71" s="1"/>
  <c r="E46" i="71" s="1"/>
  <c r="E47" i="71" s="1"/>
  <c r="U47" i="71" s="1"/>
  <c r="O44" i="71"/>
  <c r="C45" i="71"/>
  <c r="N44" i="71"/>
  <c r="B45" i="7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AA34" i="71"/>
  <c r="O34" i="71"/>
  <c r="Y34" i="71"/>
  <c r="Z34" i="71" s="1"/>
  <c r="N34" i="71"/>
  <c r="Q33" i="71"/>
  <c r="AB33" i="71" s="1"/>
  <c r="P33" i="71"/>
  <c r="O33" i="71"/>
  <c r="Y33" i="71" s="1"/>
  <c r="Z33" i="71" s="1"/>
  <c r="N33" i="71"/>
  <c r="Q32" i="71"/>
  <c r="F33" i="71" s="1"/>
  <c r="P32" i="71"/>
  <c r="E33" i="71" s="1"/>
  <c r="O32" i="71"/>
  <c r="N32" i="71"/>
  <c r="D32" i="71"/>
  <c r="Q31" i="71"/>
  <c r="AB31" i="71" s="1"/>
  <c r="P31" i="71"/>
  <c r="O31" i="71"/>
  <c r="Y31" i="71" s="1"/>
  <c r="Z31" i="71" s="1"/>
  <c r="N31" i="71"/>
  <c r="Q30" i="71"/>
  <c r="AB30" i="71"/>
  <c r="P30" i="71"/>
  <c r="O30" i="71"/>
  <c r="Y30" i="71" s="1"/>
  <c r="Z30" i="71" s="1"/>
  <c r="N30" i="71"/>
  <c r="Q29" i="71"/>
  <c r="P29" i="71"/>
  <c r="O29" i="71"/>
  <c r="Y29" i="71"/>
  <c r="Z29" i="71" s="1"/>
  <c r="N29" i="71"/>
  <c r="Q28" i="71"/>
  <c r="F29" i="71" s="1"/>
  <c r="F30" i="71" s="1"/>
  <c r="F31" i="71" s="1"/>
  <c r="V31" i="71" s="1"/>
  <c r="P28" i="71"/>
  <c r="E29" i="71" s="1"/>
  <c r="O28" i="71"/>
  <c r="Y28" i="71" s="1"/>
  <c r="Z28" i="71" s="1"/>
  <c r="N28" i="71"/>
  <c r="D28" i="71"/>
  <c r="Q27" i="71"/>
  <c r="P27" i="71"/>
  <c r="O27" i="71"/>
  <c r="Y27" i="71"/>
  <c r="Z27" i="71" s="1"/>
  <c r="N27" i="71"/>
  <c r="Q26" i="71"/>
  <c r="AB26" i="71" s="1"/>
  <c r="P26" i="71"/>
  <c r="AA26" i="71" s="1"/>
  <c r="O26" i="71"/>
  <c r="N26" i="71"/>
  <c r="Q25" i="71"/>
  <c r="P25" i="71"/>
  <c r="AA25" i="71" s="1"/>
  <c r="O25" i="71"/>
  <c r="Y25" i="71"/>
  <c r="Z25" i="71" s="1"/>
  <c r="N25" i="71"/>
  <c r="Q24" i="71"/>
  <c r="F25" i="71" s="1"/>
  <c r="F26" i="71" s="1"/>
  <c r="F27" i="71" s="1"/>
  <c r="V27" i="71" s="1"/>
  <c r="P24" i="71"/>
  <c r="O24" i="71"/>
  <c r="C25" i="71" s="1"/>
  <c r="N24" i="71"/>
  <c r="D24" i="71"/>
  <c r="O23" i="71"/>
  <c r="N23" i="71"/>
  <c r="B25" i="71"/>
  <c r="B26" i="71" s="1"/>
  <c r="B27" i="71"/>
  <c r="S27" i="71" s="1"/>
  <c r="B29" i="71"/>
  <c r="B30" i="71" s="1"/>
  <c r="X28" i="71"/>
  <c r="N63" i="71"/>
  <c r="AB24" i="71"/>
  <c r="C29" i="71"/>
  <c r="C30" i="71" s="1"/>
  <c r="AB28" i="71"/>
  <c r="AA29" i="71"/>
  <c r="X30" i="71"/>
  <c r="AA30" i="71"/>
  <c r="X31" i="71"/>
  <c r="AA31" i="71"/>
  <c r="C33" i="71"/>
  <c r="Y32" i="71"/>
  <c r="Z32" i="71" s="1"/>
  <c r="AB32" i="71"/>
  <c r="X33" i="71"/>
  <c r="AA33" i="71"/>
  <c r="F46" i="71"/>
  <c r="F47" i="71" s="1"/>
  <c r="V47" i="71" s="1"/>
  <c r="C23" i="71"/>
  <c r="C22" i="71" s="1"/>
  <c r="Y20" i="71"/>
  <c r="Z20" i="71"/>
  <c r="Y21" i="71"/>
  <c r="Z21" i="71"/>
  <c r="Y22" i="71"/>
  <c r="Z22" i="71"/>
  <c r="Y23" i="71"/>
  <c r="Z23" i="71"/>
  <c r="B23" i="71"/>
  <c r="B22" i="71"/>
  <c r="B21" i="71" s="1"/>
  <c r="X20" i="71"/>
  <c r="X21" i="71"/>
  <c r="X22" i="71"/>
  <c r="X23" i="71"/>
  <c r="D29" i="71"/>
  <c r="C34" i="71"/>
  <c r="C35" i="71" s="1"/>
  <c r="D33" i="71"/>
  <c r="C38" i="71"/>
  <c r="C39" i="71" s="1"/>
  <c r="D37" i="71"/>
  <c r="C46" i="71"/>
  <c r="D45" i="71"/>
  <c r="P23" i="71"/>
  <c r="AA3" i="71" s="1"/>
  <c r="E50" i="71"/>
  <c r="E51" i="71" s="1"/>
  <c r="U51" i="71" s="1"/>
  <c r="E58" i="71"/>
  <c r="E59" i="71"/>
  <c r="U59" i="71" s="1"/>
  <c r="Q60" i="71"/>
  <c r="U63" i="71"/>
  <c r="E62" i="71"/>
  <c r="E61" i="71" s="1"/>
  <c r="Q23" i="71"/>
  <c r="F23" i="71" s="1"/>
  <c r="F22" i="71" s="1"/>
  <c r="F21" i="71" s="1"/>
  <c r="C50" i="71"/>
  <c r="D50" i="71" s="1"/>
  <c r="D49" i="71"/>
  <c r="C58" i="71"/>
  <c r="C59" i="71" s="1"/>
  <c r="D57" i="71"/>
  <c r="Q62" i="71"/>
  <c r="T63" i="71"/>
  <c r="O63" i="71"/>
  <c r="D63" i="71"/>
  <c r="C62" i="71"/>
  <c r="O62" i="71" s="1"/>
  <c r="Q63" i="71"/>
  <c r="C66" i="71"/>
  <c r="D66" i="71" s="1"/>
  <c r="E66" i="71"/>
  <c r="E65" i="71" s="1"/>
  <c r="D67" i="71"/>
  <c r="C70" i="71"/>
  <c r="C69" i="71" s="1"/>
  <c r="D69" i="71" s="1"/>
  <c r="E70" i="71"/>
  <c r="E69" i="71" s="1"/>
  <c r="D71" i="71"/>
  <c r="C74" i="71"/>
  <c r="C73" i="71" s="1"/>
  <c r="D73" i="71" s="1"/>
  <c r="E74" i="71"/>
  <c r="E73" i="71" s="1"/>
  <c r="D75" i="71"/>
  <c r="C78" i="71"/>
  <c r="D78" i="71" s="1"/>
  <c r="C82" i="71"/>
  <c r="C81" i="71" s="1"/>
  <c r="D81" i="71" s="1"/>
  <c r="S23" i="71"/>
  <c r="AB21" i="71"/>
  <c r="AB23" i="71"/>
  <c r="E23" i="71"/>
  <c r="E22" i="71" s="1"/>
  <c r="E21" i="71" s="1"/>
  <c r="AA20" i="71"/>
  <c r="AA22" i="71"/>
  <c r="D23" i="71"/>
  <c r="U23" i="71" s="1"/>
  <c r="C61" i="71"/>
  <c r="D61" i="71" s="1"/>
  <c r="D62" i="71"/>
  <c r="D58" i="71"/>
  <c r="C77" i="71"/>
  <c r="D77" i="71" s="1"/>
  <c r="D70" i="71"/>
  <c r="D82" i="71"/>
  <c r="D74" i="71"/>
  <c r="C65" i="71"/>
  <c r="D65" i="71" s="1"/>
  <c r="C51" i="71"/>
  <c r="T51" i="71" s="1"/>
  <c r="P62" i="71"/>
  <c r="C47" i="71"/>
  <c r="T47" i="71" s="1"/>
  <c r="D46" i="71"/>
  <c r="D38" i="71"/>
  <c r="D34" i="71"/>
  <c r="O61" i="71"/>
  <c r="O60" i="71"/>
  <c r="D47"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s="1"/>
  <c r="C22" i="20"/>
  <c r="B55" i="43" s="1"/>
  <c r="S25" i="40"/>
  <c r="S29" i="39"/>
  <c r="S18" i="36"/>
  <c r="U18" i="36"/>
  <c r="S21" i="34"/>
  <c r="H25" i="40"/>
  <c r="AB25" i="40" s="1"/>
  <c r="J25" i="40"/>
  <c r="AC25" i="40" s="1"/>
  <c r="H29" i="39"/>
  <c r="AB29" i="39" s="1"/>
  <c r="J29" i="39"/>
  <c r="AC29" i="39" s="1"/>
  <c r="J18" i="36"/>
  <c r="AC18" i="36" s="1"/>
  <c r="H18" i="35"/>
  <c r="AB18" i="35" s="1"/>
  <c r="G68" i="35"/>
  <c r="J18" i="35"/>
  <c r="W18" i="35" s="1"/>
  <c r="F77" i="37"/>
  <c r="G77" i="37" s="1"/>
  <c r="H21" i="37"/>
  <c r="AB21" i="37" s="1"/>
  <c r="F21" i="37"/>
  <c r="AA21" i="37" s="1"/>
  <c r="H21" i="34"/>
  <c r="AB21" i="34" s="1"/>
  <c r="H21" i="33"/>
  <c r="U21" i="33" s="1"/>
  <c r="F21" i="33"/>
  <c r="S21" i="33" s="1"/>
  <c r="E83" i="21"/>
  <c r="F83" i="21" s="1"/>
  <c r="G83" i="21" s="1"/>
  <c r="S21" i="21"/>
  <c r="H1" i="69"/>
  <c r="W25" i="40"/>
  <c r="U25" i="40"/>
  <c r="U29" i="39"/>
  <c r="W29" i="39"/>
  <c r="W18" i="36"/>
  <c r="U21" i="37"/>
  <c r="S21" i="37"/>
  <c r="U21" i="34"/>
  <c r="AB21" i="33"/>
  <c r="AA21" i="33"/>
  <c r="AC18" i="35"/>
  <c r="J21" i="37"/>
  <c r="AC21" i="37" s="1"/>
  <c r="J21" i="34"/>
  <c r="AC21" i="34" s="1"/>
  <c r="J21" i="33"/>
  <c r="AC21" i="33" s="1"/>
  <c r="H21" i="21"/>
  <c r="AB21" i="21" s="1"/>
  <c r="F38" i="69"/>
  <c r="E37" i="69"/>
  <c r="F36" i="69"/>
  <c r="F35" i="69"/>
  <c r="F21" i="69"/>
  <c r="F40" i="69" s="1"/>
  <c r="C21" i="69"/>
  <c r="F20" i="69"/>
  <c r="F39" i="69" s="1"/>
  <c r="E10" i="69"/>
  <c r="E9" i="69"/>
  <c r="W21" i="37"/>
  <c r="W21" i="33"/>
  <c r="J21" i="21"/>
  <c r="W21" i="21" s="1"/>
  <c r="C40" i="69"/>
  <c r="F38" i="68"/>
  <c r="E37" i="68"/>
  <c r="F36" i="68"/>
  <c r="F35" i="68"/>
  <c r="F21" i="68"/>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G41" i="43" s="1"/>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M18" i="79" s="1"/>
  <c r="B118" i="79"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1" i="31"/>
  <c r="S119" i="31"/>
  <c r="S117" i="31"/>
  <c r="S115"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C31" i="36"/>
  <c r="W31" i="36"/>
  <c r="U31" i="36"/>
  <c r="H22" i="35"/>
  <c r="AB22" i="35"/>
  <c r="AC27" i="35"/>
  <c r="W28" i="35"/>
  <c r="U31" i="35"/>
  <c r="W22" i="35"/>
  <c r="S31" i="35"/>
  <c r="F36" i="34"/>
  <c r="J35"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W32" i="40"/>
  <c r="S44" i="39"/>
  <c r="F37" i="39"/>
  <c r="AA37" i="39"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23" i="35"/>
  <c r="AA23" i="35" s="1"/>
  <c r="J32" i="35"/>
  <c r="AC32" i="35" s="1"/>
  <c r="H33" i="35"/>
  <c r="AB33" i="35" s="1"/>
  <c r="AC8"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AC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B30" i="36"/>
  <c r="U30" i="35"/>
  <c r="H33" i="37"/>
  <c r="AB33" i="37" s="1"/>
  <c r="F33" i="37"/>
  <c r="AA33" i="37" s="1"/>
  <c r="U34" i="37"/>
  <c r="W33" i="37"/>
  <c r="S34" i="37"/>
  <c r="AA34" i="37"/>
  <c r="J43" i="34"/>
  <c r="AB42" i="34"/>
  <c r="J40" i="34"/>
  <c r="H38" i="34"/>
  <c r="AB38" i="34" s="1"/>
  <c r="J36" i="34"/>
  <c r="W36" i="34" s="1"/>
  <c r="H37" i="34"/>
  <c r="H25" i="34"/>
  <c r="AB25" i="34"/>
  <c r="J25" i="34"/>
  <c r="AC25" i="34"/>
  <c r="F23" i="34"/>
  <c r="AA23" i="34" s="1"/>
  <c r="J19" i="34"/>
  <c r="AC19" i="34" s="1"/>
  <c r="F17" i="34"/>
  <c r="AA17" i="34" s="1"/>
  <c r="J17" i="34"/>
  <c r="W17" i="34" s="1"/>
  <c r="S15" i="34"/>
  <c r="H37" i="33"/>
  <c r="AB37" i="33" s="1"/>
  <c r="H15" i="33"/>
  <c r="AB15" i="33" s="1"/>
  <c r="H11" i="33"/>
  <c r="F28" i="40"/>
  <c r="AA28" i="40" s="1"/>
  <c r="AA42" i="34"/>
  <c r="S42" i="34"/>
  <c r="AC38" i="34"/>
  <c r="AA38" i="34"/>
  <c r="J37" i="34"/>
  <c r="AC37" i="34" s="1"/>
  <c r="J11" i="33"/>
  <c r="W11" i="33"/>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c r="H37" i="37"/>
  <c r="U37" i="37"/>
  <c r="H40" i="37"/>
  <c r="U40" i="37"/>
  <c r="J40" i="37"/>
  <c r="AC40" i="37"/>
  <c r="F40" i="37"/>
  <c r="AA40" i="37"/>
  <c r="W12" i="40"/>
  <c r="H14" i="33"/>
  <c r="U14" i="33"/>
  <c r="F14" i="33"/>
  <c r="S14" i="33"/>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44" i="33"/>
  <c r="U46" i="33"/>
  <c r="AA14" i="33"/>
  <c r="J36" i="37"/>
  <c r="AC36" i="37" s="1"/>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L493"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A12" i="35"/>
  <c r="U33" i="37"/>
  <c r="U39" i="37"/>
  <c r="W26" i="37"/>
  <c r="AC8" i="37"/>
  <c r="U26" i="37"/>
  <c r="W37" i="34"/>
  <c r="AC36" i="34"/>
  <c r="AA13" i="33"/>
  <c r="AC31" i="33"/>
  <c r="AC45" i="33"/>
  <c r="W44" i="33"/>
  <c r="U19" i="21"/>
  <c r="U26" i="21"/>
  <c r="AC46" i="21"/>
  <c r="U12" i="21"/>
  <c r="AB38" i="21"/>
  <c r="F43" i="33"/>
  <c r="AA43" i="33" s="1"/>
  <c r="W15" i="34"/>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F71" i="37"/>
  <c r="G71" i="37" s="1"/>
  <c r="J15" i="37"/>
  <c r="U12" i="37"/>
  <c r="AT6" i="3"/>
  <c r="H5" i="3"/>
  <c r="C12" i="43"/>
  <c r="H19" i="40"/>
  <c r="U19" i="40"/>
  <c r="G88" i="40"/>
  <c r="F19" i="40"/>
  <c r="S19" i="40"/>
  <c r="AC13" i="40"/>
  <c r="W23" i="39"/>
  <c r="AC43" i="39"/>
  <c r="W43" i="39"/>
  <c r="U45" i="39"/>
  <c r="AB45" i="39"/>
  <c r="AB44" i="39"/>
  <c r="U44" i="39"/>
  <c r="G101" i="39"/>
  <c r="H37" i="39"/>
  <c r="AC37" i="39"/>
  <c r="W37" i="39"/>
  <c r="H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F11" i="39"/>
  <c r="AA11" i="39" s="1"/>
  <c r="A12" i="52"/>
  <c r="B56" i="72" s="1"/>
  <c r="S11" i="39"/>
  <c r="G4" i="4"/>
  <c r="I4" i="4"/>
  <c r="A2" i="9"/>
  <c r="AZ20" i="3"/>
  <c r="AZ32"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AZ136" i="3" s="1"/>
  <c r="G137" i="3"/>
  <c r="BA139" i="3"/>
  <c r="AZ139" i="3" s="1"/>
  <c r="BL140" i="3"/>
  <c r="G141" i="3"/>
  <c r="BA143" i="3"/>
  <c r="AZ143" i="3"/>
  <c r="BL144" i="3"/>
  <c r="G145" i="3"/>
  <c r="BA147" i="3"/>
  <c r="AZ147" i="3"/>
  <c r="BL148" i="3"/>
  <c r="G149" i="3"/>
  <c r="BA151" i="3"/>
  <c r="AZ151" i="3" s="1"/>
  <c r="BL152" i="3"/>
  <c r="AZ152" i="3" s="1"/>
  <c r="G153" i="3"/>
  <c r="BA155" i="3"/>
  <c r="AZ155" i="3" s="1"/>
  <c r="BL156" i="3"/>
  <c r="AZ156" i="3" s="1"/>
  <c r="G157" i="3"/>
  <c r="BA159" i="3"/>
  <c r="AZ159" i="3" s="1"/>
  <c r="BL160" i="3"/>
  <c r="G161" i="3"/>
  <c r="BA163" i="3"/>
  <c r="AZ163" i="3" s="1"/>
  <c r="BL164" i="3"/>
  <c r="G165" i="3"/>
  <c r="BA167" i="3"/>
  <c r="AZ167" i="3" s="1"/>
  <c r="BL168" i="3"/>
  <c r="AZ168" i="3" s="1"/>
  <c r="G169" i="3"/>
  <c r="BA171" i="3"/>
  <c r="AZ171" i="3" s="1"/>
  <c r="BL172" i="3"/>
  <c r="AZ172" i="3" s="1"/>
  <c r="G173" i="3"/>
  <c r="BA175" i="3"/>
  <c r="AZ175" i="3"/>
  <c r="BL176" i="3"/>
  <c r="G177" i="3"/>
  <c r="BA179" i="3"/>
  <c r="AZ179" i="3"/>
  <c r="BL180" i="3"/>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BL200" i="3"/>
  <c r="AZ200" i="3" s="1"/>
  <c r="G201" i="3"/>
  <c r="BA203" i="3"/>
  <c r="BL204" i="3"/>
  <c r="AZ204" i="3" s="1"/>
  <c r="AZ39" i="3"/>
  <c r="AZ43" i="3"/>
  <c r="AZ47" i="3"/>
  <c r="AZ59" i="3"/>
  <c r="AZ63" i="3"/>
  <c r="AZ75" i="3"/>
  <c r="AZ79" i="3"/>
  <c r="AZ144" i="3"/>
  <c r="AZ160" i="3"/>
  <c r="AZ176" i="3"/>
  <c r="AZ89" i="3"/>
  <c r="AZ97" i="3"/>
  <c r="AZ105" i="3"/>
  <c r="AZ109"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42" i="3"/>
  <c r="AZ150" i="3"/>
  <c r="AZ154" i="3"/>
  <c r="AZ158" i="3"/>
  <c r="AZ166" i="3"/>
  <c r="AZ170" i="3"/>
  <c r="AZ174" i="3"/>
  <c r="AZ182" i="3"/>
  <c r="AZ186" i="3"/>
  <c r="AZ190" i="3"/>
  <c r="AZ500" i="3"/>
  <c r="BA16" i="3"/>
  <c r="AZ16" i="3"/>
  <c r="BL303" i="3"/>
  <c r="G304" i="3"/>
  <c r="BA306" i="3"/>
  <c r="AZ306" i="3"/>
  <c r="BL307" i="3"/>
  <c r="AZ307" i="3"/>
  <c r="G308" i="3"/>
  <c r="BA310" i="3"/>
  <c r="BL311" i="3"/>
  <c r="G312" i="3"/>
  <c r="BA314" i="3"/>
  <c r="AZ314" i="3" s="1"/>
  <c r="BL315" i="3"/>
  <c r="AZ315" i="3" s="1"/>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G375" i="3"/>
  <c r="BA377" i="3"/>
  <c r="AZ377" i="3"/>
  <c r="AZ229" i="3"/>
  <c r="AZ241" i="3"/>
  <c r="AZ245" i="3"/>
  <c r="AZ257" i="3"/>
  <c r="AZ261" i="3"/>
  <c r="AZ265" i="3"/>
  <c r="BA379" i="3"/>
  <c r="AZ379" i="3" s="1"/>
  <c r="BL380" i="3"/>
  <c r="G381" i="3"/>
  <c r="BA383" i="3"/>
  <c r="AZ383" i="3" s="1"/>
  <c r="BL384" i="3"/>
  <c r="AZ384" i="3" s="1"/>
  <c r="G385" i="3"/>
  <c r="BA387" i="3"/>
  <c r="AZ387" i="3" s="1"/>
  <c r="BL388" i="3"/>
  <c r="AZ388" i="3" s="1"/>
  <c r="G389" i="3"/>
  <c r="BA391" i="3"/>
  <c r="AZ391" i="3" s="1"/>
  <c r="BL392" i="3"/>
  <c r="AZ392" i="3" s="1"/>
  <c r="G393" i="3"/>
  <c r="AZ263" i="3"/>
  <c r="AZ279" i="3"/>
  <c r="AZ283" i="3"/>
  <c r="AZ291" i="3"/>
  <c r="AZ299" i="3"/>
  <c r="BO5" i="3"/>
  <c r="BM5" i="3"/>
  <c r="F29" i="6" s="1"/>
  <c r="E29" i="6" s="1"/>
  <c r="K15" i="1" s="1"/>
  <c r="BJ5" i="3"/>
  <c r="BH5" i="3"/>
  <c r="BF5" i="3"/>
  <c r="BD5" i="3"/>
  <c r="BQ5" i="3"/>
  <c r="AZ496" i="3"/>
  <c r="G548" i="3"/>
  <c r="G538" i="3"/>
  <c r="G520" i="3"/>
  <c r="G502" i="3"/>
  <c r="BS5" i="3"/>
  <c r="BP5" i="3"/>
  <c r="G29" i="6" s="1"/>
  <c r="BN5" i="3"/>
  <c r="BK5" i="3"/>
  <c r="BI5" i="3"/>
  <c r="BG5" i="3"/>
  <c r="BE5" i="3"/>
  <c r="BC5" i="3"/>
  <c r="G17" i="3"/>
  <c r="BA17" i="3"/>
  <c r="BT5" i="3"/>
  <c r="AZ352" i="3"/>
  <c r="AZ360" i="3"/>
  <c r="AZ368" i="3"/>
  <c r="BA15" i="3"/>
  <c r="AZ15" i="3" s="1"/>
  <c r="BB5" i="3"/>
  <c r="BR5" i="3"/>
  <c r="G28" i="6" s="1"/>
  <c r="AZ380" i="3"/>
  <c r="AZ396" i="3"/>
  <c r="AZ499" i="3"/>
  <c r="E8" i="6"/>
  <c r="F27" i="6" s="1"/>
  <c r="G509" i="3"/>
  <c r="AZ491" i="3"/>
  <c r="AZ390" i="3"/>
  <c r="AZ493" i="3"/>
  <c r="U36" i="40"/>
  <c r="F36" i="43"/>
  <c r="F81" i="43"/>
  <c r="H83" i="43" s="1"/>
  <c r="H113" i="43"/>
  <c r="F48" i="43"/>
  <c r="H52" i="43" s="1"/>
  <c r="F70" i="43"/>
  <c r="M11" i="43"/>
  <c r="D17" i="43"/>
  <c r="F39" i="43"/>
  <c r="I17" i="43"/>
  <c r="F35" i="43"/>
  <c r="J17" i="43"/>
  <c r="F6" i="1"/>
  <c r="I20" i="43" s="1"/>
  <c r="U17" i="39"/>
  <c r="U43" i="21"/>
  <c r="U35" i="21"/>
  <c r="AC35" i="21"/>
  <c r="U10"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H35" i="37"/>
  <c r="U35" i="37" s="1"/>
  <c r="AB23" i="35"/>
  <c r="AB29" i="36"/>
  <c r="U29" i="36"/>
  <c r="H32" i="37"/>
  <c r="AB32" i="37"/>
  <c r="F96" i="37"/>
  <c r="H27" i="40"/>
  <c r="J27" i="40"/>
  <c r="AC27" i="40" s="1"/>
  <c r="F27" i="40"/>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C40" i="11"/>
  <c r="AZ215" i="3"/>
  <c r="AZ227" i="3"/>
  <c r="AZ240" i="3"/>
  <c r="AZ243" i="3"/>
  <c r="AZ256" i="3"/>
  <c r="AZ259" i="3"/>
  <c r="AZ268" i="3"/>
  <c r="AZ296" i="3"/>
  <c r="AZ117" i="3"/>
  <c r="AZ130" i="3"/>
  <c r="AZ29" i="3"/>
  <c r="AZ31" i="3"/>
  <c r="AZ33" i="3"/>
  <c r="AZ37" i="3"/>
  <c r="AZ42" i="3"/>
  <c r="AZ45" i="3"/>
  <c r="AZ58" i="3"/>
  <c r="AZ61" i="3"/>
  <c r="AZ77" i="3"/>
  <c r="AZ102" i="3"/>
  <c r="F23" i="39"/>
  <c r="AA23" i="39" s="1"/>
  <c r="H27" i="36"/>
  <c r="F27" i="36"/>
  <c r="AA27" i="36" s="1"/>
  <c r="H33" i="34"/>
  <c r="U33" i="34" s="1"/>
  <c r="F32" i="37"/>
  <c r="AA32" i="37" s="1"/>
  <c r="G96" i="37"/>
  <c r="H96" i="37" s="1"/>
  <c r="I96" i="37"/>
  <c r="J96" i="37" s="1"/>
  <c r="K96" i="37" s="1"/>
  <c r="L96" i="37" s="1"/>
  <c r="M96" i="37" s="1"/>
  <c r="F20" i="36"/>
  <c r="AA20" i="36"/>
  <c r="J33" i="34"/>
  <c r="AC33" i="34"/>
  <c r="H23" i="39"/>
  <c r="U23" i="39"/>
  <c r="D48" i="9"/>
  <c r="M52" i="9" s="1"/>
  <c r="H86" i="43"/>
  <c r="H82" i="43"/>
  <c r="H87" i="43"/>
  <c r="K9" i="1"/>
  <c r="M9" i="1" s="1"/>
  <c r="O9" i="1" s="1"/>
  <c r="AE9" i="1"/>
  <c r="D93" i="9"/>
  <c r="K6" i="1"/>
  <c r="AC26" i="33"/>
  <c r="W26" i="33"/>
  <c r="W27" i="34"/>
  <c r="AC27" i="34"/>
  <c r="AB34" i="36"/>
  <c r="U34" i="36"/>
  <c r="AB33" i="36"/>
  <c r="U33" i="36"/>
  <c r="AC12" i="39"/>
  <c r="W12" i="39"/>
  <c r="AC39" i="40"/>
  <c r="W39" i="40"/>
  <c r="AZ433" i="3"/>
  <c r="W12" i="33"/>
  <c r="AC12" i="33"/>
  <c r="AA32" i="36"/>
  <c r="S32" i="36"/>
  <c r="AZ408" i="3"/>
  <c r="AZ437" i="3"/>
  <c r="AZ457" i="3"/>
  <c r="AZ490" i="3"/>
  <c r="AA39" i="34"/>
  <c r="BL14" i="3"/>
  <c r="AZ266" i="3"/>
  <c r="U30" i="33"/>
  <c r="AC13" i="34"/>
  <c r="AA47" i="34"/>
  <c r="W28" i="37"/>
  <c r="S19" i="39"/>
  <c r="F12" i="33"/>
  <c r="H12" i="39"/>
  <c r="F39" i="40"/>
  <c r="BA14" i="3"/>
  <c r="AZ14" i="3"/>
  <c r="AZ213" i="3"/>
  <c r="AZ238" i="3"/>
  <c r="AZ254" i="3"/>
  <c r="AZ281" i="3"/>
  <c r="AZ149" i="3"/>
  <c r="AZ165" i="3"/>
  <c r="AZ181" i="3"/>
  <c r="AZ35" i="3"/>
  <c r="AZ41" i="3"/>
  <c r="S12" i="1"/>
  <c r="AQ12" i="1" s="1"/>
  <c r="R12" i="1"/>
  <c r="B12" i="1"/>
  <c r="E12" i="1" s="1"/>
  <c r="S10" i="1"/>
  <c r="AQ10" i="1" s="1"/>
  <c r="R10" i="1"/>
  <c r="B10" i="1"/>
  <c r="E10" i="1"/>
  <c r="AZ107" i="3"/>
  <c r="AZ111" i="3"/>
  <c r="K12" i="1"/>
  <c r="M12" i="1" s="1"/>
  <c r="O12" i="1" s="1"/>
  <c r="S13" i="1"/>
  <c r="AR13" i="1" s="1"/>
  <c r="R13" i="1"/>
  <c r="S11" i="1"/>
  <c r="AQ11" i="1" s="1"/>
  <c r="R11" i="1"/>
  <c r="J51" i="67"/>
  <c r="C42" i="1"/>
  <c r="H100" i="43"/>
  <c r="C30" i="66"/>
  <c r="E26" i="66" s="1"/>
  <c r="B41" i="1"/>
  <c r="J100" i="43"/>
  <c r="AB37" i="40"/>
  <c r="S35" i="40"/>
  <c r="U35" i="40"/>
  <c r="AC36" i="40"/>
  <c r="W38" i="40"/>
  <c r="AA32" i="40"/>
  <c r="S17" i="40"/>
  <c r="S23" i="40"/>
  <c r="AC17" i="40"/>
  <c r="AC15" i="40"/>
  <c r="S30" i="40"/>
  <c r="AA19" i="40"/>
  <c r="S28" i="40"/>
  <c r="U21" i="40"/>
  <c r="AB19" i="40"/>
  <c r="W42" i="39"/>
  <c r="W39" i="39"/>
  <c r="S43" i="39"/>
  <c r="S37" i="39"/>
  <c r="U35" i="39"/>
  <c r="F32" i="39"/>
  <c r="F107" i="39"/>
  <c r="G107" i="39"/>
  <c r="AB27" i="39"/>
  <c r="U31" i="39"/>
  <c r="S25" i="39"/>
  <c r="J21" i="39"/>
  <c r="F21" i="39"/>
  <c r="G95" i="39"/>
  <c r="H21" i="39"/>
  <c r="W19" i="39"/>
  <c r="U19" i="39"/>
  <c r="S17" i="39"/>
  <c r="AC15" i="39"/>
  <c r="S15" i="39"/>
  <c r="AB15" i="39"/>
  <c r="AA12" i="39"/>
  <c r="S9" i="39"/>
  <c r="U14" i="39"/>
  <c r="AC13" i="39"/>
  <c r="S23" i="36"/>
  <c r="U13" i="36"/>
  <c r="AC27" i="36"/>
  <c r="U26" i="36"/>
  <c r="S33" i="36"/>
  <c r="AA26" i="36"/>
  <c r="AA34" i="36"/>
  <c r="S29" i="36"/>
  <c r="AC26" i="36"/>
  <c r="AA22" i="36"/>
  <c r="W14" i="36"/>
  <c r="AB14" i="36"/>
  <c r="U22" i="36"/>
  <c r="S16" i="36"/>
  <c r="AA25" i="36"/>
  <c r="S24" i="36"/>
  <c r="U24" i="36"/>
  <c r="U23" i="36"/>
  <c r="AB20" i="36"/>
  <c r="U16" i="36"/>
  <c r="S14" i="36"/>
  <c r="U10" i="36"/>
  <c r="W10" i="36"/>
  <c r="AA25" i="35"/>
  <c r="S23" i="35"/>
  <c r="AB13" i="35"/>
  <c r="U28" i="35"/>
  <c r="AB27" i="35"/>
  <c r="U36" i="35"/>
  <c r="U32" i="35"/>
  <c r="AA33" i="35"/>
  <c r="AC30" i="35"/>
  <c r="S32" i="35"/>
  <c r="AA36" i="35"/>
  <c r="W32" i="35"/>
  <c r="S28" i="35"/>
  <c r="U22" i="35"/>
  <c r="S22" i="35"/>
  <c r="AC10" i="35"/>
  <c r="AA10" i="35"/>
  <c r="AB10" i="35"/>
  <c r="AA11" i="35"/>
  <c r="S8" i="35"/>
  <c r="AC9" i="35"/>
  <c r="W9" i="35"/>
  <c r="AC12" i="35"/>
  <c r="W13" i="35"/>
  <c r="F9" i="35"/>
  <c r="H9" i="35"/>
  <c r="AB40" i="37"/>
  <c r="S25" i="37"/>
  <c r="W27" i="37"/>
  <c r="AC9" i="37"/>
  <c r="AC29" i="37"/>
  <c r="U29" i="37"/>
  <c r="W30" i="37"/>
  <c r="S36" i="37"/>
  <c r="AA38" i="37"/>
  <c r="U32"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c r="BL13" i="3"/>
  <c r="G30" i="6"/>
  <c r="G31" i="6" s="1"/>
  <c r="J56" i="9"/>
  <c r="J57" i="9" s="1"/>
  <c r="J59" i="9" s="1"/>
  <c r="J61" i="9" s="1"/>
  <c r="A24" i="51"/>
  <c r="B18" i="72" s="1"/>
  <c r="U29" i="34"/>
  <c r="E14" i="6"/>
  <c r="E64" i="39" s="1"/>
  <c r="E5" i="6"/>
  <c r="D9" i="11" s="1"/>
  <c r="C9" i="11" s="1"/>
  <c r="P10" i="1"/>
  <c r="E32" i="6"/>
  <c r="L19" i="6"/>
  <c r="G1" i="68"/>
  <c r="K1" i="12"/>
  <c r="AR12" i="1"/>
  <c r="T12" i="1"/>
  <c r="AR10" i="1"/>
  <c r="T10" i="1"/>
  <c r="E19" i="69"/>
  <c r="E19" i="68"/>
  <c r="E19" i="11"/>
  <c r="E1" i="73"/>
  <c r="G22" i="69"/>
  <c r="G22" i="68"/>
  <c r="G26" i="12"/>
  <c r="G22" i="11"/>
  <c r="C100" i="43"/>
  <c r="E11" i="43"/>
  <c r="E10" i="43"/>
  <c r="E9" i="43"/>
  <c r="E8" i="43"/>
  <c r="C7" i="43"/>
  <c r="E81" i="43"/>
  <c r="B79" i="43"/>
  <c r="E48" i="43"/>
  <c r="B46" i="43" s="1"/>
  <c r="E70" i="43"/>
  <c r="B68" i="43" s="1"/>
  <c r="F100" i="43"/>
  <c r="H17" i="43"/>
  <c r="H85" i="43"/>
  <c r="H81" i="43"/>
  <c r="H84" i="43"/>
  <c r="H88" i="43"/>
  <c r="H53" i="43"/>
  <c r="H78" i="43"/>
  <c r="H71" i="43"/>
  <c r="C17" i="43"/>
  <c r="F33" i="43"/>
  <c r="K17" i="43"/>
  <c r="F34" i="43"/>
  <c r="N6" i="43"/>
  <c r="N3" i="43"/>
  <c r="F38" i="43"/>
  <c r="F37" i="43"/>
  <c r="M9" i="43"/>
  <c r="N5" i="43"/>
  <c r="F59" i="43" s="1"/>
  <c r="M12" i="43"/>
  <c r="B19" i="53"/>
  <c r="B37" i="72" s="1"/>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c r="C4" i="12"/>
  <c r="H55" i="43"/>
  <c r="H56" i="43"/>
  <c r="H72"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AR11" i="1"/>
  <c r="E59" i="40"/>
  <c r="T13" i="1"/>
  <c r="AA39" i="40"/>
  <c r="S39" i="40"/>
  <c r="S12" i="33"/>
  <c r="AA12" i="33"/>
  <c r="J32" i="39"/>
  <c r="H107" i="39"/>
  <c r="I107" i="39" s="1"/>
  <c r="J107" i="39" s="1"/>
  <c r="K107" i="39" s="1"/>
  <c r="L107" i="39" s="1"/>
  <c r="M107" i="39" s="1"/>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AC11" i="37" s="1"/>
  <c r="W10" i="37"/>
  <c r="AC10" i="37"/>
  <c r="U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W11" i="37"/>
  <c r="F34" i="11"/>
  <c r="C36" i="11" s="1"/>
  <c r="F11" i="12"/>
  <c r="C23" i="12" s="1"/>
  <c r="F34" i="68"/>
  <c r="AE8"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51" i="43"/>
  <c r="M4" i="43"/>
  <c r="M5" i="43"/>
  <c r="C6" i="43" s="1"/>
  <c r="N12" i="43"/>
  <c r="N11" i="43"/>
  <c r="M10" i="43"/>
  <c r="M2" i="43"/>
  <c r="M7" i="43"/>
  <c r="H70" i="43"/>
  <c r="H54" i="43"/>
  <c r="N9" i="43"/>
  <c r="M8" i="43"/>
  <c r="N10" i="43"/>
  <c r="H48" i="43"/>
  <c r="H74" i="43"/>
  <c r="M6" i="43"/>
  <c r="N7" i="43"/>
  <c r="N4" i="43"/>
  <c r="N2" i="43"/>
  <c r="H49" i="43"/>
  <c r="N17" i="43"/>
  <c r="L17" i="43"/>
  <c r="O17" i="43"/>
  <c r="M17" i="43"/>
  <c r="E17" i="43"/>
  <c r="C70" i="39"/>
  <c r="D68" i="39"/>
  <c r="D70" i="39" s="1"/>
  <c r="C17" i="71"/>
  <c r="D17" i="71" s="1"/>
  <c r="D18" i="71"/>
  <c r="D19" i="71"/>
  <c r="U19" i="71" s="1"/>
  <c r="S19" i="71"/>
  <c r="T19" i="71"/>
  <c r="AB17" i="71"/>
  <c r="X15" i="71"/>
  <c r="X14" i="71"/>
  <c r="AA15" i="71"/>
  <c r="AA14" i="71"/>
  <c r="X18" i="71"/>
  <c r="Y14" i="71"/>
  <c r="Z14" i="71" s="1"/>
  <c r="AB15" i="71"/>
  <c r="AB14" i="71"/>
  <c r="S15" i="71"/>
  <c r="C94" i="9"/>
  <c r="C92" i="9"/>
  <c r="F16" i="71"/>
  <c r="F15" i="71" s="1"/>
  <c r="F14" i="71" s="1"/>
  <c r="F13" i="71" s="1"/>
  <c r="F12" i="71" s="1"/>
  <c r="Y15" i="71"/>
  <c r="Z15" i="71" s="1"/>
  <c r="X3" i="71"/>
  <c r="C16" i="71"/>
  <c r="C15" i="71" s="1"/>
  <c r="D16" i="71"/>
  <c r="B8" i="76"/>
  <c r="F42" i="15"/>
  <c r="F38" i="67"/>
  <c r="F6" i="67"/>
  <c r="D2" i="37"/>
  <c r="M23" i="15"/>
  <c r="F13" i="15"/>
  <c r="F8" i="15"/>
  <c r="M8" i="15"/>
  <c r="M6" i="67"/>
  <c r="F4" i="73"/>
  <c r="D6" i="73"/>
  <c r="F38" i="15"/>
  <c r="C76" i="67"/>
  <c r="M23" i="67"/>
  <c r="E9" i="76"/>
  <c r="F3" i="73"/>
  <c r="D9" i="69"/>
  <c r="L48" i="67"/>
  <c r="F36" i="67"/>
  <c r="M22" i="15"/>
  <c r="M22" i="67"/>
  <c r="D2" i="21"/>
  <c r="E12" i="76"/>
  <c r="E2" i="69"/>
  <c r="F36" i="15"/>
  <c r="M6" i="15"/>
  <c r="M21" i="15"/>
  <c r="C36" i="69"/>
  <c r="AO9" i="1"/>
  <c r="M28" i="67"/>
  <c r="E10" i="76"/>
  <c r="F6" i="15"/>
  <c r="J15" i="67"/>
  <c r="B10" i="76"/>
  <c r="M26" i="67"/>
  <c r="M24" i="15"/>
  <c r="J15" i="15"/>
  <c r="B12" i="76"/>
  <c r="D2" i="36"/>
  <c r="F40" i="15"/>
  <c r="AO12" i="1"/>
  <c r="D2" i="35"/>
  <c r="M29" i="67"/>
  <c r="AO8" i="1"/>
  <c r="D2" i="34"/>
  <c r="F35" i="15"/>
  <c r="D2" i="33"/>
  <c r="M29" i="15"/>
  <c r="C76" i="15"/>
  <c r="AO13" i="1"/>
  <c r="D4" i="73"/>
  <c r="F7" i="73"/>
  <c r="L48" i="15"/>
  <c r="F13" i="67"/>
  <c r="F26" i="67"/>
  <c r="F37" i="67"/>
  <c r="M8" i="67"/>
  <c r="F41" i="15"/>
  <c r="F16" i="15"/>
  <c r="E11" i="76"/>
  <c r="L47" i="15"/>
  <c r="M9" i="67"/>
  <c r="F9" i="67"/>
  <c r="D5" i="73"/>
  <c r="B11" i="76"/>
  <c r="E2" i="68"/>
  <c r="D7" i="73"/>
  <c r="F6" i="73"/>
  <c r="F7" i="67"/>
  <c r="F16" i="67"/>
  <c r="F37" i="15"/>
  <c r="E7" i="76"/>
  <c r="B7" i="76"/>
  <c r="M24" i="67"/>
  <c r="F8" i="67"/>
  <c r="D3" i="73"/>
  <c r="AO10" i="1"/>
  <c r="M27" i="67"/>
  <c r="AO11" i="1"/>
  <c r="B13" i="76"/>
  <c r="E13" i="76"/>
  <c r="L47" i="67"/>
  <c r="F20" i="31"/>
  <c r="M26" i="15"/>
  <c r="F40" i="67"/>
  <c r="E8" i="76"/>
  <c r="M9" i="15"/>
  <c r="F42" i="67"/>
  <c r="F43" i="15"/>
  <c r="B9" i="76"/>
  <c r="F5" i="73"/>
  <c r="F26" i="15"/>
  <c r="M28" i="15"/>
  <c r="M27" i="15"/>
  <c r="F43" i="67"/>
  <c r="F9" i="15"/>
  <c r="F7" i="15"/>
  <c r="C14" i="71" l="1"/>
  <c r="T15" i="71"/>
  <c r="D15" i="71"/>
  <c r="U15" i="71" s="1"/>
  <c r="D16" i="53"/>
  <c r="AZ13" i="3"/>
  <c r="S43" i="34"/>
  <c r="S32" i="37"/>
  <c r="AC34" i="33"/>
  <c r="AZ369" i="3"/>
  <c r="AZ310" i="3"/>
  <c r="AZ527" i="3"/>
  <c r="AZ543" i="3"/>
  <c r="AZ559" i="3"/>
  <c r="AC35" i="40"/>
  <c r="W35" i="40"/>
  <c r="AB31" i="34"/>
  <c r="U31" i="34"/>
  <c r="AC44" i="21"/>
  <c r="W44" i="21"/>
  <c r="AB14" i="37"/>
  <c r="U14" i="37"/>
  <c r="U27" i="37"/>
  <c r="AB27" i="37"/>
  <c r="G87" i="35"/>
  <c r="H87" i="35" s="1"/>
  <c r="F29" i="35"/>
  <c r="S29" i="35" s="1"/>
  <c r="F48" i="9"/>
  <c r="O52" i="9" s="1"/>
  <c r="F52" i="79"/>
  <c r="F48" i="79"/>
  <c r="O52" i="79" s="1"/>
  <c r="F32" i="78"/>
  <c r="F60" i="78" s="1"/>
  <c r="F28" i="78"/>
  <c r="M18" i="78"/>
  <c r="D68" i="79"/>
  <c r="F54" i="79"/>
  <c r="F53" i="79"/>
  <c r="E15" i="6"/>
  <c r="S41" i="34"/>
  <c r="AA41" i="34"/>
  <c r="AZ571" i="3"/>
  <c r="AZ575" i="3"/>
  <c r="AC14" i="37"/>
  <c r="W14" i="37"/>
  <c r="U13" i="34"/>
  <c r="AB13" i="34"/>
  <c r="AB11" i="33"/>
  <c r="U11" i="33"/>
  <c r="U37" i="34"/>
  <c r="AB37" i="34"/>
  <c r="U17" i="34"/>
  <c r="AB17" i="34"/>
  <c r="U12" i="35"/>
  <c r="AB12" i="35"/>
  <c r="BA551" i="3"/>
  <c r="AZ551" i="3" s="1"/>
  <c r="BL548" i="3"/>
  <c r="AZ311" i="3"/>
  <c r="AZ389" i="3"/>
  <c r="AZ382" i="3"/>
  <c r="AZ364" i="3"/>
  <c r="AZ356" i="3"/>
  <c r="AZ342" i="3"/>
  <c r="AZ376" i="3"/>
  <c r="AZ362" i="3"/>
  <c r="AZ343" i="3"/>
  <c r="AZ341" i="3"/>
  <c r="AZ309" i="3"/>
  <c r="AZ503" i="3"/>
  <c r="AZ523" i="3"/>
  <c r="AZ531" i="3"/>
  <c r="AZ539" i="3"/>
  <c r="AZ547" i="3"/>
  <c r="AZ553" i="3"/>
  <c r="AZ583" i="3"/>
  <c r="AZ581" i="3"/>
  <c r="AZ506" i="3"/>
  <c r="AZ526" i="3"/>
  <c r="AZ548" i="3"/>
  <c r="AZ566" i="3"/>
  <c r="AZ574" i="3"/>
  <c r="AZ582" i="3"/>
  <c r="AZ502" i="3"/>
  <c r="AZ584" i="3"/>
  <c r="W35" i="39"/>
  <c r="F44" i="21"/>
  <c r="U23" i="40"/>
  <c r="S8" i="33"/>
  <c r="W40" i="33"/>
  <c r="S26" i="33"/>
  <c r="F27" i="34"/>
  <c r="S35" i="34"/>
  <c r="AA39" i="37"/>
  <c r="F12" i="36"/>
  <c r="AC16" i="36"/>
  <c r="J34" i="36"/>
  <c r="W34" i="36" s="1"/>
  <c r="AA12" i="34"/>
  <c r="C15" i="39"/>
  <c r="C27" i="39"/>
  <c r="S34" i="21"/>
  <c r="S40" i="21"/>
  <c r="J33" i="36"/>
  <c r="AA31" i="36"/>
  <c r="J44" i="39"/>
  <c r="BL586" i="3"/>
  <c r="AZ586" i="3" s="1"/>
  <c r="J23" i="35"/>
  <c r="H12" i="36"/>
  <c r="J25" i="37"/>
  <c r="F26" i="37"/>
  <c r="G570" i="3"/>
  <c r="G556" i="3"/>
  <c r="BL550" i="3"/>
  <c r="BA550" i="3"/>
  <c r="AZ550" i="3" s="1"/>
  <c r="G526" i="3"/>
  <c r="M20" i="15"/>
  <c r="F34" i="78"/>
  <c r="F62" i="78" s="1"/>
  <c r="M20" i="78"/>
  <c r="G14" i="3"/>
  <c r="G5" i="3" s="1"/>
  <c r="B3" i="3" s="1"/>
  <c r="D78" i="9"/>
  <c r="D93" i="79"/>
  <c r="D78" i="79"/>
  <c r="A15" i="62"/>
  <c r="B61" i="72" s="1"/>
  <c r="G398" i="3"/>
  <c r="BL398" i="3"/>
  <c r="BA399" i="3"/>
  <c r="AZ399" i="3" s="1"/>
  <c r="BL401" i="3"/>
  <c r="AZ401" i="3" s="1"/>
  <c r="G403" i="3"/>
  <c r="G405" i="3"/>
  <c r="BL405" i="3"/>
  <c r="G407" i="3"/>
  <c r="AZ434"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BA429" i="3"/>
  <c r="AZ429" i="3" s="1"/>
  <c r="BA430" i="3"/>
  <c r="AZ430" i="3" s="1"/>
  <c r="BA431" i="3"/>
  <c r="AZ431" i="3" s="1"/>
  <c r="G433" i="3"/>
  <c r="G434" i="3"/>
  <c r="G436" i="3"/>
  <c r="G437" i="3"/>
  <c r="G438" i="3"/>
  <c r="AZ450" i="3"/>
  <c r="AZ454" i="3"/>
  <c r="AZ458" i="3"/>
  <c r="AZ462" i="3"/>
  <c r="AZ469" i="3"/>
  <c r="AZ481" i="3"/>
  <c r="AZ487" i="3"/>
  <c r="G196" i="3"/>
  <c r="BA197" i="3"/>
  <c r="AZ197" i="3" s="1"/>
  <c r="BA198" i="3"/>
  <c r="AZ198" i="3" s="1"/>
  <c r="BL199" i="3"/>
  <c r="AZ199" i="3" s="1"/>
  <c r="BA438" i="3"/>
  <c r="AZ438" i="3" s="1"/>
  <c r="BL438" i="3"/>
  <c r="BA439" i="3"/>
  <c r="AZ439" i="3" s="1"/>
  <c r="BL441" i="3"/>
  <c r="AZ441" i="3" s="1"/>
  <c r="G443" i="3"/>
  <c r="G445" i="3"/>
  <c r="BL445" i="3"/>
  <c r="G447" i="3"/>
  <c r="BL447" i="3"/>
  <c r="AZ447" i="3" s="1"/>
  <c r="BA448" i="3"/>
  <c r="AZ448" i="3" s="1"/>
  <c r="BA451" i="3"/>
  <c r="AZ451" i="3" s="1"/>
  <c r="BL451" i="3"/>
  <c r="BA452" i="3"/>
  <c r="AZ452" i="3" s="1"/>
  <c r="G457" i="3"/>
  <c r="G458" i="3"/>
  <c r="G460" i="3"/>
  <c r="G461" i="3"/>
  <c r="G462" i="3"/>
  <c r="BA463" i="3"/>
  <c r="AZ463" i="3" s="1"/>
  <c r="BL465" i="3"/>
  <c r="AZ465" i="3" s="1"/>
  <c r="BA466" i="3"/>
  <c r="AZ466" i="3" s="1"/>
  <c r="BA467" i="3"/>
  <c r="AZ467" i="3" s="1"/>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G311" i="3"/>
  <c r="G315" i="3"/>
  <c r="BA317" i="3"/>
  <c r="AZ317" i="3" s="1"/>
  <c r="G323" i="3"/>
  <c r="G327" i="3"/>
  <c r="G331" i="3"/>
  <c r="BA333" i="3"/>
  <c r="AZ333" i="3" s="1"/>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AZ228" i="3" s="1"/>
  <c r="G231" i="3"/>
  <c r="BL231" i="3"/>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G300" i="3"/>
  <c r="BL300" i="3"/>
  <c r="AZ300" i="3" s="1"/>
  <c r="BA301" i="3"/>
  <c r="AZ301" i="3" s="1"/>
  <c r="BL114" i="3"/>
  <c r="AZ114" i="3" s="1"/>
  <c r="BA116" i="3"/>
  <c r="AZ116" i="3" s="1"/>
  <c r="G118" i="3"/>
  <c r="BL118" i="3"/>
  <c r="BA120" i="3"/>
  <c r="AZ120" i="3" s="1"/>
  <c r="BL121"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D53" i="71"/>
  <c r="C54" i="71"/>
  <c r="BA201" i="3"/>
  <c r="AZ201" i="3" s="1"/>
  <c r="BA202" i="3"/>
  <c r="AZ202" i="3" s="1"/>
  <c r="BL203" i="3"/>
  <c r="AZ203" i="3" s="1"/>
  <c r="BL206" i="3"/>
  <c r="AZ206" i="3" s="1"/>
  <c r="BA207" i="3"/>
  <c r="AZ207" i="3" s="1"/>
  <c r="BL19" i="3"/>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G1" i="78"/>
  <c r="G8" i="1"/>
  <c r="T39" i="71"/>
  <c r="D39" i="71"/>
  <c r="T35" i="71"/>
  <c r="D35" i="71"/>
  <c r="M19" i="43" s="1"/>
  <c r="D25" i="71"/>
  <c r="C26" i="71"/>
  <c r="C42" i="71"/>
  <c r="D42" i="71" s="1"/>
  <c r="D41" i="71"/>
  <c r="E18" i="71"/>
  <c r="E17" i="71" s="1"/>
  <c r="E16" i="71" s="1"/>
  <c r="E15" i="71" s="1"/>
  <c r="V19" i="71"/>
  <c r="C51" i="10"/>
  <c r="A13" i="51" s="1"/>
  <c r="B11" i="72" s="1"/>
  <c r="A118" i="79"/>
  <c r="A2" i="79"/>
  <c r="AB22" i="71"/>
  <c r="AB20" i="71"/>
  <c r="T23" i="71"/>
  <c r="E59" i="43"/>
  <c r="B57" i="43" s="1"/>
  <c r="C24" i="43" s="1"/>
  <c r="I10" i="66"/>
  <c r="U21" i="21"/>
  <c r="W21" i="34"/>
  <c r="B31" i="71"/>
  <c r="S31" i="71" s="1"/>
  <c r="Y26" i="71"/>
  <c r="Z26" i="71" s="1"/>
  <c r="X24" i="71"/>
  <c r="AB27" i="71"/>
  <c r="E30" i="71"/>
  <c r="E31" i="71" s="1"/>
  <c r="U31" i="71" s="1"/>
  <c r="X29" i="71"/>
  <c r="AB29" i="71"/>
  <c r="F34" i="71"/>
  <c r="F35" i="71" s="1"/>
  <c r="V35" i="71" s="1"/>
  <c r="AA32" i="71"/>
  <c r="B58" i="71"/>
  <c r="B59" i="71" s="1"/>
  <c r="S59" i="71" s="1"/>
  <c r="N56" i="79"/>
  <c r="K56" i="79"/>
  <c r="M56" i="79"/>
  <c r="J56" i="79"/>
  <c r="J57" i="79" s="1"/>
  <c r="J59" i="79" s="1"/>
  <c r="J61" i="79" s="1"/>
  <c r="C13" i="12"/>
  <c r="C28" i="78"/>
  <c r="C77" i="79"/>
  <c r="C74" i="79" s="1"/>
  <c r="F9" i="1"/>
  <c r="G9" i="1" s="1"/>
  <c r="G6" i="1"/>
  <c r="F7" i="1"/>
  <c r="G7" i="1" s="1"/>
  <c r="G16" i="1" s="1"/>
  <c r="M47" i="79"/>
  <c r="J51" i="78"/>
  <c r="E60" i="40"/>
  <c r="E65" i="39"/>
  <c r="M7" i="1"/>
  <c r="O7" i="1" s="1"/>
  <c r="F66" i="35"/>
  <c r="G66" i="35" s="1"/>
  <c r="H16" i="35"/>
  <c r="J16" i="35"/>
  <c r="AC16" i="35" s="1"/>
  <c r="F16" i="35"/>
  <c r="F64" i="35"/>
  <c r="G64" i="35" s="1"/>
  <c r="J14" i="35"/>
  <c r="W14" i="35" s="1"/>
  <c r="F14" i="35"/>
  <c r="AA14" i="35" s="1"/>
  <c r="H14" i="35"/>
  <c r="S14" i="35"/>
  <c r="AA29" i="35"/>
  <c r="F70" i="35"/>
  <c r="G70" i="35" s="1"/>
  <c r="F20" i="35"/>
  <c r="J20" i="35"/>
  <c r="H20" i="35"/>
  <c r="U18" i="35"/>
  <c r="S18" i="35"/>
  <c r="W16" i="35"/>
  <c r="H62" i="43"/>
  <c r="H65" i="43"/>
  <c r="H63" i="43"/>
  <c r="H67" i="43"/>
  <c r="H60" i="43"/>
  <c r="H66" i="43"/>
  <c r="H64" i="43"/>
  <c r="H59" i="43"/>
  <c r="H61" i="43"/>
  <c r="G17" i="43"/>
  <c r="C16" i="43" s="1"/>
  <c r="C5" i="43" s="1"/>
  <c r="H50" i="43"/>
  <c r="C9" i="69"/>
  <c r="F26" i="35"/>
  <c r="J26" i="35"/>
  <c r="H26" i="35"/>
  <c r="AC11" i="34"/>
  <c r="AA11" i="34"/>
  <c r="W8" i="34"/>
  <c r="K5" i="4"/>
  <c r="B47" i="48" s="1"/>
  <c r="D5" i="43"/>
  <c r="F32" i="67"/>
  <c r="F60" i="67" s="1"/>
  <c r="F54" i="9"/>
  <c r="F28" i="15"/>
  <c r="C28" i="15" s="1"/>
  <c r="F28" i="67"/>
  <c r="C28" i="67" s="1"/>
  <c r="F32" i="15"/>
  <c r="F60" i="15" s="1"/>
  <c r="F52" i="9"/>
  <c r="F30" i="68"/>
  <c r="F48" i="68" s="1"/>
  <c r="D68" i="9"/>
  <c r="M18" i="15"/>
  <c r="F30" i="69"/>
  <c r="M18" i="67"/>
  <c r="F31" i="12"/>
  <c r="F30" i="11"/>
  <c r="F53" i="9"/>
  <c r="D22" i="67"/>
  <c r="D125" i="9"/>
  <c r="D11" i="52" s="1"/>
  <c r="D10" i="52"/>
  <c r="E68" i="39"/>
  <c r="C24" i="12"/>
  <c r="C77" i="9"/>
  <c r="C74" i="9" s="1"/>
  <c r="L27" i="6"/>
  <c r="H16" i="1"/>
  <c r="Q16" i="1"/>
  <c r="D9" i="68"/>
  <c r="C9" i="68" s="1"/>
  <c r="D19" i="12"/>
  <c r="C19" i="12" s="1"/>
  <c r="E56" i="40"/>
  <c r="P7" i="1"/>
  <c r="F28" i="6"/>
  <c r="B113" i="43"/>
  <c r="K101" i="43"/>
  <c r="N101" i="43"/>
  <c r="G101" i="43"/>
  <c r="C101" i="43"/>
  <c r="J101" i="43"/>
  <c r="N104" i="46"/>
  <c r="H22" i="43"/>
  <c r="H101" i="43"/>
  <c r="M101" i="43"/>
  <c r="E101" i="43"/>
  <c r="AH11" i="43"/>
  <c r="AD11" i="43"/>
  <c r="Z11" i="43"/>
  <c r="S5" i="43"/>
  <c r="AG11" i="43"/>
  <c r="AC11" i="43"/>
  <c r="Y11" i="43"/>
  <c r="Y13" i="43" s="1"/>
  <c r="S6" i="43"/>
  <c r="S3" i="43"/>
  <c r="J22" i="43"/>
  <c r="F22" i="43"/>
  <c r="F101" i="43"/>
  <c r="E22" i="43"/>
  <c r="L101" i="43"/>
  <c r="D101" i="43"/>
  <c r="I101" i="43"/>
  <c r="G22" i="43"/>
  <c r="D22" i="43" s="1"/>
  <c r="S2" i="43"/>
  <c r="AJ11" i="43"/>
  <c r="AJ13" i="43" s="1"/>
  <c r="AF11" i="43"/>
  <c r="AF13" i="43" s="1"/>
  <c r="AB11" i="43"/>
  <c r="AB13" i="43" s="1"/>
  <c r="Z7" i="43"/>
  <c r="AI11" i="43"/>
  <c r="AI13" i="43" s="1"/>
  <c r="AE11" i="43"/>
  <c r="AA11" i="43"/>
  <c r="AA13" i="43" s="1"/>
  <c r="C23" i="43"/>
  <c r="S4" i="43"/>
  <c r="S7" i="43"/>
  <c r="E14" i="71"/>
  <c r="E13" i="71" s="1"/>
  <c r="E12" i="71" s="1"/>
  <c r="E11" i="71" s="1"/>
  <c r="V15" i="71"/>
  <c r="D12" i="52"/>
  <c r="D127" i="9"/>
  <c r="D13" i="52" s="1"/>
  <c r="S27" i="36"/>
  <c r="AB12" i="39"/>
  <c r="U12" i="39"/>
  <c r="P9" i="1"/>
  <c r="U27" i="36"/>
  <c r="AB27" i="36"/>
  <c r="H73" i="43"/>
  <c r="H75" i="43"/>
  <c r="AZ321" i="3"/>
  <c r="AB25" i="39"/>
  <c r="U25" i="39"/>
  <c r="S12" i="21"/>
  <c r="AA12" i="21"/>
  <c r="W9" i="34"/>
  <c r="AC9" i="34"/>
  <c r="AC24" i="35"/>
  <c r="W24" i="35"/>
  <c r="AC34" i="35"/>
  <c r="W34" i="35"/>
  <c r="C48" i="69"/>
  <c r="C31" i="12"/>
  <c r="P12" i="1"/>
  <c r="S34" i="33"/>
  <c r="AA34" i="33"/>
  <c r="S27" i="40"/>
  <c r="AA27" i="40"/>
  <c r="U27" i="40"/>
  <c r="AB27" i="40"/>
  <c r="E12" i="6"/>
  <c r="E13" i="6"/>
  <c r="W11" i="39"/>
  <c r="AC11" i="39"/>
  <c r="AB37" i="39"/>
  <c r="U37" i="39"/>
  <c r="W15" i="37"/>
  <c r="AC15" i="37"/>
  <c r="U31" i="37"/>
  <c r="AB31" i="37"/>
  <c r="AZ557" i="3"/>
  <c r="S15" i="37"/>
  <c r="AB33" i="40"/>
  <c r="S14" i="40"/>
  <c r="AA25" i="21"/>
  <c r="W47" i="34"/>
  <c r="AB28" i="37"/>
  <c r="U35" i="35"/>
  <c r="W31" i="34"/>
  <c r="AB30" i="21"/>
  <c r="AA13" i="35"/>
  <c r="S28" i="34"/>
  <c r="S41" i="33"/>
  <c r="AB23" i="34"/>
  <c r="U33" i="35"/>
  <c r="AC34" i="36"/>
  <c r="AC11" i="40"/>
  <c r="AZ398" i="3"/>
  <c r="AZ405" i="3"/>
  <c r="AZ407" i="3"/>
  <c r="AZ410" i="3"/>
  <c r="AZ415" i="3"/>
  <c r="AZ420" i="3"/>
  <c r="AZ426" i="3"/>
  <c r="AZ440" i="3"/>
  <c r="AZ449" i="3"/>
  <c r="AZ453" i="3"/>
  <c r="AZ455" i="3"/>
  <c r="AZ464" i="3"/>
  <c r="AZ468" i="3"/>
  <c r="AZ470" i="3"/>
  <c r="H9" i="34"/>
  <c r="F34" i="35"/>
  <c r="H34" i="35"/>
  <c r="J36" i="35"/>
  <c r="AZ445" i="3"/>
  <c r="AZ474" i="3"/>
  <c r="AZ480" i="3"/>
  <c r="AZ482" i="3"/>
  <c r="AZ486" i="3"/>
  <c r="AZ488" i="3"/>
  <c r="AZ316" i="3"/>
  <c r="AZ332" i="3"/>
  <c r="AZ385" i="3"/>
  <c r="AZ210" i="3"/>
  <c r="AZ225" i="3"/>
  <c r="AZ252" i="3"/>
  <c r="AZ272" i="3"/>
  <c r="AZ276" i="3"/>
  <c r="AZ289" i="3"/>
  <c r="AZ294" i="3"/>
  <c r="AZ298" i="3"/>
  <c r="AZ217" i="3"/>
  <c r="AZ220" i="3"/>
  <c r="AZ231" i="3"/>
  <c r="AZ242" i="3"/>
  <c r="AZ246" i="3"/>
  <c r="AZ267" i="3"/>
  <c r="AZ118" i="3"/>
  <c r="AZ121" i="3"/>
  <c r="AZ134" i="3"/>
  <c r="AZ137" i="3"/>
  <c r="AZ145" i="3"/>
  <c r="AZ161" i="3"/>
  <c r="AZ177" i="3"/>
  <c r="AZ193" i="3"/>
  <c r="AZ34" i="3"/>
  <c r="AZ38" i="3"/>
  <c r="AZ44" i="3"/>
  <c r="AZ48" i="3"/>
  <c r="AZ60" i="3"/>
  <c r="AZ64" i="3"/>
  <c r="AZ78" i="3"/>
  <c r="AZ91" i="3"/>
  <c r="AZ98" i="3"/>
  <c r="AZ104" i="3"/>
  <c r="AZ108" i="3"/>
  <c r="K100" i="43"/>
  <c r="D108" i="43"/>
  <c r="D109" i="43" s="1"/>
  <c r="D100" i="43"/>
  <c r="C25" i="40"/>
  <c r="B75" i="43"/>
  <c r="B66" i="43"/>
  <c r="C29" i="39"/>
  <c r="D59" i="71"/>
  <c r="T59" i="71"/>
  <c r="P60" i="71"/>
  <c r="P61" i="71"/>
  <c r="C31" i="71"/>
  <c r="D30" i="71"/>
  <c r="M108" i="43"/>
  <c r="M109" i="43" s="1"/>
  <c r="M100" i="43"/>
  <c r="I108" i="43"/>
  <c r="I100" i="43"/>
  <c r="E108" i="43"/>
  <c r="E100" i="43"/>
  <c r="F40" i="68"/>
  <c r="C21" i="68"/>
  <c r="C40" i="68"/>
  <c r="C21" i="71"/>
  <c r="D21" i="71" s="1"/>
  <c r="D22" i="71"/>
  <c r="V23" i="71"/>
  <c r="AA23" i="71"/>
  <c r="AA21" i="71"/>
  <c r="AA27" i="71"/>
  <c r="Y24" i="71"/>
  <c r="Z24" i="71" s="1"/>
  <c r="AA28" i="71"/>
  <c r="E34" i="71"/>
  <c r="E35" i="71" s="1"/>
  <c r="U35" i="71" s="1"/>
  <c r="E25" i="71"/>
  <c r="E26" i="71" s="1"/>
  <c r="E27" i="71" s="1"/>
  <c r="U27" i="71" s="1"/>
  <c r="AA24" i="71"/>
  <c r="X25" i="71"/>
  <c r="AB25" i="71"/>
  <c r="B33" i="71"/>
  <c r="B34" i="71" s="1"/>
  <c r="B35" i="71" s="1"/>
  <c r="S35" i="71" s="1"/>
  <c r="X32" i="71"/>
  <c r="AB5" i="71"/>
  <c r="AB34" i="71"/>
  <c r="AI10" i="43"/>
  <c r="X26" i="71"/>
  <c r="X27" i="71"/>
  <c r="X5" i="71"/>
  <c r="X34" i="71"/>
  <c r="AC12" i="43"/>
  <c r="AC13" i="43" s="1"/>
  <c r="AC10" i="43"/>
  <c r="AE12" i="43"/>
  <c r="AE13" i="43" s="1"/>
  <c r="AE10" i="43"/>
  <c r="AG12" i="43"/>
  <c r="AG10" i="43"/>
  <c r="AB19" i="71"/>
  <c r="Y5" i="71"/>
  <c r="Z5" i="71" s="1"/>
  <c r="AA5" i="71"/>
  <c r="S63" i="71"/>
  <c r="B62" i="71"/>
  <c r="Z12" i="43"/>
  <c r="Z13" i="43" s="1"/>
  <c r="Z10" i="43"/>
  <c r="AD12" i="43"/>
  <c r="AD10" i="43"/>
  <c r="AH12" i="43"/>
  <c r="AH13" i="43" s="1"/>
  <c r="AH10" i="43"/>
  <c r="X19" i="71"/>
  <c r="AA19" i="71"/>
  <c r="AA18" i="71"/>
  <c r="X17" i="71"/>
  <c r="AA16" i="71"/>
  <c r="X16" i="71"/>
  <c r="Y13" i="71"/>
  <c r="Z13" i="71" s="1"/>
  <c r="Y9" i="71"/>
  <c r="Z9" i="71" s="1"/>
  <c r="AB7" i="71"/>
  <c r="Y17" i="71"/>
  <c r="Z17" i="71" s="1"/>
  <c r="AB18" i="71"/>
  <c r="AB16" i="71"/>
  <c r="X9" i="71"/>
  <c r="Y12" i="71"/>
  <c r="Z12" i="71" s="1"/>
  <c r="AA9" i="71"/>
  <c r="AB13" i="71"/>
  <c r="P74" i="67"/>
  <c r="Y19" i="71"/>
  <c r="Z19" i="71" s="1"/>
  <c r="Y16" i="71"/>
  <c r="Z16" i="71" s="1"/>
  <c r="AA17" i="71"/>
  <c r="X13" i="71"/>
  <c r="AA13" i="71"/>
  <c r="X10" i="71"/>
  <c r="AA10" i="71"/>
  <c r="AA7" i="71"/>
  <c r="AA8" i="71"/>
  <c r="X6" i="71"/>
  <c r="X8" i="71"/>
  <c r="AB6" i="71"/>
  <c r="Y8" i="71"/>
  <c r="Z8" i="71" s="1"/>
  <c r="Y7" i="71"/>
  <c r="Z7" i="71" s="1"/>
  <c r="Y18" i="71"/>
  <c r="Z18" i="71" s="1"/>
  <c r="AB10" i="71"/>
  <c r="X12" i="71"/>
  <c r="AA12" i="71"/>
  <c r="AB12" i="71"/>
  <c r="AA6" i="71"/>
  <c r="X7" i="71"/>
  <c r="AB8" i="71"/>
  <c r="AB9" i="71"/>
  <c r="Y6" i="71"/>
  <c r="Z6"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B11" i="71"/>
  <c r="X11" i="71"/>
  <c r="AB11" i="71"/>
  <c r="Z10" i="71"/>
  <c r="Y3" i="71"/>
  <c r="Z3" i="71" s="1"/>
  <c r="F11" i="7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L48" i="78"/>
  <c r="C14" i="15"/>
  <c r="C17" i="15"/>
  <c r="G1" i="73"/>
  <c r="C16" i="67"/>
  <c r="F27" i="69"/>
  <c r="C16" i="15"/>
  <c r="AG13" i="43" l="1"/>
  <c r="E18" i="3"/>
  <c r="E96" i="3"/>
  <c r="E129" i="3"/>
  <c r="E190" i="3"/>
  <c r="E174" i="3"/>
  <c r="E275" i="3"/>
  <c r="E235" i="3"/>
  <c r="E324" i="3"/>
  <c r="E383" i="3"/>
  <c r="E342" i="3"/>
  <c r="E522" i="3"/>
  <c r="E35" i="3"/>
  <c r="E86" i="3"/>
  <c r="E49" i="3"/>
  <c r="E206" i="3"/>
  <c r="E232" i="3"/>
  <c r="E251" i="3"/>
  <c r="E370" i="3"/>
  <c r="AF6" i="3"/>
  <c r="E102" i="3"/>
  <c r="E80" i="3"/>
  <c r="E113" i="3"/>
  <c r="E158" i="3"/>
  <c r="E287" i="3"/>
  <c r="E308" i="3"/>
  <c r="E326" i="3"/>
  <c r="E22" i="3"/>
  <c r="E83" i="3"/>
  <c r="E79" i="3"/>
  <c r="E100" i="3"/>
  <c r="E137" i="3"/>
  <c r="E194" i="3"/>
  <c r="E234" i="3"/>
  <c r="E219" i="3"/>
  <c r="E299" i="3"/>
  <c r="E339" i="3"/>
  <c r="E325" i="3"/>
  <c r="E392" i="3"/>
  <c r="AQ6" i="3"/>
  <c r="E52" i="3"/>
  <c r="E36" i="3"/>
  <c r="E112" i="3"/>
  <c r="E147" i="3"/>
  <c r="E289" i="3"/>
  <c r="E340" i="3"/>
  <c r="E364" i="3"/>
  <c r="E50" i="3"/>
  <c r="E20" i="3"/>
  <c r="E62" i="3"/>
  <c r="E218" i="3"/>
  <c r="E365" i="3"/>
  <c r="E524" i="3"/>
  <c r="E101"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C19" i="43"/>
  <c r="I21" i="66"/>
  <c r="D1" i="66"/>
  <c r="E10" i="66" s="1"/>
  <c r="D26" i="71"/>
  <c r="C27" i="71"/>
  <c r="E34" i="3"/>
  <c r="AZ22" i="3"/>
  <c r="BA5" i="3"/>
  <c r="E27" i="6" s="1"/>
  <c r="AZ19" i="3"/>
  <c r="BL5" i="3"/>
  <c r="D54" i="71"/>
  <c r="C55" i="71"/>
  <c r="E170" i="3"/>
  <c r="E123" i="3"/>
  <c r="AA26" i="37"/>
  <c r="S26" i="37"/>
  <c r="AB12" i="36"/>
  <c r="U12" i="36"/>
  <c r="AA27" i="34"/>
  <c r="S27" i="34"/>
  <c r="B34" i="72"/>
  <c r="D17" i="53"/>
  <c r="B36" i="72" s="1"/>
  <c r="J7" i="34"/>
  <c r="E78" i="3"/>
  <c r="E38" i="3"/>
  <c r="E176" i="3"/>
  <c r="E265" i="3"/>
  <c r="E220" i="3"/>
  <c r="AZ422" i="3"/>
  <c r="AC25" i="37"/>
  <c r="W25" i="37"/>
  <c r="AC23" i="35"/>
  <c r="W23" i="35"/>
  <c r="AC44" i="39"/>
  <c r="W44" i="39"/>
  <c r="W33" i="36"/>
  <c r="AC33" i="36"/>
  <c r="AA12" i="36"/>
  <c r="S12" i="36"/>
  <c r="AA44" i="21"/>
  <c r="S44" i="21"/>
  <c r="I87" i="35"/>
  <c r="J87" i="35" s="1"/>
  <c r="K87" i="35" s="1"/>
  <c r="L87" i="35" s="1"/>
  <c r="M87" i="35" s="1"/>
  <c r="J29" i="35"/>
  <c r="H29" i="35"/>
  <c r="C13" i="71"/>
  <c r="D14" i="71"/>
  <c r="L56" i="78"/>
  <c r="L60" i="78"/>
  <c r="L57" i="78"/>
  <c r="F10" i="39"/>
  <c r="F10" i="40"/>
  <c r="J53" i="78"/>
  <c r="I54" i="78"/>
  <c r="J59" i="78"/>
  <c r="J57" i="78"/>
  <c r="J55" i="78" s="1"/>
  <c r="J58" i="78" s="1"/>
  <c r="Q50" i="78" s="1"/>
  <c r="J60" i="78"/>
  <c r="Q48" i="78" s="1"/>
  <c r="C21" i="43"/>
  <c r="S16" i="35"/>
  <c r="AA16" i="35"/>
  <c r="U16" i="35"/>
  <c r="AB16" i="35"/>
  <c r="AB14" i="35"/>
  <c r="U14" i="35"/>
  <c r="AC14" i="35"/>
  <c r="U20" i="35"/>
  <c r="AB20" i="35"/>
  <c r="AA20" i="35"/>
  <c r="S20" i="35"/>
  <c r="W20" i="35"/>
  <c r="AC20" i="35"/>
  <c r="C47" i="69"/>
  <c r="D45" i="69" s="1"/>
  <c r="AC26" i="35"/>
  <c r="W26" i="35"/>
  <c r="AB26" i="35"/>
  <c r="U26" i="35"/>
  <c r="AA26" i="35"/>
  <c r="S26" i="35"/>
  <c r="M11" i="78"/>
  <c r="J10" i="78" s="1"/>
  <c r="F11" i="78"/>
  <c r="C30" i="68"/>
  <c r="C48" i="68"/>
  <c r="F48" i="69"/>
  <c r="C30" i="69"/>
  <c r="C48" i="11"/>
  <c r="C30" i="11"/>
  <c r="F45" i="69"/>
  <c r="C29" i="69"/>
  <c r="D27" i="69" s="1"/>
  <c r="F68" i="39"/>
  <c r="E70" i="39"/>
  <c r="F27" i="68"/>
  <c r="C29" i="68" s="1"/>
  <c r="D27" i="68" s="1"/>
  <c r="F28" i="12"/>
  <c r="C29" i="12" s="1"/>
  <c r="D28" i="12" s="1"/>
  <c r="F27" i="11"/>
  <c r="C47" i="11" s="1"/>
  <c r="D45" i="11" s="1"/>
  <c r="H10" i="39"/>
  <c r="AB10" i="39" s="1"/>
  <c r="C15" i="15"/>
  <c r="C18" i="15"/>
  <c r="J10" i="40"/>
  <c r="AD13" i="43"/>
  <c r="E109" i="43"/>
  <c r="I109" i="43"/>
  <c r="F30" i="6"/>
  <c r="F31" i="6" s="1"/>
  <c r="E28" i="6"/>
  <c r="D103" i="43"/>
  <c r="D104" i="43"/>
  <c r="D107" i="43"/>
  <c r="D105" i="43"/>
  <c r="D106" i="43"/>
  <c r="D102" i="43"/>
  <c r="M102" i="43"/>
  <c r="M106" i="43"/>
  <c r="M103" i="43"/>
  <c r="M104" i="43"/>
  <c r="M107" i="43"/>
  <c r="M105" i="43"/>
  <c r="J105" i="43"/>
  <c r="J103" i="43"/>
  <c r="J106" i="43"/>
  <c r="J109" i="43"/>
  <c r="J104" i="43"/>
  <c r="J107" i="43"/>
  <c r="J102" i="43"/>
  <c r="G102" i="43"/>
  <c r="G103" i="43"/>
  <c r="G105" i="43"/>
  <c r="G107" i="43"/>
  <c r="G104" i="43"/>
  <c r="G106" i="43"/>
  <c r="G109" i="43"/>
  <c r="K103" i="43"/>
  <c r="K107" i="43"/>
  <c r="K104" i="43"/>
  <c r="K106" i="43"/>
  <c r="K109" i="43"/>
  <c r="K102" i="43"/>
  <c r="K105" i="43"/>
  <c r="I102" i="43"/>
  <c r="I106" i="43"/>
  <c r="I103" i="43"/>
  <c r="I104" i="43"/>
  <c r="I107" i="43"/>
  <c r="I105" i="43"/>
  <c r="L109" i="43"/>
  <c r="L102" i="43"/>
  <c r="L105" i="43"/>
  <c r="L104" i="43"/>
  <c r="L106" i="43"/>
  <c r="L107" i="43"/>
  <c r="L103" i="43"/>
  <c r="F104" i="43"/>
  <c r="F107" i="43"/>
  <c r="F106" i="43"/>
  <c r="F103" i="43"/>
  <c r="F109" i="43"/>
  <c r="F102" i="43"/>
  <c r="F105" i="43"/>
  <c r="E102" i="43"/>
  <c r="E106" i="43"/>
  <c r="E103" i="43"/>
  <c r="E104" i="43"/>
  <c r="E107" i="43"/>
  <c r="E105" i="43"/>
  <c r="H102" i="43"/>
  <c r="H103" i="43"/>
  <c r="H104" i="43"/>
  <c r="H107" i="43"/>
  <c r="H106" i="43"/>
  <c r="H105" i="43"/>
  <c r="H109" i="43"/>
  <c r="C105" i="43"/>
  <c r="C102" i="43"/>
  <c r="C104" i="43"/>
  <c r="C106" i="43"/>
  <c r="C107" i="43"/>
  <c r="C103" i="43"/>
  <c r="C109" i="43"/>
  <c r="N102" i="43"/>
  <c r="N103" i="43"/>
  <c r="N106" i="43"/>
  <c r="N107" i="43"/>
  <c r="N109" i="43"/>
  <c r="N105" i="43"/>
  <c r="N104"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B115" i="43"/>
  <c r="I115" i="43"/>
  <c r="J115" i="43" s="1"/>
  <c r="K115" i="43" s="1"/>
  <c r="L115" i="43" s="1"/>
  <c r="M115" i="43" s="1"/>
  <c r="D118" i="43"/>
  <c r="E118" i="43" s="1"/>
  <c r="F118" i="43" s="1"/>
  <c r="G118" i="43"/>
  <c r="H118" i="43" s="1"/>
  <c r="B118" i="43"/>
  <c r="C118" i="43" s="1"/>
  <c r="B117" i="43"/>
  <c r="C117" i="43" s="1"/>
  <c r="D115" i="43"/>
  <c r="E115" i="43" s="1"/>
  <c r="F115" i="43" s="1"/>
  <c r="G115" i="43" s="1"/>
  <c r="H115" i="43" s="1"/>
  <c r="B10" i="71"/>
  <c r="B9" i="71" s="1"/>
  <c r="B8" i="71" s="1"/>
  <c r="B7" i="71" s="1"/>
  <c r="S11" i="71"/>
  <c r="N62" i="71"/>
  <c r="B61" i="71"/>
  <c r="AZ5" i="3"/>
  <c r="W36" i="35"/>
  <c r="AC36" i="35"/>
  <c r="S34" i="35"/>
  <c r="AA34" i="35"/>
  <c r="E62" i="39"/>
  <c r="E57" i="40"/>
  <c r="E16" i="6"/>
  <c r="J10" i="39"/>
  <c r="AC10" i="39" s="1"/>
  <c r="H10" i="40"/>
  <c r="AB10" i="40" s="1"/>
  <c r="F7" i="36"/>
  <c r="J7" i="37"/>
  <c r="AC7" i="37" s="1"/>
  <c r="V42" i="37" s="1"/>
  <c r="I42" i="37" s="1"/>
  <c r="H7" i="36"/>
  <c r="H7" i="34"/>
  <c r="U7" i="34" s="1"/>
  <c r="F7" i="34"/>
  <c r="AA7" i="34" s="1"/>
  <c r="D31" i="71"/>
  <c r="T31" i="71"/>
  <c r="AB34" i="35"/>
  <c r="U34" i="35"/>
  <c r="U9" i="34"/>
  <c r="AB9" i="34"/>
  <c r="E58" i="40"/>
  <c r="E63" i="39"/>
  <c r="E10" i="71"/>
  <c r="E9" i="71" s="1"/>
  <c r="E8" i="71" s="1"/>
  <c r="E7" i="71" s="1"/>
  <c r="V11" i="71"/>
  <c r="F59" i="67"/>
  <c r="H7" i="37"/>
  <c r="AB7" i="37" s="1"/>
  <c r="T42" i="37" s="1"/>
  <c r="G42" i="37" s="1"/>
  <c r="B40" i="1"/>
  <c r="F24" i="78" s="1"/>
  <c r="W10" i="39"/>
  <c r="U10" i="40"/>
  <c r="S10" i="39"/>
  <c r="AA10" i="39"/>
  <c r="H7" i="33"/>
  <c r="J7" i="33"/>
  <c r="D65" i="40"/>
  <c r="E63" i="40"/>
  <c r="F48" i="35"/>
  <c r="S7" i="36"/>
  <c r="AA7" i="36"/>
  <c r="R36" i="36" s="1"/>
  <c r="W7" i="37"/>
  <c r="AB7" i="36"/>
  <c r="T36" i="36" s="1"/>
  <c r="G36" i="36" s="1"/>
  <c r="U7" i="36"/>
  <c r="W10" i="40"/>
  <c r="AC10" i="40"/>
  <c r="AA10" i="40"/>
  <c r="S10" i="40"/>
  <c r="F7" i="33"/>
  <c r="E58" i="21"/>
  <c r="AC7" i="36"/>
  <c r="V36" i="36" s="1"/>
  <c r="I36" i="36" s="1"/>
  <c r="W7" i="36"/>
  <c r="F7" i="37"/>
  <c r="W7" i="34"/>
  <c r="AC7" i="34"/>
  <c r="M17" i="67"/>
  <c r="M17" i="15"/>
  <c r="F59" i="15"/>
  <c r="P24" i="43"/>
  <c r="B66" i="40" s="1"/>
  <c r="P21" i="43"/>
  <c r="C49" i="67"/>
  <c r="P25" i="43"/>
  <c r="P23" i="43"/>
  <c r="B71" i="39" s="1"/>
  <c r="C49" i="15"/>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M26" i="78"/>
  <c r="M27" i="78"/>
  <c r="M8" i="78"/>
  <c r="J15" i="78"/>
  <c r="M6" i="78"/>
  <c r="L47" i="78"/>
  <c r="AE6" i="1"/>
  <c r="F7" i="78"/>
  <c r="F8" i="78"/>
  <c r="M22" i="78"/>
  <c r="F16" i="78"/>
  <c r="F37" i="78"/>
  <c r="F26" i="78"/>
  <c r="F36" i="78"/>
  <c r="C76" i="78"/>
  <c r="F9" i="78"/>
  <c r="M24" i="78"/>
  <c r="F43" i="78"/>
  <c r="F42" i="78"/>
  <c r="F13" i="78"/>
  <c r="F6" i="78"/>
  <c r="M23" i="78"/>
  <c r="M28" i="78"/>
  <c r="F38" i="78"/>
  <c r="M29" i="78"/>
  <c r="F40" i="78"/>
  <c r="M9" i="78"/>
  <c r="H6" i="3" l="1"/>
  <c r="AC6" i="3"/>
  <c r="E6" i="3" s="1"/>
  <c r="F66" i="78"/>
  <c r="F68" i="78"/>
  <c r="C6" i="78"/>
  <c r="C10" i="78" s="1"/>
  <c r="C5" i="78" s="1"/>
  <c r="F51" i="78"/>
  <c r="F50" i="78"/>
  <c r="M7" i="78"/>
  <c r="J6" i="78" s="1"/>
  <c r="J18" i="78" s="1"/>
  <c r="F70" i="78"/>
  <c r="F71" i="78"/>
  <c r="L58" i="78"/>
  <c r="Q73" i="78" s="1"/>
  <c r="N59" i="78"/>
  <c r="L59" i="78"/>
  <c r="Q74" i="78" s="1"/>
  <c r="M59" i="78"/>
  <c r="Q71" i="78"/>
  <c r="F64" i="78"/>
  <c r="C27" i="78"/>
  <c r="F65" i="78"/>
  <c r="E41" i="43"/>
  <c r="C41" i="43" s="1"/>
  <c r="C20" i="43"/>
  <c r="AB29" i="35"/>
  <c r="U29" i="35"/>
  <c r="T55" i="71"/>
  <c r="D55" i="71"/>
  <c r="C12" i="71"/>
  <c r="D13" i="71"/>
  <c r="AC29" i="35"/>
  <c r="W29" i="35"/>
  <c r="T27" i="71"/>
  <c r="D27" i="71"/>
  <c r="Q52" i="78"/>
  <c r="F1" i="78"/>
  <c r="L46" i="78"/>
  <c r="Q57" i="78"/>
  <c r="Q66" i="78"/>
  <c r="AB7" i="34"/>
  <c r="S7" i="34"/>
  <c r="C24" i="78"/>
  <c r="C53" i="78"/>
  <c r="G68" i="39"/>
  <c r="F70" i="39"/>
  <c r="C29" i="11"/>
  <c r="D27" i="11" s="1"/>
  <c r="F45" i="68"/>
  <c r="C47" i="68"/>
  <c r="D45" i="68" s="1"/>
  <c r="C19" i="15"/>
  <c r="C20" i="15" s="1"/>
  <c r="C26" i="15" s="1"/>
  <c r="U10" i="39"/>
  <c r="K20" i="6"/>
  <c r="K24" i="6"/>
  <c r="M24" i="6" s="1"/>
  <c r="I24" i="6" s="1"/>
  <c r="S24" i="6" s="1"/>
  <c r="K22" i="6"/>
  <c r="K19" i="6"/>
  <c r="S6" i="1" s="1"/>
  <c r="K21" i="6"/>
  <c r="K26" i="6"/>
  <c r="M26" i="6" s="1"/>
  <c r="I26" i="6" s="1"/>
  <c r="S26" i="6" s="1"/>
  <c r="E30" i="6"/>
  <c r="E31" i="6" s="1"/>
  <c r="K14" i="1"/>
  <c r="K25" i="6"/>
  <c r="M25" i="6" s="1"/>
  <c r="I25" i="6" s="1"/>
  <c r="S25" i="6" s="1"/>
  <c r="K23" i="6"/>
  <c r="M23" i="6" s="1"/>
  <c r="I23" i="6" s="1"/>
  <c r="S23" i="6" s="1"/>
  <c r="E66" i="39"/>
  <c r="C115" i="43"/>
  <c r="D113" i="43" s="1"/>
  <c r="U7" i="37"/>
  <c r="E6" i="71"/>
  <c r="E5" i="71" s="1"/>
  <c r="V7" i="71"/>
  <c r="AY6" i="3"/>
  <c r="E3" i="6"/>
  <c r="N61" i="71"/>
  <c r="N60" i="71"/>
  <c r="B6" i="71"/>
  <c r="B5" i="71" s="1"/>
  <c r="S7" i="7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AE7" i="1"/>
  <c r="C16" i="78"/>
  <c r="C14" i="67"/>
  <c r="C17" i="67"/>
  <c r="Q60" i="78" l="1"/>
  <c r="J5" i="78"/>
  <c r="J26" i="78" s="1"/>
  <c r="Q61" i="78"/>
  <c r="C49" i="78"/>
  <c r="C48" i="78" s="1"/>
  <c r="C39" i="43"/>
  <c r="C38" i="43"/>
  <c r="D12" i="71"/>
  <c r="C11" i="71"/>
  <c r="C35" i="43"/>
  <c r="T16" i="43"/>
  <c r="V16" i="43" s="1"/>
  <c r="T15" i="43"/>
  <c r="V15" i="43" s="1"/>
  <c r="C29" i="43"/>
  <c r="T2" i="43"/>
  <c r="V2" i="43" s="1"/>
  <c r="C33" i="43"/>
  <c r="T6" i="43"/>
  <c r="V6" i="43" s="1"/>
  <c r="C37" i="43"/>
  <c r="C36" i="43"/>
  <c r="C34" i="43"/>
  <c r="T11" i="43"/>
  <c r="V11" i="43" s="1"/>
  <c r="T8" i="43"/>
  <c r="V8" i="43" s="1"/>
  <c r="T12" i="43"/>
  <c r="V12" i="43" s="1"/>
  <c r="T14" i="43"/>
  <c r="V14" i="43" s="1"/>
  <c r="T7" i="43"/>
  <c r="V7" i="43" s="1"/>
  <c r="T5" i="43"/>
  <c r="V5" i="43" s="1"/>
  <c r="T3" i="43"/>
  <c r="V3" i="43" s="1"/>
  <c r="T13" i="43"/>
  <c r="V13" i="43" s="1"/>
  <c r="T10" i="43"/>
  <c r="V10" i="43" s="1"/>
  <c r="T4" i="43"/>
  <c r="V4" i="43" s="1"/>
  <c r="T9" i="43"/>
  <c r="V9" i="43" s="1"/>
  <c r="C32" i="78"/>
  <c r="C33" i="78"/>
  <c r="C15" i="67"/>
  <c r="C18" i="67"/>
  <c r="E6" i="70"/>
  <c r="F69" i="67"/>
  <c r="J29" i="67"/>
  <c r="C38" i="78"/>
  <c r="G70" i="39"/>
  <c r="H68" i="39"/>
  <c r="AQ6" i="1"/>
  <c r="AR6" i="1"/>
  <c r="T6" i="1"/>
  <c r="M21" i="6"/>
  <c r="I21" i="6" s="1"/>
  <c r="S21" i="6" s="1"/>
  <c r="S8" i="1"/>
  <c r="M22" i="6"/>
  <c r="I22" i="6" s="1"/>
  <c r="S22" i="6" s="1"/>
  <c r="S9" i="1"/>
  <c r="M20" i="6"/>
  <c r="I20" i="6" s="1"/>
  <c r="S7" i="1"/>
  <c r="M14" i="1"/>
  <c r="K16" i="1"/>
  <c r="M19" i="6"/>
  <c r="K27" i="6"/>
  <c r="D3" i="21"/>
  <c r="D19" i="11"/>
  <c r="C19" i="11" s="1"/>
  <c r="C17" i="4"/>
  <c r="B4" i="52" s="1"/>
  <c r="B43" i="72" s="1"/>
  <c r="D3" i="37"/>
  <c r="D3" i="33"/>
  <c r="E6" i="6"/>
  <c r="D14" i="12"/>
  <c r="D3" i="34"/>
  <c r="C34" i="34" s="1"/>
  <c r="D37" i="11"/>
  <c r="C37" i="11" s="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38" i="3"/>
  <c r="AY306" i="3"/>
  <c r="AY490" i="3"/>
  <c r="AY459" i="3"/>
  <c r="AY448" i="3"/>
  <c r="AY416" i="3"/>
  <c r="AY429" i="3"/>
  <c r="AY550" i="3"/>
  <c r="BD6" i="3"/>
  <c r="BC6" i="3"/>
  <c r="AY511" i="3"/>
  <c r="AY504" i="3"/>
  <c r="AY586" i="3"/>
  <c r="AY498" i="3"/>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14" i="78"/>
  <c r="F41" i="78"/>
  <c r="C34" i="69"/>
  <c r="C17" i="78"/>
  <c r="J24" i="78" l="1"/>
  <c r="C60" i="78"/>
  <c r="C66" i="78"/>
  <c r="F69" i="78"/>
  <c r="J29" i="78"/>
  <c r="E36" i="43"/>
  <c r="G36" i="43"/>
  <c r="I36" i="43" s="1"/>
  <c r="E35" i="43"/>
  <c r="G35" i="43"/>
  <c r="I35" i="43" s="1"/>
  <c r="C6" i="69"/>
  <c r="C7" i="69" s="1"/>
  <c r="E39" i="43"/>
  <c r="G39" i="43"/>
  <c r="I39" i="43" s="1"/>
  <c r="E34" i="43"/>
  <c r="G34" i="43"/>
  <c r="I34" i="43" s="1"/>
  <c r="E37" i="43"/>
  <c r="G37" i="43"/>
  <c r="I37" i="43" s="1"/>
  <c r="E33" i="43"/>
  <c r="G33" i="43"/>
  <c r="I33" i="43" s="1"/>
  <c r="E29" i="43"/>
  <c r="C30" i="43"/>
  <c r="E30" i="43" s="1"/>
  <c r="D11" i="71"/>
  <c r="U11" i="71" s="1"/>
  <c r="C10" i="71"/>
  <c r="T11" i="71"/>
  <c r="G38" i="43"/>
  <c r="I38" i="43" s="1"/>
  <c r="E38" i="43"/>
  <c r="C19" i="67"/>
  <c r="C20" i="67" s="1"/>
  <c r="C15" i="78"/>
  <c r="C18" i="78"/>
  <c r="J34" i="34"/>
  <c r="F34" i="34"/>
  <c r="H34" i="34"/>
  <c r="S20" i="6"/>
  <c r="L18" i="79"/>
  <c r="S16" i="1"/>
  <c r="E7" i="70"/>
  <c r="E2" i="70" s="1"/>
  <c r="H70" i="39"/>
  <c r="I68" i="39"/>
  <c r="AQ7" i="1"/>
  <c r="T7" i="1"/>
  <c r="T16" i="1" s="1"/>
  <c r="AR7" i="1"/>
  <c r="AR9" i="1"/>
  <c r="AQ9" i="1"/>
  <c r="T9" i="1"/>
  <c r="T8" i="1"/>
  <c r="AQ8" i="1"/>
  <c r="AR8" i="1"/>
  <c r="I19" i="6"/>
  <c r="M27" i="6"/>
  <c r="C35" i="69"/>
  <c r="C38" i="69"/>
  <c r="O14" i="1"/>
  <c r="O16" i="1" s="1"/>
  <c r="M16" i="1"/>
  <c r="P14" i="1"/>
  <c r="P16" i="1" s="1"/>
  <c r="C11" i="12" s="1"/>
  <c r="H20" i="6"/>
  <c r="D25" i="6"/>
  <c r="D15" i="6"/>
  <c r="D22" i="6"/>
  <c r="D21" i="6"/>
  <c r="D24" i="6"/>
  <c r="D20" i="6"/>
  <c r="D6" i="6"/>
  <c r="D9" i="6"/>
  <c r="D10" i="6"/>
  <c r="D29" i="6"/>
  <c r="H25" i="6"/>
  <c r="H22" i="6"/>
  <c r="H21" i="6"/>
  <c r="H24" i="6"/>
  <c r="D19" i="6"/>
  <c r="M19" i="9" s="1"/>
  <c r="C118" i="9" s="1"/>
  <c r="C14" i="74" s="1"/>
  <c r="B2" i="74" s="1"/>
  <c r="D26" i="6"/>
  <c r="C18" i="4"/>
  <c r="D8" i="6"/>
  <c r="D23" i="6"/>
  <c r="D14" i="6"/>
  <c r="D5" i="6"/>
  <c r="D12" i="6"/>
  <c r="D11" i="6"/>
  <c r="D13" i="6"/>
  <c r="D28" i="6"/>
  <c r="E61" i="40"/>
  <c r="H23" i="6"/>
  <c r="H26" i="6"/>
  <c r="D17" i="12"/>
  <c r="C17" i="12" s="1"/>
  <c r="C14" i="12"/>
  <c r="C20" i="11"/>
  <c r="C25" i="11" s="1"/>
  <c r="C22" i="11" s="1"/>
  <c r="C8" i="74"/>
  <c r="C7" i="74"/>
  <c r="D10" i="11"/>
  <c r="C10" i="11" s="1"/>
  <c r="D20" i="12"/>
  <c r="C20" i="12" s="1"/>
  <c r="C18" i="12" s="1"/>
  <c r="D10" i="68"/>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59" i="67"/>
  <c r="J60" i="67" s="1"/>
  <c r="D10" i="69"/>
  <c r="D30" i="6" l="1"/>
  <c r="C9" i="71"/>
  <c r="D10" i="71"/>
  <c r="C27" i="43"/>
  <c r="C26" i="43"/>
  <c r="C26" i="67"/>
  <c r="C23" i="67"/>
  <c r="C19" i="78"/>
  <c r="C20" i="78" s="1"/>
  <c r="C26" i="78" s="1"/>
  <c r="AB34" i="34"/>
  <c r="T49" i="34" s="1"/>
  <c r="G49" i="34" s="1"/>
  <c r="U34" i="34"/>
  <c r="AC34" i="34"/>
  <c r="V49" i="34" s="1"/>
  <c r="I49" i="34" s="1"/>
  <c r="W34" i="34"/>
  <c r="H19" i="6"/>
  <c r="L19" i="9" s="1"/>
  <c r="L18" i="9"/>
  <c r="AA34" i="34"/>
  <c r="R49" i="34" s="1"/>
  <c r="S34" i="34"/>
  <c r="R20" i="6"/>
  <c r="R7" i="1" s="1"/>
  <c r="L19" i="79"/>
  <c r="M19" i="79"/>
  <c r="C118" i="79" s="1"/>
  <c r="J68" i="39"/>
  <c r="I70" i="39"/>
  <c r="C28" i="11"/>
  <c r="C27" i="11" s="1"/>
  <c r="D16" i="6"/>
  <c r="C31" i="11"/>
  <c r="C15" i="12"/>
  <c r="C12" i="12"/>
  <c r="N16" i="1"/>
  <c r="L16" i="1"/>
  <c r="C34" i="11"/>
  <c r="C34" i="68"/>
  <c r="S19" i="6"/>
  <c r="S27" i="6" s="1"/>
  <c r="I27" i="6"/>
  <c r="C10" i="68"/>
  <c r="D19" i="68"/>
  <c r="R26" i="6"/>
  <c r="D8" i="74"/>
  <c r="D7" i="74"/>
  <c r="R24" i="6"/>
  <c r="R22" i="6"/>
  <c r="R9" i="1" s="1"/>
  <c r="R25" i="6"/>
  <c r="C10" i="69"/>
  <c r="C8" i="69" s="1"/>
  <c r="C5" i="69" s="1"/>
  <c r="D19" i="69"/>
  <c r="R23" i="6"/>
  <c r="A7" i="51"/>
  <c r="B7" i="72" s="1"/>
  <c r="C4" i="52"/>
  <c r="B45" i="72" s="1"/>
  <c r="A10" i="51"/>
  <c r="B9" i="72" s="1"/>
  <c r="D27" i="6"/>
  <c r="D31" i="6" s="1"/>
  <c r="R21" i="6"/>
  <c r="R8" i="1" s="1"/>
  <c r="I63" i="40"/>
  <c r="H65" i="40"/>
  <c r="I58" i="21"/>
  <c r="J58" i="21" s="1"/>
  <c r="K58" i="21" s="1"/>
  <c r="L58" i="21" s="1"/>
  <c r="M58" i="21" s="1"/>
  <c r="N58" i="21" s="1"/>
  <c r="O58" i="21" s="1"/>
  <c r="H7" i="21" s="1"/>
  <c r="F7" i="21"/>
  <c r="J48" i="35"/>
  <c r="Q48" i="15"/>
  <c r="L46" i="15"/>
  <c r="C64" i="15"/>
  <c r="C59" i="15"/>
  <c r="Q48" i="67"/>
  <c r="C56" i="15"/>
  <c r="C65" i="15" s="1"/>
  <c r="Q70" i="15"/>
  <c r="C37" i="15"/>
  <c r="C30" i="15" s="1"/>
  <c r="C39" i="15" s="1"/>
  <c r="C75" i="15"/>
  <c r="J22" i="15"/>
  <c r="J13" i="15"/>
  <c r="J23" i="15" s="1"/>
  <c r="L51" i="15"/>
  <c r="E6" i="76"/>
  <c r="R19" i="6" l="1"/>
  <c r="R6" i="1" s="1"/>
  <c r="H27" i="6"/>
  <c r="E2" i="76"/>
  <c r="B2" i="43"/>
  <c r="J7" i="21"/>
  <c r="D9" i="71"/>
  <c r="C8" i="71"/>
  <c r="C29" i="67"/>
  <c r="C36" i="67" s="1"/>
  <c r="C23" i="78"/>
  <c r="C29" i="78" s="1"/>
  <c r="E49" i="34"/>
  <c r="I54" i="34" s="1"/>
  <c r="J54" i="34" s="1"/>
  <c r="R50" i="34"/>
  <c r="I53" i="34"/>
  <c r="J53" i="34" s="1"/>
  <c r="G53" i="34"/>
  <c r="H53" i="34" s="1"/>
  <c r="G54" i="34"/>
  <c r="H54" i="34" s="1"/>
  <c r="J70" i="39"/>
  <c r="K68" i="39"/>
  <c r="R27" i="6"/>
  <c r="C16" i="12"/>
  <c r="C21" i="12" s="1"/>
  <c r="C22" i="12" s="1"/>
  <c r="C30" i="12" s="1"/>
  <c r="C28" i="12" s="1"/>
  <c r="C38" i="68"/>
  <c r="C35" i="68"/>
  <c r="C38" i="11"/>
  <c r="C35" i="11"/>
  <c r="F50" i="69"/>
  <c r="F50" i="68"/>
  <c r="F50" i="11"/>
  <c r="C23" i="69"/>
  <c r="C19" i="68"/>
  <c r="D37" i="68"/>
  <c r="C37" i="68" s="1"/>
  <c r="I5" i="6"/>
  <c r="I6" i="6"/>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78"/>
  <c r="M21" i="67"/>
  <c r="B6" i="76"/>
  <c r="F35" i="78"/>
  <c r="B2" i="76" l="1"/>
  <c r="B3" i="76" s="1"/>
  <c r="B3" i="43"/>
  <c r="C7" i="71"/>
  <c r="D8" i="71"/>
  <c r="J19" i="67"/>
  <c r="Q49" i="67"/>
  <c r="C57" i="67"/>
  <c r="C61" i="67" s="1"/>
  <c r="J14" i="67"/>
  <c r="J22" i="67" s="1"/>
  <c r="C13" i="67"/>
  <c r="Q70" i="67" s="1"/>
  <c r="J13" i="67"/>
  <c r="J23" i="67" s="1"/>
  <c r="C49" i="34"/>
  <c r="C50" i="34"/>
  <c r="E53" i="34"/>
  <c r="F53" i="34" s="1"/>
  <c r="E54" i="34"/>
  <c r="F54" i="34" s="1"/>
  <c r="C57" i="78"/>
  <c r="C36" i="78"/>
  <c r="J14" i="78"/>
  <c r="Q49" i="78"/>
  <c r="C13" i="78"/>
  <c r="J19" i="78"/>
  <c r="F63" i="78"/>
  <c r="C62" i="78" s="1"/>
  <c r="C34" i="78"/>
  <c r="C31" i="78" s="1"/>
  <c r="J20" i="78"/>
  <c r="C34" i="67"/>
  <c r="C31" i="67" s="1"/>
  <c r="F63" i="67"/>
  <c r="C62" i="67" s="1"/>
  <c r="J20" i="67"/>
  <c r="R16" i="1"/>
  <c r="L68" i="39"/>
  <c r="K70" i="39"/>
  <c r="C33" i="11"/>
  <c r="C39" i="11" s="1"/>
  <c r="C33" i="68"/>
  <c r="C42" i="68" s="1"/>
  <c r="C27" i="12"/>
  <c r="C25" i="12" s="1"/>
  <c r="C32" i="12" s="1"/>
  <c r="B2" i="12" s="1"/>
  <c r="B3" i="12" s="1"/>
  <c r="C39" i="69"/>
  <c r="C43" i="69" s="1"/>
  <c r="C42" i="69"/>
  <c r="C39" i="68"/>
  <c r="C20" i="68"/>
  <c r="C25" i="68" s="1"/>
  <c r="C24" i="68"/>
  <c r="C20" i="6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T7" i="71" l="1"/>
  <c r="C6" i="71"/>
  <c r="D7" i="71"/>
  <c r="U7" i="71" s="1"/>
  <c r="B3" i="15"/>
  <c r="J17" i="67"/>
  <c r="J16" i="67" s="1"/>
  <c r="J25" i="67" s="1"/>
  <c r="C75" i="67"/>
  <c r="C56" i="67"/>
  <c r="C65" i="67" s="1"/>
  <c r="C64" i="67"/>
  <c r="C37" i="67"/>
  <c r="C30" i="67" s="1"/>
  <c r="C39" i="67" s="1"/>
  <c r="C59" i="67"/>
  <c r="J17" i="78"/>
  <c r="B2" i="34"/>
  <c r="B3" i="34"/>
  <c r="Q70" i="78"/>
  <c r="C37" i="78"/>
  <c r="C30" i="78" s="1"/>
  <c r="C39" i="78" s="1"/>
  <c r="C75" i="78"/>
  <c r="C56" i="78"/>
  <c r="C65" i="78" s="1"/>
  <c r="J13" i="78"/>
  <c r="J23" i="78" s="1"/>
  <c r="J22" i="78"/>
  <c r="C61" i="78"/>
  <c r="C59" i="78" s="1"/>
  <c r="C64" i="78"/>
  <c r="L57" i="67"/>
  <c r="L60" i="67" s="1"/>
  <c r="L46" i="67" s="1"/>
  <c r="L70" i="39"/>
  <c r="M68" i="39"/>
  <c r="C42" i="11"/>
  <c r="C46" i="11"/>
  <c r="C45" i="11" s="1"/>
  <c r="C43" i="11"/>
  <c r="C41" i="69"/>
  <c r="C22" i="68"/>
  <c r="C46" i="69"/>
  <c r="C45" i="69" s="1"/>
  <c r="C46" i="68"/>
  <c r="C45" i="68" s="1"/>
  <c r="C43" i="68"/>
  <c r="C41" i="68" s="1"/>
  <c r="C28" i="69"/>
  <c r="C27" i="69" s="1"/>
  <c r="C25" i="69"/>
  <c r="C22" i="69" s="1"/>
  <c r="C28" i="68"/>
  <c r="C27" i="68" s="1"/>
  <c r="C31" i="68"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78"/>
  <c r="C20" i="9"/>
  <c r="C19" i="9"/>
  <c r="L51" i="67"/>
  <c r="C5" i="71" l="1"/>
  <c r="D6" i="71"/>
  <c r="C80" i="67"/>
  <c r="C79" i="67" s="1"/>
  <c r="Q69" i="67"/>
  <c r="Q68" i="67" s="1"/>
  <c r="C58" i="67"/>
  <c r="C67" i="67" s="1"/>
  <c r="C68" i="67" s="1"/>
  <c r="C71" i="67" s="1"/>
  <c r="C40" i="67"/>
  <c r="D2" i="67" s="1"/>
  <c r="Q67" i="67"/>
  <c r="J16" i="78"/>
  <c r="J25" i="78" s="1"/>
  <c r="C58" i="78"/>
  <c r="C67" i="78" s="1"/>
  <c r="C68" i="78" s="1"/>
  <c r="C71" i="78" s="1"/>
  <c r="C102" i="9"/>
  <c r="C21" i="9"/>
  <c r="C103" i="9"/>
  <c r="Q69" i="78"/>
  <c r="Q68" i="78" s="1"/>
  <c r="C80" i="78"/>
  <c r="C79" i="78" s="1"/>
  <c r="C40" i="78"/>
  <c r="Q67" i="78"/>
  <c r="Q57" i="67"/>
  <c r="Q66" i="67"/>
  <c r="M70" i="39"/>
  <c r="N68" i="39"/>
  <c r="C41" i="11"/>
  <c r="C49" i="11" s="1"/>
  <c r="C51" i="11" s="1"/>
  <c r="C52" i="11" s="1"/>
  <c r="C49" i="69"/>
  <c r="C51" i="69" s="1"/>
  <c r="C49" i="68"/>
  <c r="C51" i="68" s="1"/>
  <c r="C52" i="68" s="1"/>
  <c r="C31" i="69"/>
  <c r="R39" i="35"/>
  <c r="E38" i="35"/>
  <c r="M63" i="40"/>
  <c r="L65" i="40"/>
  <c r="D5" i="71" l="1"/>
  <c r="M20" i="43"/>
  <c r="C45" i="78"/>
  <c r="C46" i="78" s="1"/>
  <c r="C43" i="67"/>
  <c r="Q65" i="67"/>
  <c r="Q75" i="67" s="1"/>
  <c r="Q56" i="67"/>
  <c r="C83" i="67"/>
  <c r="C82" i="67" s="1"/>
  <c r="Q47" i="67"/>
  <c r="Q53" i="67" s="1"/>
  <c r="C45" i="67"/>
  <c r="C46" i="67" s="1"/>
  <c r="Q65" i="78"/>
  <c r="Q75" i="78" s="1"/>
  <c r="D2" i="78"/>
  <c r="B3" i="78" s="1"/>
  <c r="Q47" i="78"/>
  <c r="Q53" i="78" s="1"/>
  <c r="C83" i="78"/>
  <c r="C82" i="78" s="1"/>
  <c r="C43" i="78"/>
  <c r="Q56" i="78"/>
  <c r="Q62" i="78" s="1"/>
  <c r="Q62" i="67"/>
  <c r="B3" i="67"/>
  <c r="C112" i="81" s="1"/>
  <c r="C113" i="81" s="1"/>
  <c r="B2" i="67"/>
  <c r="O68" i="39"/>
  <c r="O70" i="39" s="1"/>
  <c r="N70" i="39"/>
  <c r="F7" i="39"/>
  <c r="B2" i="11"/>
  <c r="B3" i="11" s="1"/>
  <c r="C56" i="11"/>
  <c r="C57" i="11" s="1"/>
  <c r="C52" i="69"/>
  <c r="B2" i="69" s="1"/>
  <c r="B2" i="68"/>
  <c r="B3" i="68" s="1"/>
  <c r="C57" i="68"/>
  <c r="C56" i="68" s="1"/>
  <c r="C39" i="35"/>
  <c r="B2" i="35" s="1"/>
  <c r="C38" i="35"/>
  <c r="N63" i="40"/>
  <c r="M65" i="40"/>
  <c r="E43" i="35"/>
  <c r="F43" i="35" s="1"/>
  <c r="E42" i="35"/>
  <c r="F42" i="35" s="1"/>
  <c r="I43" i="35"/>
  <c r="J43" i="35" s="1"/>
  <c r="D34" i="9"/>
  <c r="B3" i="69"/>
  <c r="D20" i="9"/>
  <c r="D19" i="9"/>
  <c r="D20" i="79"/>
  <c r="AO6" i="1"/>
  <c r="D35" i="9"/>
  <c r="C19" i="79"/>
  <c r="B2" i="78" l="1"/>
  <c r="B6" i="70"/>
  <c r="D103" i="9"/>
  <c r="G20" i="9"/>
  <c r="D102" i="9"/>
  <c r="D22" i="9"/>
  <c r="G19" i="9"/>
  <c r="G21" i="9" s="1"/>
  <c r="D21" i="9"/>
  <c r="D103" i="79"/>
  <c r="C102" i="79"/>
  <c r="C21" i="79"/>
  <c r="B3" i="35"/>
  <c r="J7" i="39"/>
  <c r="H7" i="39"/>
  <c r="AA7" i="39"/>
  <c r="R47" i="39" s="1"/>
  <c r="S7" i="39"/>
  <c r="C57" i="69"/>
  <c r="C56" i="69" s="1"/>
  <c r="O63" i="40"/>
  <c r="O65" i="40" s="1"/>
  <c r="N65" i="40"/>
  <c r="C20" i="79"/>
  <c r="D19" i="79"/>
  <c r="AO7" i="1"/>
  <c r="B7" i="70" l="1"/>
  <c r="B2" i="70" s="1"/>
  <c r="B3" i="70" s="1"/>
  <c r="D21" i="79"/>
  <c r="G19" i="79"/>
  <c r="G21" i="79" s="1"/>
  <c r="D22" i="79"/>
  <c r="D102" i="79"/>
  <c r="C32" i="9"/>
  <c r="C35" i="9" s="1"/>
  <c r="C34" i="9" s="1"/>
  <c r="R24" i="31"/>
  <c r="J24" i="77" s="1"/>
  <c r="J38" i="77" s="1"/>
  <c r="C103" i="79"/>
  <c r="G20" i="79"/>
  <c r="AB7" i="39"/>
  <c r="T47" i="39" s="1"/>
  <c r="G47" i="39" s="1"/>
  <c r="U7" i="39"/>
  <c r="R48" i="39"/>
  <c r="E47" i="39"/>
  <c r="AC7" i="39"/>
  <c r="V47" i="39" s="1"/>
  <c r="I47" i="39" s="1"/>
  <c r="W7" i="39"/>
  <c r="J7" i="40"/>
  <c r="F7" i="40"/>
  <c r="H7" i="40"/>
  <c r="S24" i="31" l="1"/>
  <c r="I24" i="77" s="1"/>
  <c r="I38" i="77" s="1"/>
  <c r="R30" i="31"/>
  <c r="R26" i="31"/>
  <c r="R29" i="31"/>
  <c r="R25" i="31"/>
  <c r="R28" i="31"/>
  <c r="R31" i="31"/>
  <c r="R27" i="31"/>
  <c r="C32" i="79"/>
  <c r="C35" i="79" s="1"/>
  <c r="C34" i="79" s="1"/>
  <c r="R24" i="80"/>
  <c r="E51" i="39"/>
  <c r="F51" i="39" s="1"/>
  <c r="E52" i="39"/>
  <c r="F52" i="39" s="1"/>
  <c r="I52" i="39"/>
  <c r="J52" i="39" s="1"/>
  <c r="I51" i="39"/>
  <c r="J51" i="39" s="1"/>
  <c r="C47" i="39"/>
  <c r="C48" i="39"/>
  <c r="G52" i="39"/>
  <c r="H52" i="39" s="1"/>
  <c r="G51" i="39"/>
  <c r="H51" i="39" s="1"/>
  <c r="U7" i="40"/>
  <c r="AB7" i="40"/>
  <c r="T42" i="40" s="1"/>
  <c r="G42" i="40" s="1"/>
  <c r="AA7" i="40"/>
  <c r="R42" i="40" s="1"/>
  <c r="S7" i="40"/>
  <c r="AC7" i="40"/>
  <c r="V42" i="40" s="1"/>
  <c r="I42" i="40" s="1"/>
  <c r="W7" i="40"/>
  <c r="S31" i="31" l="1"/>
  <c r="I31" i="77" s="1"/>
  <c r="J31" i="77"/>
  <c r="S26" i="31"/>
  <c r="I26" i="77" s="1"/>
  <c r="I40" i="77" s="1"/>
  <c r="J26" i="77"/>
  <c r="J40" i="77" s="1"/>
  <c r="S27" i="31"/>
  <c r="J27" i="77"/>
  <c r="S28" i="31"/>
  <c r="I28" i="77" s="1"/>
  <c r="J28" i="77"/>
  <c r="S29" i="31"/>
  <c r="I29" i="77" s="1"/>
  <c r="J29" i="77"/>
  <c r="S30" i="31"/>
  <c r="I30" i="77" s="1"/>
  <c r="J30" i="77"/>
  <c r="S25" i="31"/>
  <c r="I25" i="77" s="1"/>
  <c r="I39" i="77" s="1"/>
  <c r="J25" i="77"/>
  <c r="J39" i="77" s="1"/>
  <c r="S24" i="80"/>
  <c r="R27" i="80"/>
  <c r="S27" i="80" s="1"/>
  <c r="R25" i="80"/>
  <c r="S25" i="80" s="1"/>
  <c r="R26" i="80"/>
  <c r="S26" i="80"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I27" i="77" l="1"/>
  <c r="T27" i="31"/>
  <c r="T29" i="31" s="1"/>
  <c r="S22" i="31"/>
  <c r="R22" i="31" s="1"/>
  <c r="J32" i="77" s="1"/>
  <c r="S22" i="80"/>
  <c r="R22" i="80" s="1"/>
  <c r="C42" i="40"/>
  <c r="C43" i="40"/>
  <c r="E47" i="40"/>
  <c r="F47" i="40" s="1"/>
  <c r="E46" i="40"/>
  <c r="F46" i="40" s="1"/>
  <c r="I47" i="40"/>
  <c r="J47" i="40" s="1"/>
  <c r="I32" i="77" l="1"/>
  <c r="I41" i="77"/>
  <c r="B20" i="31"/>
  <c r="B21" i="31" s="1"/>
  <c r="B20" i="80"/>
  <c r="B21" i="80"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79"/>
  <c r="D119" i="79" s="1"/>
  <c r="H118" i="79"/>
  <c r="C104" i="79" s="1"/>
  <c r="F118" i="79"/>
  <c r="F119" i="79" s="1"/>
  <c r="I42" i="77" l="1"/>
  <c r="G118" i="79"/>
  <c r="H101" i="79"/>
  <c r="M48" i="79" s="1"/>
  <c r="I118" i="79"/>
  <c r="C105" i="79" s="1"/>
  <c r="H107" i="79"/>
  <c r="H119" i="79"/>
  <c r="D45" i="79"/>
  <c r="E118" i="79" l="1"/>
  <c r="H102" i="79"/>
  <c r="D53" i="79"/>
  <c r="C78" i="79"/>
  <c r="C73" i="79" s="1"/>
  <c r="C85" i="79"/>
  <c r="C72" i="79"/>
  <c r="C79" i="79" s="1"/>
  <c r="D52" i="79"/>
  <c r="C93" i="79"/>
  <c r="C86" i="79" s="1"/>
  <c r="D55" i="79"/>
  <c r="M53" i="79" s="1"/>
  <c r="C64" i="79"/>
  <c r="C63" i="79" s="1"/>
  <c r="C67" i="79" s="1"/>
  <c r="D122" i="79"/>
  <c r="D123" i="79" s="1"/>
  <c r="M49" i="79"/>
  <c r="H108" i="79"/>
  <c r="C95" i="79" l="1"/>
  <c r="C96" i="79" s="1"/>
  <c r="E96" i="79" s="1"/>
  <c r="E97" i="79" s="1"/>
  <c r="L67" i="79"/>
  <c r="M67" i="79" s="1"/>
  <c r="L66" i="79"/>
  <c r="M66" i="79" s="1"/>
  <c r="L64" i="79"/>
  <c r="M64" i="79" s="1"/>
  <c r="L68" i="79"/>
  <c r="M68" i="79" s="1"/>
  <c r="L65" i="79"/>
  <c r="M65" i="79" s="1"/>
  <c r="L63" i="79"/>
  <c r="M63" i="79" s="1"/>
  <c r="D59" i="79"/>
  <c r="M55" i="79" s="1"/>
  <c r="C68" i="79"/>
  <c r="D54" i="79" s="1"/>
  <c r="C80" i="79"/>
  <c r="E80" i="79" s="1"/>
  <c r="E81" i="79" s="1"/>
  <c r="C81" i="79" l="1"/>
  <c r="M69" i="79"/>
  <c r="N69" i="79" s="1"/>
  <c r="C97" i="79"/>
  <c r="D58" i="79" s="1"/>
  <c r="D56" i="79" s="1"/>
  <c r="M54" i="79" s="1"/>
  <c r="N57" i="79" s="1"/>
  <c r="N58" i="79" l="1"/>
  <c r="P57" i="79"/>
  <c r="N59" i="79"/>
  <c r="N60" i="79" l="1"/>
  <c r="N61" i="79"/>
  <c r="F118" i="9"/>
  <c r="F119" i="9" s="1"/>
  <c r="F5" i="52" s="1"/>
  <c r="B53" i="72" s="1"/>
  <c r="D118" i="9"/>
  <c r="D119" i="9" s="1"/>
  <c r="D5" i="52" s="1"/>
  <c r="B49" i="72" s="1"/>
  <c r="H118" i="9"/>
  <c r="C104" i="9" s="1"/>
  <c r="H119" i="9" l="1"/>
  <c r="H5" i="52" s="1"/>
  <c r="D4" i="52"/>
  <c r="B47" i="72" s="1"/>
  <c r="F4" i="52"/>
  <c r="B51" i="72" s="1"/>
  <c r="D14" i="74"/>
  <c r="H4" i="52"/>
  <c r="H101" i="9"/>
  <c r="I118" i="9"/>
  <c r="G118" i="9"/>
  <c r="G4" i="52" l="1"/>
  <c r="B52" i="72" s="1"/>
  <c r="H24" i="77"/>
  <c r="H38" i="77" s="1"/>
  <c r="H41" i="77" s="1"/>
  <c r="I4" i="52"/>
  <c r="E118" i="9"/>
  <c r="E4" i="52" s="1"/>
  <c r="B48" i="72" s="1"/>
  <c r="C105" i="9"/>
  <c r="H102" i="9"/>
  <c r="D7" i="53" s="1"/>
  <c r="B21" i="72" s="1"/>
  <c r="M48" i="9"/>
  <c r="D5" i="53"/>
  <c r="H107" i="9"/>
  <c r="D45" i="9"/>
  <c r="B5" i="74"/>
  <c r="F14" i="74"/>
  <c r="E14" i="74"/>
  <c r="F41" i="77" l="1"/>
  <c r="G41" i="77"/>
  <c r="E41" i="77" s="1"/>
  <c r="G24" i="77"/>
  <c r="G38" i="77" s="1"/>
  <c r="F24" i="77"/>
  <c r="F38" i="77" s="1"/>
  <c r="H25" i="77"/>
  <c r="H39" i="77" s="1"/>
  <c r="D53" i="9"/>
  <c r="C93" i="9"/>
  <c r="C86" i="9" s="1"/>
  <c r="D55" i="9"/>
  <c r="M53" i="9" s="1"/>
  <c r="C78" i="9"/>
  <c r="C73" i="9" s="1"/>
  <c r="C85" i="9"/>
  <c r="D52" i="9"/>
  <c r="C64" i="9"/>
  <c r="C63" i="9" s="1"/>
  <c r="C67" i="9" s="1"/>
  <c r="C72" i="9"/>
  <c r="B20" i="72"/>
  <c r="D6" i="53"/>
  <c r="B22" i="72" s="1"/>
  <c r="C5" i="74"/>
  <c r="D5" i="74"/>
  <c r="D13" i="53"/>
  <c r="H108" i="9"/>
  <c r="D15" i="53" s="1"/>
  <c r="B31" i="72" s="1"/>
  <c r="M49" i="9"/>
  <c r="D122" i="9"/>
  <c r="C79" i="9" l="1"/>
  <c r="E24" i="77"/>
  <c r="E38" i="77" s="1"/>
  <c r="F25" i="77"/>
  <c r="F39" i="77" s="1"/>
  <c r="G25" i="77"/>
  <c r="H26" i="77"/>
  <c r="C95" i="9"/>
  <c r="C96" i="9" s="1"/>
  <c r="E96" i="9" s="1"/>
  <c r="E97" i="9" s="1"/>
  <c r="C80" i="9"/>
  <c r="E80" i="9" s="1"/>
  <c r="E81" i="9" s="1"/>
  <c r="D123" i="9"/>
  <c r="D9" i="52" s="1"/>
  <c r="D8" i="52"/>
  <c r="G14" i="74"/>
  <c r="B6" i="74" s="1"/>
  <c r="L67" i="9"/>
  <c r="M67" i="9" s="1"/>
  <c r="L68" i="9"/>
  <c r="M68" i="9" s="1"/>
  <c r="L65" i="9"/>
  <c r="M65" i="9" s="1"/>
  <c r="L64" i="9"/>
  <c r="M64" i="9" s="1"/>
  <c r="L63" i="9"/>
  <c r="M63" i="9" s="1"/>
  <c r="L66" i="9"/>
  <c r="M66" i="9" s="1"/>
  <c r="B30" i="72"/>
  <c r="D14" i="53"/>
  <c r="B32" i="72" s="1"/>
  <c r="C68" i="9"/>
  <c r="D54" i="9" s="1"/>
  <c r="D59" i="9"/>
  <c r="M55" i="9" s="1"/>
  <c r="E25" i="77" l="1"/>
  <c r="E39" i="77" s="1"/>
  <c r="G39" i="77"/>
  <c r="G26" i="77"/>
  <c r="H40" i="77"/>
  <c r="H27" i="77"/>
  <c r="F26" i="77"/>
  <c r="F40" i="77" s="1"/>
  <c r="M69" i="9"/>
  <c r="N69" i="9" s="1"/>
  <c r="C97" i="9"/>
  <c r="D58" i="9" s="1"/>
  <c r="D56" i="9" s="1"/>
  <c r="M54" i="9" s="1"/>
  <c r="N57" i="9" s="1"/>
  <c r="D6" i="74"/>
  <c r="C6" i="74"/>
  <c r="C81" i="9"/>
  <c r="E26" i="77" l="1"/>
  <c r="E40" i="77" s="1"/>
  <c r="E42" i="77" s="1"/>
  <c r="G40" i="77"/>
  <c r="G42" i="77" s="1"/>
  <c r="G27" i="77"/>
  <c r="H28" i="77"/>
  <c r="G28" i="77" s="1"/>
  <c r="E28" i="77" s="1"/>
  <c r="F27" i="77"/>
  <c r="N58" i="9"/>
  <c r="P57" i="9"/>
  <c r="N59" i="9"/>
  <c r="E27" i="77" l="1"/>
  <c r="H29" i="77"/>
  <c r="F28" i="77"/>
  <c r="N61" i="9"/>
  <c r="N60" i="9"/>
  <c r="G29" i="77" l="1"/>
  <c r="H30" i="77"/>
  <c r="G30" i="77" s="1"/>
  <c r="E30" i="77" s="1"/>
  <c r="F29" i="77"/>
  <c r="E29" i="77" l="1"/>
  <c r="H31" i="77"/>
  <c r="F30" i="77"/>
  <c r="F31" i="77" l="1"/>
  <c r="G31" i="77"/>
  <c r="E31" i="77" l="1"/>
  <c r="E32" i="77" s="1"/>
  <c r="G32"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<sst xmlns="http://schemas.openxmlformats.org/spreadsheetml/2006/main" count="8137" uniqueCount="3141">
  <si>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</si>
  <si>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</si>
  <si>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</si>
  <si>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</si>
  <si>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</si>
  <si>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</si>
  <si>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</si>
  <si>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</si>
  <si>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</si>
  <si>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</si>
  <si>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</si>
  <si>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</si>
  <si>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</si>
  <si>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</si>
  <si>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</si>
  <si>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</si>
  <si>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</si>
  <si>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</si>
  <si>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</si>
  <si>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</si>
  <si>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</si>
  <si>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</si>
  <si>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</si>
  <si>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</si>
  <si>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</si>
  <si>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</si>
  <si>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</si>
  <si>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</si>
  <si>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</si>
  <si>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</si>
  <si>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</si>
  <si>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</si>
  <si>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</si>
  <si>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</si>
  <si>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</si>
  <si>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</si>
  <si>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</si>
  <si>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</si>
  <si>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</si>
  <si>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</si>
  <si>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</si>
  <si>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</si>
  <si>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</si>
  <si>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</si>
  <si>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</si>
  <si>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</si>
  <si>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</si>
  <si>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</si>
  <si>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</si>
  <si>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</si>
  <si>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</si>
  <si>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</si>
  <si>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</si>
  <si>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</si>
  <si>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</si>
  <si>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</si>
  <si>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</si>
  <si>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</si>
  <si>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</si>
  <si>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</si>
  <si>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</si>
  <si>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</si>
  <si>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</si>
  <si>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</si>
  <si>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</si>
  <si>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</si>
  <si>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</si>
  <si>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</si>
  <si>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</si>
  <si>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</si>
  <si>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</si>
  <si>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</si>
  <si>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</si>
  <si>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</si>
  <si>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</si>
  <si>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</si>
  <si>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</si>
  <si>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</si>
  <si>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</si>
  <si>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</si>
  <si>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</si>
  <si>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</si>
  <si>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</si>
  <si>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</si>
  <si>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</si>
  <si>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</si>
  <si>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</si>
  <si>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</si>
  <si>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</si>
  <si>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</si>
  <si>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</si>
  <si>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</si>
  <si>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</si>
  <si>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</si>
  <si>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</si>
  <si>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</si>
  <si>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</si>
  <si>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</si>
  <si>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</si>
  <si>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</si>
  <si>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</si>
  <si>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</si>
  <si>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</si>
  <si>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</si>
  <si>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</si>
  <si>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</si>
  <si>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</si>
  <si>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</si>
  <si>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</si>
  <si>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</si>
  <si>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</si>
  <si>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</si>
  <si>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</si>
  <si>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</si>
  <si>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</si>
  <si>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</si>
  <si>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</si>
  <si>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</si>
  <si>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</si>
  <si>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</si>
  <si>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</si>
  <si>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</si>
  <si>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</si>
  <si>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</si>
  <si>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</si>
  <si>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</si>
  <si>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</si>
  <si>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</si>
  <si>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</si>
  <si>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</si>
  <si>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</si>
  <si>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</si>
  <si>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</si>
  <si>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</si>
  <si>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</si>
  <si>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</si>
  <si>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</si>
  <si>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</si>
  <si>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</si>
  <si>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</si>
  <si>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</si>
  <si>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</si>
  <si>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</si>
  <si>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</si>
  <si>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</si>
  <si>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</si>
  <si>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</si>
  <si>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</si>
  <si>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</si>
  <si>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</si>
  <si>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</si>
  <si>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</si>
  <si>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</si>
  <si>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</si>
  <si>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</si>
  <si>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</si>
  <si>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</si>
  <si>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</si>
  <si>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</si>
  <si>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</si>
  <si>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</si>
  <si>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</si>
  <si>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</si>
  <si>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</si>
  <si>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</si>
  <si>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</si>
  <si>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</si>
  <si>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</si>
  <si>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</si>
  <si>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</si>
  <si>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</si>
  <si>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</si>
  <si>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</si>
  <si>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</si>
  <si>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</si>
  <si>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</si>
  <si>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</si>
  <si>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</si>
  <si>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</si>
  <si>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</si>
  <si>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</si>
  <si>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</si>
  <si>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</si>
  <si>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</si>
  <si>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</si>
  <si>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</si>
  <si>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</si>
  <si>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</si>
  <si>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</si>
  <si>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</si>
  <si>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</si>
  <si>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</si>
  <si>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</si>
  <si>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</si>
  <si>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</si>
  <si>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</si>
  <si>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</si>
  <si>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</si>
  <si>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</si>
  <si>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</si>
  <si>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</si>
  <si>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</si>
  <si>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</si>
  <si>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</si>
  <si>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</si>
  <si>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</si>
  <si>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</si>
  <si>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</si>
  <si>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</si>
  <si>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</si>
  <si>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</si>
  <si>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</si>
  <si>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</si>
  <si>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</si>
  <si>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</si>
  <si>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</si>
  <si>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</si>
  <si>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</si>
  <si>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</si>
  <si>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</si>
  <si>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</si>
  <si>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</si>
  <si>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</si>
  <si>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</si>
  <si>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</si>
  <si>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</si>
  <si>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</si>
  <si>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</si>
  <si>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</si>
  <si>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</si>
  <si>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</si>
  <si>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</si>
  <si>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</si>
  <si>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</si>
  <si>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</si>
  <si>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</si>
  <si>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</si>
  <si>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</si>
  <si>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</si>
  <si>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</si>
  <si>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</si>
  <si>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</si>
  <si>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</si>
  <si>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</si>
  <si>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</si>
  <si>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</si>
  <si>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</si>
  <si>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</si>
  <si>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</si>
  <si>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</si>
  <si>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</si>
  <si>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</si>
  <si>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</si>
  <si>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</si>
  <si>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</si>
  <si>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</si>
  <si>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</si>
  <si>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</si>
  <si>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</si>
  <si>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</si>
  <si>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</si>
  <si>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</si>
  <si>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</si>
  <si>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</si>
  <si>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</si>
  <si>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</si>
  <si>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</si>
  <si>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</si>
  <si>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</si>
  <si>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</si>
  <si>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</si>
  <si>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</si>
  <si>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</si>
  <si>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</si>
  <si>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</si>
  <si>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</si>
  <si>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</si>
  <si>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</si>
  <si>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</si>
  <si>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</si>
  <si>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</si>
  <si>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</si>
  <si>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</si>
  <si>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</si>
  <si>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</si>
  <si>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</si>
  <si>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</si>
  <si>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</si>
  <si>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</si>
  <si>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</si>
  <si>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</si>
  <si>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</si>
  <si>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</si>
  <si>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</si>
  <si>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</si>
  <si>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</si>
  <si>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</si>
  <si>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</si>
  <si>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</si>
  <si>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</si>
  <si>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</si>
  <si>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</si>
  <si>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</si>
  <si>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</si>
  <si>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</si>
  <si>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</si>
  <si>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</si>
  <si>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</si>
  <si>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</si>
  <si>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</si>
  <si>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</si>
  <si>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</si>
  <si>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</si>
  <si>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</si>
  <si>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</si>
  <si>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</si>
  <si>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</si>
  <si>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</si>
  <si>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</si>
  <si>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</si>
  <si>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</si>
  <si>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</si>
  <si>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</si>
  <si>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</si>
  <si>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</si>
  <si>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</si>
  <si>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</si>
  <si>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</si>
  <si>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</si>
  <si>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</si>
  <si>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</si>
  <si>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</si>
  <si>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</si>
  <si>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</si>
  <si>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</si>
  <si>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</si>
  <si>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</si>
  <si>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</si>
  <si>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</si>
  <si>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</si>
  <si>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</si>
  <si>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</si>
  <si>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</si>
  <si>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</si>
  <si>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</si>
  <si>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</si>
  <si>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</si>
  <si>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</si>
  <si>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</si>
  <si>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</si>
  <si>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</si>
  <si>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</si>
  <si>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</si>
  <si>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</si>
  <si>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</si>
  <si>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</si>
  <si>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</si>
  <si>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</si>
  <si>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</si>
  <si>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</si>
  <si>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</si>
  <si>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</si>
  <si>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</si>
  <si>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</si>
  <si>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</si>
  <si>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</si>
  <si>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</si>
  <si>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</si>
  <si>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</si>
  <si>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</si>
  <si>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</si>
  <si>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</si>
  <si>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</si>
  <si>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</si>
  <si>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</si>
  <si>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</si>
  <si>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</si>
  <si>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</si>
  <si>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</si>
  <si>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</si>
  <si>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</si>
  <si>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</si>
  <si>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</si>
  <si>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</si>
  <si>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</si>
  <si>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</si>
  <si>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</si>
  <si>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</si>
  <si>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</si>
  <si>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</si>
  <si>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</si>
  <si>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</si>
  <si>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</si>
  <si>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</si>
  <si>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</si>
  <si>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</si>
  <si>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</si>
  <si>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</si>
  <si>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</si>
  <si>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</si>
  <si>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</si>
  <si>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</si>
  <si>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</si>
  <si>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</si>
  <si>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</si>
  <si>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</si>
  <si>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</si>
  <si>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</si>
  <si>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</si>
  <si>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</si>
  <si>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</si>
  <si>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</si>
  <si>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</si>
  <si>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</si>
  <si>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</si>
  <si>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</si>
  <si>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</si>
  <si>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</si>
  <si>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</si>
  <si>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</si>
  <si>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</si>
  <si>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</si>
  <si>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</si>
  <si>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</si>
  <si>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</si>
  <si>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</si>
  <si>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</si>
  <si>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</si>
  <si>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</si>
  <si>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</si>
  <si>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</si>
  <si>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</si>
  <si>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</si>
  <si>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</si>
  <si>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</si>
  <si>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</si>
  <si>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</si>
  <si>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</si>
  <si>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</si>
  <si>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</si>
  <si>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</si>
  <si>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</si>
  <si>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</si>
  <si>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</si>
  <si>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</si>
  <si>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</si>
  <si>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</si>
  <si>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</si>
  <si>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</si>
  <si>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</si>
  <si>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</si>
  <si>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</si>
  <si>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</si>
  <si>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</si>
  <si>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</si>
  <si>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</si>
  <si>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</si>
  <si>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</si>
  <si>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</si>
  <si>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</si>
  <si>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</si>
  <si>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</si>
  <si>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</si>
  <si>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</si>
  <si>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</si>
  <si>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</si>
  <si>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</si>
  <si>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</si>
  <si>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</si>
  <si>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</si>
  <si>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</si>
  <si>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</si>
  <si>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</si>
  <si>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</si>
  <si>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</si>
  <si>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</si>
  <si>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</si>
  <si>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</si>
  <si>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</si>
  <si>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</si>
  <si>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</si>
  <si>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</si>
  <si>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</si>
  <si>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</si>
  <si>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</si>
  <si>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</si>
  <si>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</si>
  <si>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</si>
  <si>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</si>
  <si>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</si>
  <si>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</si>
  <si>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</si>
  <si>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</si>
  <si>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</si>
  <si>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</si>
  <si>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</si>
  <si>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</si>
  <si>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</si>
  <si>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</si>
  <si>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</si>
  <si>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</si>
  <si>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</si>
  <si>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</si>
  <si>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</si>
  <si>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</si>
  <si>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</si>
  <si>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</si>
  <si>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</si>
  <si>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</si>
  <si>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</si>
  <si>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</si>
  <si>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</si>
  <si>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</si>
  <si>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</si>
  <si>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</si>
  <si>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</si>
  <si>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</si>
  <si>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</si>
  <si>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</si>
  <si>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</si>
  <si>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</si>
  <si>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</si>
  <si>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</si>
  <si>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</si>
  <si>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</si>
  <si>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</si>
  <si>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</si>
  <si>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</si>
  <si>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</si>
  <si>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</si>
  <si>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</si>
  <si>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</si>
  <si>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</si>
  <si>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</si>
  <si>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</si>
  <si>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</si>
  <si>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</si>
  <si>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</si>
  <si>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</si>
  <si>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</si>
  <si>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</si>
  <si>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</si>
  <si>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</si>
  <si>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</si>
  <si>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</si>
  <si>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</si>
  <si>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</si>
  <si>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</si>
  <si>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</si>
  <si>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</si>
  <si>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</si>
  <si>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</si>
  <si>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</si>
  <si>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</si>
  <si>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</si>
  <si>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</si>
  <si>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</si>
  <si>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</si>
  <si>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</si>
  <si>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</si>
  <si>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</si>
  <si>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</si>
  <si>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</si>
  <si>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</si>
  <si>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</si>
  <si>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</si>
  <si>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</si>
  <si>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</si>
  <si>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</si>
  <si>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</si>
  <si>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</si>
  <si>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</si>
  <si>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</si>
  <si>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</si>
  <si>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</si>
  <si>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</si>
  <si>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</si>
  <si>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</si>
  <si>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</si>
  <si>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</si>
  <si>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</si>
  <si>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</si>
  <si>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</si>
  <si>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</si>
  <si>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</si>
  <si>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</si>
  <si>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</si>
  <si>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</si>
  <si>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</si>
  <si>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</si>
  <si>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</si>
  <si>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</si>
  <si>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</si>
  <si>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</si>
  <si>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</si>
  <si>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</si>
  <si>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</si>
  <si>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</si>
  <si>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</si>
  <si>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</si>
  <si>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</si>
  <si>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</si>
  <si>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</si>
  <si>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</si>
  <si>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</si>
  <si>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</si>
  <si>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</si>
  <si>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</si>
  <si>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</si>
  <si>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</si>
  <si>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</si>
  <si>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</si>
  <si>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</si>
  <si>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</si>
  <si>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</si>
  <si>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</si>
  <si>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</si>
  <si>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</si>
  <si>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</si>
  <si>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</si>
  <si>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</si>
  <si>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</si>
  <si>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</si>
  <si>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</si>
  <si>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</si>
  <si>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</si>
  <si>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</si>
  <si>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</si>
  <si>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</si>
  <si>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</si>
  <si>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</si>
  <si>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</si>
  <si>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</si>
  <si>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</si>
  <si>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</si>
  <si>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</si>
  <si>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</si>
  <si>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</si>
  <si>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</si>
  <si>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</si>
  <si>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</si>
  <si>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</si>
  <si>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</si>
  <si>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</si>
  <si>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</si>
  <si>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</si>
  <si>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</si>
  <si>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</si>
  <si>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</si>
  <si>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</si>
  <si>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</si>
  <si>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</si>
  <si>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</si>
  <si>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</si>
  <si>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</si>
  <si>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</si>
  <si>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</si>
  <si>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</si>
  <si>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</si>
  <si>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</si>
  <si>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</si>
  <si>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</si>
  <si>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</si>
  <si>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</si>
  <si>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</si>
  <si>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</si>
  <si>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</si>
  <si>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</si>
  <si>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</si>
  <si>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</si>
  <si>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</si>
  <si>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</si>
  <si>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</si>
  <si>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</si>
  <si>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</si>
  <si>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</si>
  <si>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</si>
  <si>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</si>
  <si>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</si>
  <si>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</si>
  <si>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</si>
  <si>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</si>
  <si>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</si>
  <si>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</si>
  <si>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</si>
  <si>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</si>
  <si>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</si>
  <si>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</si>
  <si>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</si>
  <si>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</si>
  <si>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</si>
  <si>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</si>
  <si>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</si>
  <si>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</si>
  <si>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</si>
  <si>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</si>
  <si>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</si>
  <si>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</si>
  <si>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</si>
  <si>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</si>
  <si>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</si>
  <si>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</si>
  <si>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</si>
  <si>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</si>
  <si>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</si>
  <si>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</si>
  <si>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</si>
  <si>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</si>
  <si>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</si>
  <si>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</si>
  <si>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</si>
  <si>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</si>
  <si>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</si>
  <si>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</si>
  <si>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</si>
  <si>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</si>
  <si>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</si>
  <si>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</si>
  <si>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</si>
  <si>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</si>
  <si>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</si>
  <si>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</si>
  <si>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</si>
  <si>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</si>
  <si>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</si>
  <si>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</si>
  <si>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</si>
  <si>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</si>
  <si>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</si>
  <si>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</si>
  <si>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</si>
  <si>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</si>
  <si>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</si>
  <si>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</si>
  <si>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</si>
  <si>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</si>
  <si>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</si>
  <si>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</si>
  <si>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</si>
  <si>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</si>
  <si>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</si>
  <si>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</si>
  <si>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</si>
  <si>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</si>
  <si>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</si>
  <si>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</si>
  <si>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</si>
  <si>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</si>
  <si>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</si>
  <si>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</si>
  <si>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</si>
  <si>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</si>
  <si>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</si>
  <si>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</si>
  <si>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</si>
  <si>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</si>
  <si>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</si>
  <si>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</si>
  <si>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</si>
  <si>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</si>
  <si>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</si>
  <si>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</si>
  <si>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</si>
  <si>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</si>
  <si>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</si>
  <si>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</si>
  <si>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</si>
  <si>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</si>
  <si>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</si>
  <si>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</si>
  <si>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</si>
  <si>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</si>
  <si>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</si>
  <si>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</si>
  <si>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</si>
  <si>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</si>
  <si>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</si>
  <si>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</si>
  <si>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</si>
  <si>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</si>
  <si>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</si>
  <si>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</si>
  <si>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</si>
  <si>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</si>
  <si>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</si>
  <si>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</si>
  <si>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</si>
  <si>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</si>
  <si>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</si>
  <si>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</si>
  <si>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</si>
  <si>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</si>
  <si>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</si>
  <si>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</si>
  <si>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</si>
  <si>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</si>
  <si>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</si>
  <si>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</si>
  <si>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</si>
  <si>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</si>
  <si>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</si>
  <si>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</si>
  <si>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</si>
  <si>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</si>
  <si>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</si>
  <si>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</si>
  <si>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</si>
  <si>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</si>
  <si>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</si>
  <si>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</si>
  <si>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</si>
  <si>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</si>
  <si>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</si>
  <si>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</si>
  <si>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</si>
  <si>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</si>
  <si>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</si>
  <si>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</si>
  <si>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</si>
  <si>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</si>
  <si>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</si>
  <si>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</si>
  <si>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</si>
  <si>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</si>
  <si>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</si>
  <si>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</si>
  <si>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</si>
  <si>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</si>
  <si>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</si>
  <si>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</si>
  <si>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</si>
  <si>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</si>
  <si>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</si>
  <si>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</si>
  <si>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</si>
  <si>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</si>
  <si>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</si>
  <si>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</si>
  <si>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</si>
  <si>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</si>
  <si>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</si>
  <si>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</si>
  <si>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</si>
  <si>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</si>
  <si>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</si>
  <si>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</si>
  <si>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</si>
  <si>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</si>
  <si>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</si>
  <si>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</si>
  <si>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</si>
  <si>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</si>
  <si>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</si>
  <si>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</si>
  <si>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</si>
  <si>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</si>
  <si>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</si>
  <si>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</si>
  <si>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</si>
  <si>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</si>
  <si>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</si>
  <si>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</si>
  <si>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</si>
  <si>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</si>
  <si>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</si>
  <si>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</si>
  <si>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</si>
  <si>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</si>
  <si>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</si>
  <si>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</si>
  <si>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</si>
  <si>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</si>
  <si>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</si>
  <si>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</si>
  <si>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</si>
  <si>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</si>
  <si>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</si>
  <si>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</si>
  <si>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</si>
  <si>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</si>
  <si>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</si>
  <si>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</si>
  <si>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</si>
  <si>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</si>
  <si>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</si>
  <si>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</si>
  <si>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</si>
  <si>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</si>
  <si>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</si>
  <si>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</si>
  <si>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</si>
  <si>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</si>
  <si>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</si>
  <si>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</si>
  <si>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</si>
  <si>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</si>
  <si>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</si>
  <si>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</si>
  <si>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</si>
  <si>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</si>
  <si>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</si>
  <si>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</si>
  <si>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</si>
  <si>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</si>
  <si>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</si>
  <si>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</si>
  <si>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</si>
  <si>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</si>
  <si>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</si>
  <si>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</si>
  <si>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</si>
  <si>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</si>
  <si>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</si>
  <si>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</si>
  <si>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</si>
  <si>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</si>
  <si>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</si>
  <si>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</si>
  <si>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</si>
  <si>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</si>
  <si>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</si>
  <si>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</si>
  <si>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</si>
  <si>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</si>
  <si>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</si>
  <si>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</si>
  <si>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</si>
  <si>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</si>
  <si>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</si>
  <si>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</si>
  <si>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</si>
  <si>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</si>
  <si>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</si>
  <si>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</si>
  <si>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</si>
  <si>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</si>
  <si>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</si>
  <si>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</si>
  <si>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</si>
  <si>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</si>
  <si>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</si>
  <si>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</si>
  <si>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</si>
  <si>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</si>
  <si>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</si>
  <si>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</si>
  <si>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</si>
  <si>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</si>
  <si>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</si>
  <si>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</si>
  <si>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</si>
  <si>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</si>
  <si>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</si>
  <si>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</si>
  <si>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</si>
  <si>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</si>
  <si>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</si>
  <si>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</si>
  <si>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</si>
  <si>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</si>
  <si>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</si>
  <si>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</si>
  <si>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</si>
  <si>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</si>
  <si>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</si>
  <si>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</si>
  <si>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</si>
  <si>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</si>
  <si>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</si>
  <si>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</si>
  <si>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</si>
  <si>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</si>
  <si>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</si>
  <si>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</si>
  <si>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</si>
  <si>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</si>
  <si>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</si>
  <si>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</si>
  <si>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</si>
  <si>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</si>
  <si>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</si>
  <si>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</si>
  <si>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</si>
  <si>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</si>
  <si>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</si>
  <si>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</si>
  <si>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</si>
  <si>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</si>
  <si>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</si>
  <si>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</si>
  <si>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</si>
  <si>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</si>
  <si>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</si>
  <si>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</si>
  <si>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</si>
  <si>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</si>
  <si>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</si>
  <si>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</si>
  <si>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</si>
  <si>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</si>
  <si>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</si>
  <si>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</si>
  <si>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</si>
  <si>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</si>
  <si>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</si>
  <si>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</si>
  <si>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</si>
  <si>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</si>
  <si>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</si>
  <si>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</si>
  <si>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</si>
  <si>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</si>
  <si>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</si>
  <si>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</si>
  <si>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</si>
  <si>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</si>
  <si>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</si>
  <si>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</si>
  <si>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</si>
  <si>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</si>
  <si>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</si>
  <si>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</si>
  <si>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</si>
  <si>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</si>
  <si>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</si>
  <si>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</si>
  <si>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</si>
  <si>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</si>
  <si>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</si>
  <si>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</si>
  <si>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</si>
  <si>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</si>
  <si>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</si>
  <si>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</si>
  <si>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</si>
  <si>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</si>
  <si>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</si>
  <si>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</si>
  <si>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</si>
  <si>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</si>
  <si>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</si>
  <si>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</si>
  <si>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</si>
  <si>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</si>
  <si>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</si>
  <si>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</si>
  <si>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</si>
  <si>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</si>
  <si>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</si>
  <si>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</si>
  <si>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</si>
  <si>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</si>
  <si>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</si>
  <si>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</si>
  <si>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</si>
  <si>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</si>
  <si>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</si>
  <si>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</si>
  <si>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</si>
  <si>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</si>
  <si>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</si>
  <si>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</si>
  <si>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</si>
  <si>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</si>
  <si>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</si>
  <si>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</si>
  <si>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</si>
  <si>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</si>
  <si>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</si>
  <si>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</si>
  <si>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</si>
  <si>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</si>
  <si>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</si>
  <si>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</si>
  <si>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</si>
  <si>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</si>
  <si>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</si>
  <si>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</si>
  <si>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</si>
  <si>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</si>
  <si>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</si>
  <si>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</si>
  <si>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</si>
  <si>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</si>
  <si>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</si>
  <si>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</si>
  <si>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</si>
  <si>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</si>
  <si>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</si>
  <si>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</si>
  <si>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</si>
  <si>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</si>
  <si>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</si>
  <si>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</si>
  <si>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</si>
  <si>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</si>
  <si>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</si>
  <si>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</si>
  <si>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</si>
  <si>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</si>
  <si>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</si>
  <si>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</si>
  <si>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</si>
  <si>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</si>
  <si>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</si>
  <si>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</si>
  <si>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</si>
  <si>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</si>
  <si>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</si>
  <si>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</si>
  <si>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</si>
  <si>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</si>
  <si>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</si>
  <si>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</si>
  <si>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</si>
  <si>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</si>
  <si>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</si>
  <si>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</si>
  <si>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</si>
  <si>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</si>
  <si>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</si>
  <si>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</si>
  <si>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</si>
  <si>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</si>
  <si>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</si>
  <si>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</si>
  <si>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</si>
  <si>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</si>
  <si>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</si>
  <si>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</si>
  <si>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</si>
  <si>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</si>
  <si>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</si>
  <si>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</si>
  <si>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</si>
  <si>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</si>
  <si>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</si>
  <si>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</si>
  <si>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</si>
  <si>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</si>
  <si>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</si>
  <si>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</si>
  <si>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</si>
  <si>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</si>
  <si>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</si>
  <si>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</si>
  <si>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</si>
  <si>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</si>
  <si>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</si>
  <si>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</si>
  <si>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</si>
  <si>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</si>
  <si>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</si>
  <si>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</si>
  <si>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</si>
  <si>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</si>
  <si>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</si>
  <si>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</si>
  <si>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</si>
  <si>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</si>
  <si>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</si>
  <si>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</si>
  <si>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</si>
  <si>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</si>
  <si>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</si>
  <si>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</si>
  <si>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</si>
  <si>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</si>
  <si>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</si>
  <si>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</si>
  <si>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</si>
  <si>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</si>
  <si>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</si>
  <si>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</si>
  <si>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</si>
  <si>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</si>
  <si>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</si>
  <si>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</si>
  <si>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</si>
  <si>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</si>
  <si>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</si>
  <si>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</si>
  <si>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</si>
  <si>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</si>
  <si>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</si>
  <si>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</si>
  <si>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</si>
  <si>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</si>
  <si>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</si>
  <si>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</si>
  <si>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</si>
  <si>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</si>
  <si>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</si>
  <si>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</si>
  <si>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</si>
  <si>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</si>
  <si>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</si>
  <si>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</si>
  <si>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</si>
  <si>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</si>
  <si>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</si>
  <si>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</si>
  <si>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</si>
  <si>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</si>
  <si>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</si>
  <si>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</si>
  <si>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</si>
  <si>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</si>
  <si>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</si>
  <si>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</si>
  <si>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</si>
  <si>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</si>
  <si>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</si>
  <si>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</si>
  <si>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</si>
  <si>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</si>
  <si>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</si>
  <si>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</si>
  <si>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</si>
  <si>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</si>
  <si>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</si>
  <si>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</si>
  <si>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</si>
  <si>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</si>
  <si>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</si>
  <si>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</si>
  <si>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</si>
  <si>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</si>
  <si>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</si>
  <si>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</si>
  <si>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</si>
  <si>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</si>
  <si>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</si>
  <si>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</si>
  <si>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</si>
  <si>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</si>
  <si>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</si>
  <si>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</si>
  <si>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</si>
  <si>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</si>
  <si>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</si>
  <si>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</si>
  <si>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</si>
  <si>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</si>
  <si>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</si>
  <si>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</si>
  <si>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</si>
  <si>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</si>
  <si>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</si>
  <si>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</si>
  <si>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</si>
  <si>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</si>
  <si>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</si>
  <si>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</si>
  <si>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</si>
  <si>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</si>
  <si>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</si>
  <si>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</si>
  <si>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</si>
  <si>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</si>
  <si>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</si>
  <si>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</si>
  <si>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</si>
  <si>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</si>
  <si>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</si>
  <si>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</si>
  <si>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</si>
  <si>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</si>
  <si>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</si>
  <si>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</si>
  <si>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</si>
  <si>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</si>
  <si>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</si>
  <si>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</si>
  <si>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</si>
  <si>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</si>
  <si>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</si>
  <si>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</si>
  <si>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</si>
  <si>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</si>
  <si>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</si>
  <si>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</si>
  <si>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</si>
  <si>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</si>
  <si>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</si>
  <si>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</si>
  <si>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</si>
  <si>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</si>
  <si>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</si>
  <si>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</si>
  <si>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</si>
  <si>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</si>
  <si>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</si>
  <si>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</si>
  <si>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</si>
  <si>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</si>
  <si>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</si>
  <si>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</si>
  <si>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</si>
  <si>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</si>
  <si>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</si>
  <si>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</si>
  <si>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</si>
  <si>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</si>
  <si>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</si>
  <si>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</si>
  <si>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</si>
  <si>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</si>
  <si>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</si>
  <si>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</si>
  <si>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</si>
  <si>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</si>
  <si>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</si>
  <si>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</si>
  <si>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</si>
  <si>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</si>
  <si>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</si>
  <si>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</si>
  <si>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</si>
  <si>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</si>
  <si>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</si>
  <si>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</si>
  <si>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</si>
  <si>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</si>
  <si>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</si>
  <si>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</si>
  <si>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</si>
  <si>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</si>
  <si>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</si>
  <si>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</si>
  <si>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</si>
  <si>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</si>
  <si>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</si>
  <si>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</si>
  <si>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</si>
  <si>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</si>
  <si>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</si>
  <si>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</si>
  <si>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</si>
  <si>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</si>
  <si>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</si>
  <si>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</si>
  <si>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</si>
  <si>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</si>
  <si>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</si>
  <si>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</si>
  <si>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</si>
  <si>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</si>
  <si>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</si>
  <si>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</si>
  <si>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</si>
  <si>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</si>
  <si>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</si>
  <si>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</si>
  <si>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</si>
  <si>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</si>
  <si>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</si>
  <si>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</si>
  <si>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</si>
  <si>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</si>
  <si>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</si>
  <si>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</si>
  <si>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</si>
  <si>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</si>
  <si>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</si>
  <si>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</si>
  <si>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</si>
  <si>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</si>
  <si>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</si>
  <si>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</si>
  <si>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</si>
  <si>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</si>
  <si>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</si>
  <si>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</si>
  <si>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</si>
  <si>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</si>
  <si>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</si>
  <si>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</si>
  <si>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</si>
  <si>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</si>
  <si>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</si>
  <si>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</si>
  <si>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</si>
  <si>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</si>
  <si>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</si>
  <si>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</si>
  <si>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</si>
  <si>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</si>
  <si>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</si>
  <si>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</si>
  <si>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</si>
  <si>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</si>
  <si>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</si>
  <si>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</si>
  <si>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</si>
  <si>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</si>
  <si>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</si>
  <si>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</si>
  <si>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</si>
  <si>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</si>
  <si>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</si>
  <si>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</si>
  <si>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</si>
  <si>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</si>
  <si>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</si>
  <si>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</si>
  <si>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</si>
  <si>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</si>
  <si>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</si>
  <si>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</si>
  <si>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</si>
  <si>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</si>
  <si>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</si>
  <si>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</si>
  <si>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</si>
  <si>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</si>
  <si>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</si>
  <si>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</si>
  <si>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</si>
  <si>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</si>
  <si>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</si>
  <si>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</si>
  <si>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</si>
  <si>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</si>
  <si>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</si>
  <si>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</si>
  <si>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</si>
  <si>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</si>
  <si>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</si>
  <si>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</si>
  <si>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</si>
  <si>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</si>
  <si>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</si>
  <si>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</si>
  <si>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</si>
  <si>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</si>
  <si>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</si>
  <si>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</si>
  <si>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</si>
  <si>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</si>
  <si>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</si>
  <si>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</si>
  <si>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</si>
  <si>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</si>
  <si>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</si>
  <si>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</si>
  <si>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</si>
  <si>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</si>
  <si>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</si>
  <si>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</si>
  <si>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</si>
  <si>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</si>
  <si>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</si>
  <si>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</si>
  <si>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</si>
  <si>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</si>
  <si>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</si>
  <si>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</si>
  <si>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</si>
  <si>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</si>
  <si>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</si>
  <si>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</si>
  <si>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</si>
  <si>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</si>
  <si>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</si>
  <si>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</si>
  <si>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</si>
  <si>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</si>
  <si>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</si>
  <si>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</si>
  <si>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</si>
  <si>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</si>
  <si>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</si>
  <si>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</si>
  <si>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</si>
  <si>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</si>
  <si>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</si>
  <si>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</si>
  <si>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</si>
  <si>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</si>
  <si>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</si>
  <si>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</si>
  <si>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</si>
  <si>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</si>
  <si>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</si>
  <si>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</si>
  <si>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</si>
  <si>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</si>
  <si>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</si>
  <si>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</si>
  <si>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</si>
  <si>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</si>
  <si>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</si>
  <si>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</si>
  <si>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</si>
  <si>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</si>
  <si>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</si>
  <si>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</si>
  <si>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</si>
  <si>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</si>
  <si>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</si>
  <si>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</si>
  <si>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</si>
  <si>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</si>
  <si>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</si>
  <si>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</si>
  <si>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</si>
  <si>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</si>
  <si>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</si>
  <si>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</si>
  <si>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</si>
  <si>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</si>
  <si>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</si>
  <si>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</si>
  <si>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</si>
  <si>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</si>
  <si>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</si>
  <si>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</si>
  <si>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</si>
  <si>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</si>
  <si>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</si>
  <si>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</si>
  <si>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</si>
  <si>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</si>
  <si>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</si>
  <si>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</si>
  <si>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</si>
  <si>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</si>
  <si>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</si>
  <si>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</si>
  <si>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</si>
  <si>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</si>
  <si>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</si>
  <si>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</si>
  <si>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</si>
  <si>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</si>
  <si>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</si>
  <si>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</si>
  <si>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</si>
  <si>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</si>
  <si>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</si>
  <si>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</si>
  <si>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</si>
  <si>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</si>
  <si>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</si>
  <si>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</si>
  <si>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</si>
  <si>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</si>
  <si>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</si>
  <si>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</si>
  <si>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</si>
  <si>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</si>
  <si>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</si>
  <si>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</si>
  <si>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</si>
  <si>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</si>
  <si>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</si>
  <si>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</si>
  <si>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</si>
  <si>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</si>
  <si>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</si>
  <si>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</si>
  <si>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</si>
  <si>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</si>
  <si>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</si>
  <si>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</si>
  <si>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</si>
  <si>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</si>
  <si>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</si>
  <si>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</si>
  <si>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</si>
  <si>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</si>
  <si>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</si>
  <si>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</si>
  <si>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</si>
  <si>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</si>
  <si>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</si>
  <si>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</si>
  <si>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</si>
  <si>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</si>
  <si>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</si>
  <si>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</si>
  <si>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</si>
  <si>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</si>
  <si>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</si>
  <si>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</si>
  <si>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</si>
  <si>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</si>
  <si>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</si>
  <si>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</si>
  <si>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</si>
  <si>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</si>
  <si>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</si>
  <si>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</si>
  <si>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</si>
  <si>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</si>
  <si>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</si>
  <si>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</si>
  <si>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</si>
  <si>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</si>
  <si>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</si>
  <si>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</si>
  <si>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</si>
  <si>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</si>
  <si>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</si>
  <si>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</si>
  <si>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</si>
  <si>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</si>
  <si>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</si>
  <si>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</si>
  <si>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</si>
  <si>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</si>
  <si>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</si>
  <si>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</si>
  <si>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</si>
  <si>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</si>
  <si>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</si>
  <si>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</si>
  <si>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</si>
  <si>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</si>
  <si>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</si>
  <si>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</si>
  <si>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</si>
  <si>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</si>
  <si>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</si>
  <si>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</si>
  <si>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</si>
  <si>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</si>
  <si>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</si>
  <si>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</si>
  <si>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</si>
  <si>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</si>
  <si>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</si>
  <si>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</si>
  <si>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</si>
  <si>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</si>
  <si>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</si>
  <si>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</si>
  <si>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</si>
  <si>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</si>
  <si>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</si>
  <si>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</si>
  <si>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</si>
  <si>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</si>
  <si>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</si>
  <si>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</si>
  <si>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</si>
  <si>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</si>
  <si>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</si>
  <si>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</si>
  <si>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</si>
  <si>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</si>
  <si>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</si>
  <si>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</si>
  <si>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</si>
  <si>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</si>
  <si>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</si>
  <si>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</si>
  <si>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</si>
  <si>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</si>
  <si>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</si>
  <si>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</si>
  <si>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</si>
  <si>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</si>
  <si>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</si>
  <si>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</si>
  <si>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</si>
  <si>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</si>
  <si>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</si>
  <si>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</si>
  <si>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</si>
  <si>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</si>
  <si>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</si>
  <si>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</si>
  <si>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</si>
  <si>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</si>
  <si>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</si>
  <si>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</si>
  <si>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</si>
  <si>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</si>
  <si>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</si>
  <si>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</si>
  <si>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</si>
  <si>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</si>
  <si>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</si>
  <si>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</si>
  <si>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</si>
  <si>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</si>
  <si>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</si>
  <si>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</si>
  <si>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</si>
  <si>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</si>
  <si>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</si>
  <si>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</si>
  <si>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</si>
  <si>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</si>
  <si>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</si>
  <si>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</si>
  <si>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</si>
  <si>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</si>
  <si>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</si>
  <si>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</si>
  <si>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</si>
  <si>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</si>
  <si>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</si>
  <si>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</si>
  <si>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</si>
  <si>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</si>
  <si>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</si>
  <si>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</si>
  <si>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</si>
  <si>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</si>
  <si>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</si>
  <si>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</si>
  <si>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</si>
  <si>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</si>
  <si>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</si>
  <si>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</si>
  <si>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</si>
  <si>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</si>
  <si>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</si>
  <si>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</si>
  <si>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</si>
  <si>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</si>
  <si>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</si>
  <si>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</si>
  <si>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</si>
  <si>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</si>
  <si>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</si>
  <si>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</si>
  <si>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</si>
  <si>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</si>
  <si>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</si>
  <si>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</si>
  <si>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</si>
  <si>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</si>
  <si>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</si>
  <si>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</si>
  <si>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</si>
  <si>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</si>
  <si>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</si>
  <si>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</si>
  <si>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</si>
  <si>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</si>
  <si>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</si>
  <si>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</si>
  <si>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</si>
  <si>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</si>
  <si>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</si>
  <si>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</si>
  <si>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</si>
  <si>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</si>
  <si>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</si>
  <si>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</si>
  <si>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</si>
  <si>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</si>
  <si>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</si>
  <si>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</si>
  <si>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</si>
  <si>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</si>
  <si>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</si>
  <si>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</si>
  <si>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</si>
  <si>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</si>
  <si>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</si>
  <si>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</si>
  <si>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</si>
  <si>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</si>
  <si>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</si>
  <si>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</si>
  <si>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</si>
  <si>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</si>
  <si>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</si>
  <si>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</si>
  <si>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</si>
  <si>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</si>
  <si>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</si>
  <si>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</si>
  <si>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</si>
  <si>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</si>
  <si>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</si>
  <si>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</si>
  <si>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</si>
  <si>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</si>
  <si>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</si>
  <si>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</si>
  <si>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</si>
  <si>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</si>
  <si>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</si>
  <si>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</si>
  <si>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</si>
  <si>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</si>
  <si>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</si>
  <si>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</si>
  <si>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</si>
  <si>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</si>
  <si>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</si>
  <si>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</si>
  <si>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</si>
  <si>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</si>
  <si>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</si>
  <si>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</si>
  <si>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</si>
  <si>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</si>
  <si>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</si>
  <si>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</si>
  <si>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</si>
  <si>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</si>
  <si>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</si>
  <si>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</si>
  <si>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</si>
  <si>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</si>
  <si>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</si>
  <si>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</si>
  <si>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</si>
  <si>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</si>
  <si>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</si>
  <si>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</si>
  <si>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</si>
  <si>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</si>
  <si>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</si>
  <si>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</si>
  <si>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</si>
  <si>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</si>
  <si>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</si>
  <si>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</si>
  <si>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</si>
  <si>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</si>
  <si>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</si>
  <si>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</si>
  <si>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</si>
  <si>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</si>
  <si>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</si>
  <si>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</si>
  <si>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</si>
  <si>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</si>
  <si>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</si>
  <si>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</si>
  <si>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</si>
  <si>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</si>
  <si>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</si>
  <si>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</si>
  <si>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</si>
  <si>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</si>
  <si>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</si>
  <si>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</si>
  <si>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</si>
  <si>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</si>
  <si>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</si>
  <si>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</si>
  <si>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</si>
  <si>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</si>
  <si>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</si>
  <si>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</si>
  <si>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</si>
  <si>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</si>
  <si>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</si>
  <si>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</si>
  <si>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</si>
  <si>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</si>
  <si>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</si>
  <si>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</si>
  <si>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</si>
  <si>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</si>
  <si>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</si>
  <si>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</si>
  <si>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</si>
  <si>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</si>
  <si>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</si>
  <si>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</si>
  <si>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</si>
  <si>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</si>
  <si>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</si>
  <si>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</si>
  <si>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</si>
  <si>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</si>
  <si>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</si>
  <si>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</si>
  <si>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</si>
  <si>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</si>
  <si>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</si>
  <si>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</si>
  <si>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</si>
  <si>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</si>
  <si>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</si>
  <si>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</si>
  <si>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</si>
  <si>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</si>
  <si>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</si>
  <si>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</si>
  <si>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</si>
  <si>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</si>
  <si>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</si>
  <si>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</si>
  <si>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</si>
  <si>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</si>
  <si>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</si>
  <si>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</si>
  <si>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</si>
  <si>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</si>
  <si>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</si>
  <si>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</si>
  <si>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</si>
  <si>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</si>
  <si>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</si>
  <si>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</si>
  <si>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</si>
  <si>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</si>
  <si>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</si>
  <si>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</si>
  <si>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</si>
  <si>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</si>
  <si>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</si>
  <si>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</si>
  <si>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</si>
  <si>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</si>
  <si>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</si>
  <si>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</si>
  <si>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</si>
  <si>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</si>
  <si>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</si>
  <si>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</si>
  <si>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</si>
  <si>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</si>
  <si>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</si>
  <si>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</si>
  <si>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</si>
  <si>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</si>
  <si>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</si>
  <si>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</si>
  <si>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</si>
  <si>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</si>
  <si>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</si>
  <si>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</si>
  <si>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</si>
  <si>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</si>
  <si>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</si>
  <si>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</si>
  <si>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</si>
  <si>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</si>
  <si>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</si>
  <si>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</si>
  <si>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</si>
  <si>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</si>
  <si>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</si>
  <si>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</si>
  <si>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</si>
  <si>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</si>
  <si>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</si>
  <si>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</si>
  <si>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</si>
  <si>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</si>
  <si>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</si>
  <si>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</si>
  <si>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</si>
  <si>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</si>
  <si>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</si>
  <si>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</si>
  <si>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</si>
  <si>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</si>
  <si>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</si>
  <si>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</si>
  <si>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</si>
  <si>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</si>
  <si>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</si>
  <si>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</si>
  <si>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</si>
  <si>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</si>
  <si>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</si>
  <si>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</si>
  <si>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</si>
  <si>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</si>
  <si>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</si>
  <si>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</si>
  <si>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</si>
  <si>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</si>
  <si>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</si>
  <si>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</si>
  <si>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</si>
  <si>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</si>
  <si>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</si>
  <si>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</si>
  <si>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</si>
  <si>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</si>
  <si>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</si>
  <si>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</si>
  <si>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</si>
  <si>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</si>
  <si>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</si>
  <si>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</si>
  <si>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</si>
  <si>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</si>
  <si>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</si>
  <si>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</si>
  <si>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</si>
  <si>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</si>
  <si>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</si>
  <si>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</si>
  <si>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</si>
  <si>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</si>
  <si>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</si>
  <si>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</si>
  <si>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</si>
  <si>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</si>
  <si>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</si>
  <si>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</si>
  <si>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</si>
  <si>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</si>
  <si>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</si>
  <si>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</si>
  <si>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</si>
  <si>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</si>
  <si>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</si>
  <si>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</si>
  <si>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</si>
  <si>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</si>
  <si>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</si>
  <si>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</si>
  <si>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</si>
  <si>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</si>
  <si>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</si>
  <si>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</si>
  <si>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</si>
  <si>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</si>
  <si>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</si>
  <si>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</si>
  <si>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</si>
  <si>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</si>
  <si>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</si>
  <si>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</si>
  <si>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</si>
  <si>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</si>
  <si>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</si>
  <si>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</si>
  <si>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</si>
  <si>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</si>
  <si>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</si>
  <si>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</si>
  <si>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</si>
  <si>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</si>
  <si>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</si>
  <si>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</si>
  <si>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</si>
  <si>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</si>
  <si>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</si>
  <si>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</si>
  <si>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</si>
  <si>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</si>
  <si>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</si>
  <si>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</si>
  <si>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</si>
  <si>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</si>
  <si>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</si>
  <si>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</si>
  <si>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</si>
  <si>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</si>
  <si>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</si>
  <si>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</si>
  <si>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</si>
  <si>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</si>
  <si>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</si>
  <si>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</si>
  <si>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</si>
  <si>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</si>
  <si>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</si>
  <si>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</si>
  <si>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</si>
  <si>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</si>
  <si>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</si>
  <si>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</si>
  <si>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</si>
  <si>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</si>
  <si>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</si>
  <si>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</si>
  <si>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</si>
  <si>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</si>
  <si>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</si>
  <si>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</si>
  <si>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</si>
  <si>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</si>
  <si>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</si>
  <si>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</si>
  <si>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</si>
  <si>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</si>
  <si>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</si>
  <si>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</si>
  <si>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</si>
  <si>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</si>
  <si>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</si>
  <si>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</si>
  <si>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</si>
  <si>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</si>
  <si>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</si>
  <si>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</si>
  <si>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</si>
  <si>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</si>
  <si>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</si>
  <si>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</si>
  <si>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</si>
  <si>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</si>
  <si>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</si>
  <si>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</si>
  <si>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</si>
  <si>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</si>
  <si>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</si>
  <si>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</si>
  <si>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</si>
  <si>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</si>
  <si>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</si>
  <si>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</si>
  <si>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</si>
  <si>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</si>
  <si>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</si>
  <si>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</si>
  <si>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</si>
  <si>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</si>
  <si>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</si>
  <si>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</si>
  <si>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</si>
  <si>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</si>
  <si>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</si>
  <si>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</si>
  <si>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</si>
  <si>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</si>
  <si>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</si>
  <si>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</si>
  <si>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</si>
  <si>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</si>
  <si>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</si>
  <si>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</si>
  <si>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</si>
  <si>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</si>
  <si>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</si>
  <si>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</si>
  <si>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</si>
  <si>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</si>
  <si>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</si>
  <si>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</si>
  <si>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</si>
  <si>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</si>
  <si>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</si>
  <si>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</si>
  <si>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</si>
  <si>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</si>
  <si>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</si>
  <si>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</si>
  <si>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</si>
  <si>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</si>
  <si>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</si>
  <si>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</si>
  <si>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</si>
  <si>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</si>
  <si>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</si>
  <si>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</si>
  <si>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</si>
  <si>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</si>
  <si>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</si>
  <si>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</si>
  <si>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</si>
  <si>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</si>
  <si>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</si>
  <si>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</si>
  <si>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</si>
  <si>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</si>
  <si>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</si>
  <si>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</si>
  <si>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</si>
  <si>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</si>
  <si>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</si>
  <si>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</si>
  <si>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</si>
  <si>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</si>
  <si>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</si>
  <si>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</si>
  <si>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</si>
  <si>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</si>
  <si>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</si>
  <si>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</si>
  <si>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</si>
  <si>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</si>
  <si>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</si>
  <si>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</si>
  <si>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</si>
  <si>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</si>
  <si>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</si>
  <si>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</si>
  <si>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</si>
  <si>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</si>
  <si>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</si>
  <si>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</si>
  <si>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</si>
  <si>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</si>
  <si>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</si>
  <si>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</si>
  <si>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</si>
  <si>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</si>
  <si>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</si>
  <si>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</si>
  <si>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</si>
  <si>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</si>
  <si>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</si>
  <si>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</si>
  <si>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</si>
  <si>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</si>
  <si>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</si>
  <si>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</si>
  <si>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</si>
  <si>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</si>
  <si>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</si>
  <si>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</si>
  <si>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</si>
  <si>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</si>
  <si>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</si>
  <si>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</si>
  <si>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</si>
  <si>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</si>
  <si>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</si>
  <si>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</si>
  <si>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</si>
  <si>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</si>
  <si>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</si>
  <si>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</si>
  <si>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</si>
  <si>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</si>
  <si>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</si>
  <si>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</si>
  <si>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</si>
  <si>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</si>
  <si>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</si>
  <si>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</si>
  <si>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</si>
  <si>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</si>
  <si>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</si>
  <si>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</si>
  <si>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</si>
  <si>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</si>
  <si>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</si>
  <si>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</si>
  <si>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</si>
  <si>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</si>
  <si>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</si>
  <si>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</si>
  <si>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</si>
  <si>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</si>
  <si>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</si>
  <si>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</si>
  <si>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</si>
  <si>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</si>
  <si>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</si>
  <si>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</si>
  <si>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</si>
  <si>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</si>
  <si>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</si>
  <si>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</si>
  <si>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</si>
  <si>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</si>
  <si>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</si>
  <si>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</si>
  <si>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</si>
  <si>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</si>
  <si>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</si>
  <si>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</si>
  <si>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</si>
  <si>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</si>
  <si>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</si>
  <si>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</si>
  <si>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</si>
  <si>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</si>
  <si>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</si>
  <si>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</si>
  <si>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</si>
  <si>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</si>
  <si>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</si>
  <si>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</si>
  <si>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</si>
  <si>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</si>
  <si>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</si>
  <si>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</si>
  <si>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</si>
  <si>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</si>
  <si>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</si>
  <si>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</si>
  <si>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</si>
  <si>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</si>
  <si>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</si>
  <si>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</si>
  <si>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</si>
  <si>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</si>
  <si>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</si>
  <si>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</si>
  <si>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</si>
  <si>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</si>
  <si>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</si>
  <si>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</si>
  <si>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</si>
  <si>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</si>
  <si>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</si>
  <si>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</si>
  <si>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</si>
  <si>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</si>
  <si>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</si>
  <si>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</si>
  <si>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</si>
  <si>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</si>
  <si>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</si>
  <si>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</si>
  <si>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</si>
  <si>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</si>
  <si>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</si>
  <si>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</si>
  <si>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</si>
  <si>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</si>
  <si>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</si>
  <si>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</si>
  <si>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</si>
  <si>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</si>
  <si>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</si>
  <si>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</si>
  <si>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</si>
  <si>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</si>
  <si>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</si>
  <si>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</si>
  <si>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</si>
  <si>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</si>
  <si>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</si>
  <si>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</si>
  <si>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</si>
  <si>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</si>
  <si>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</si>
  <si>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</si>
  <si>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</si>
  <si>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</si>
  <si>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</si>
  <si>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</si>
  <si>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</si>
  <si>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</si>
  <si>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</si>
  <si>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</si>
  <si>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</si>
  <si>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</si>
  <si>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</si>
  <si>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</si>
  <si>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</si>
  <si>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</si>
  <si>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</si>
  <si>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</si>
  <si>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</si>
  <si>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</si>
  <si>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</si>
  <si>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</si>
  <si>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</si>
  <si>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</si>
  <si>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</si>
  <si>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</si>
  <si>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</si>
  <si>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</si>
  <si>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</si>
  <si>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</si>
  <si>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</si>
  <si>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</si>
  <si>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</si>
  <si>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</si>
  <si>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</si>
  <si>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</si>
  <si>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</si>
  <si>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</si>
  <si>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</si>
  <si>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</si>
  <si>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</si>
  <si>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</si>
  <si>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</si>
  <si>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</si>
  <si>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</si>
  <si>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</si>
  <si>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</si>
  <si>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</si>
  <si>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</si>
  <si>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</si>
  <si>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</si>
  <si>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</si>
  <si>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</si>
  <si>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</si>
  <si>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</si>
  <si>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</si>
  <si>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</si>
  <si>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</si>
  <si>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</si>
  <si>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</si>
  <si>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</si>
  <si>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</si>
  <si>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</si>
  <si>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</si>
  <si>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</si>
  <si>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</si>
  <si>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</si>
  <si>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</si>
  <si>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</si>
  <si>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</si>
  <si>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</si>
  <si>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</si>
  <si>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</si>
  <si>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</si>
  <si>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</si>
  <si>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</si>
  <si>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</si>
  <si>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</si>
  <si>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</si>
  <si>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</si>
  <si>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</si>
  <si>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</si>
  <si>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</si>
  <si>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</si>
  <si>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</si>
  <si>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</si>
  <si>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</si>
  <si>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</si>
  <si>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</si>
  <si>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</si>
  <si>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</si>
  <si>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</si>
  <si>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</si>
  <si>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</si>
  <si>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</si>
  <si>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</si>
  <si>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</si>
  <si>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</si>
  <si>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</si>
  <si>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</si>
  <si>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</si>
  <si>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</si>
  <si>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</si>
  <si>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</si>
  <si>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</si>
  <si>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</si>
  <si>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</si>
  <si>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</si>
  <si>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</si>
  <si>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</si>
  <si>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</si>
  <si>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</si>
  <si>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</si>
  <si>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</si>
  <si>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</si>
  <si>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</si>
  <si>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</si>
  <si>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</si>
  <si>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</si>
  <si>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</si>
  <si>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</si>
  <si>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</si>
  <si>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</si>
  <si>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</si>
  <si>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</si>
  <si>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</si>
  <si>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</si>
  <si>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</si>
  <si>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</si>
  <si>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</si>
  <si>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</si>
  <si>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</si>
  <si>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</si>
  <si>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</si>
  <si>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</si>
  <si>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</si>
  <si>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</si>
  <si>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</si>
  <si>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</si>
  <si>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</si>
  <si>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</si>
  <si>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</si>
  <si>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</si>
  <si>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</si>
  <si>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</si>
  <si>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</si>
  <si>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</si>
  <si>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</si>
  <si>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</si>
  <si>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</si>
  <si>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</si>
  <si>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</si>
  <si>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</si>
  <si>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</si>
  <si>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</si>
  <si>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</si>
  <si>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</si>
  <si>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</si>
  <si>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</si>
  <si>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</si>
  <si>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</si>
  <si>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</si>
  <si>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</si>
  <si>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</si>
  <si>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</si>
  <si>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</si>
  <si>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</si>
  <si>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</si>
  <si>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</si>
  <si>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</si>
  <si>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</si>
  <si>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</si>
  <si>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</si>
  <si>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</si>
  <si>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</si>
  <si>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</si>
  <si>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</si>
  <si>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</si>
  <si>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</si>
  <si>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</si>
  <si>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</si>
  <si>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</si>
  <si>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</si>
  <si>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</si>
  <si>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</si>
  <si>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</si>
  <si>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</si>
  <si>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</si>
  <si>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</si>
  <si>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</si>
  <si>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</si>
  <si>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</si>
  <si>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</si>
  <si>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</si>
  <si>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</si>
  <si>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</si>
  <si>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</si>
  <si>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</si>
  <si>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</si>
  <si>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</si>
  <si>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</si>
  <si>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</si>
  <si>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</si>
  <si>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</si>
  <si>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</si>
  <si>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</si>
  <si>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</si>
  <si>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</si>
  <si>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</si>
  <si>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</si>
  <si>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</si>
  <si>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</si>
  <si>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</si>
  <si>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</si>
  <si>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</si>
  <si>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</si>
  <si>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</si>
  <si>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</si>
  <si>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</si>
  <si>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</si>
  <si>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</si>
  <si>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</si>
  <si>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</si>
  <si>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</si>
  <si>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</si>
  <si>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</si>
  <si>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</si>
  <si>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</si>
  <si>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</si>
  <si>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</si>
  <si>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</si>
  <si>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</si>
  <si>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</si>
  <si>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</si>
  <si>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</si>
  <si>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</si>
  <si>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</si>
  <si>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</si>
  <si>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</si>
  <si>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</si>
  <si>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</si>
  <si>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</si>
  <si>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</si>
  <si>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</si>
  <si>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</si>
  <si>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</si>
  <si>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</si>
  <si>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</si>
  <si>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</si>
  <si>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</si>
  <si>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</si>
  <si>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</si>
  <si>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</si>
  <si>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</si>
  <si>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</si>
  <si>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</si>
  <si>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</si>
  <si>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</si>
  <si>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</si>
  <si>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</si>
  <si>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</si>
  <si>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</si>
  <si>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</si>
  <si>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</si>
  <si>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</si>
  <si>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</si>
  <si>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</si>
  <si>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</si>
  <si>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</si>
  <si>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</si>
  <si>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</si>
  <si>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</si>
  <si>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</si>
  <si>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</si>
  <si>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</si>
  <si>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</si>
  <si>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</si>
  <si>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</si>
  <si>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</si>
  <si>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</si>
  <si>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</si>
  <si>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</si>
  <si>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</si>
  <si>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</si>
  <si>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</si>
  <si>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</si>
  <si>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</si>
  <si>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</si>
  <si>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</si>
  <si>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</si>
  <si>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</si>
  <si>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</si>
  <si>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</si>
  <si>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</si>
  <si>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</si>
  <si>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</si>
  <si>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</si>
  <si>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</si>
  <si>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</si>
  <si>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</si>
  <si>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</si>
  <si>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</si>
  <si>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</si>
  <si>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</si>
  <si>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</si>
  <si>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</si>
  <si>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</si>
  <si>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</si>
  <si>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</si>
  <si>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</si>
  <si>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</si>
  <si>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</si>
  <si>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</si>
  <si>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</si>
  <si>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</si>
  <si>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</si>
  <si>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</si>
  <si>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</si>
  <si>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</si>
  <si>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</si>
  <si>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</si>
  <si>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</si>
  <si>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</si>
  <si>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</si>
  <si>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</si>
  <si>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</si>
  <si>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</si>
  <si>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</si>
  <si>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</si>
  <si>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</si>
  <si>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</si>
  <si>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</si>
  <si>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</si>
  <si>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</si>
  <si>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</si>
  <si>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</si>
  <si>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</si>
  <si>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</si>
  <si>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</si>
  <si>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</si>
  <si>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</si>
  <si>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</si>
  <si>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</si>
  <si>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</si>
  <si>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</si>
  <si>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</si>
  <si>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</si>
  <si>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</si>
  <si>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</si>
  <si>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</si>
  <si>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</si>
  <si>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</si>
  <si>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</si>
  <si>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</si>
  <si>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</si>
  <si>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</si>
  <si>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</si>
  <si>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</si>
  <si>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</si>
  <si>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</si>
  <si>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</si>
  <si>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</si>
  <si>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</si>
  <si>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</si>
  <si>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</si>
  <si>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</si>
  <si>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</si>
  <si>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</si>
  <si>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</si>
  <si>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</si>
  <si>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</si>
  <si>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</si>
  <si>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</si>
  <si>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</si>
  <si>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</si>
  <si>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</si>
  <si>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</si>
  <si>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</si>
  <si>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</si>
  <si>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</si>
  <si>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</si>
  <si>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</si>
  <si>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</si>
  <si>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</si>
  <si>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</si>
  <si>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</si>
  <si>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</si>
  <si>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</si>
  <si>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</si>
  <si>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</si>
  <si>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</si>
  <si>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</si>
  <si>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</si>
  <si>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</si>
  <si>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</si>
  <si>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</si>
  <si>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</si>
  <si>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</si>
  <si>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</si>
  <si>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</si>
  <si>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</si>
  <si>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</si>
  <si>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</si>
  <si>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</si>
  <si>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</si>
  <si>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</si>
  <si>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</si>
  <si>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</si>
  <si>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</si>
  <si>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</si>
  <si>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</si>
  <si>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</si>
  <si>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</si>
  <si>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</si>
  <si>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</si>
  <si>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</si>
  <si>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</si>
  <si>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</si>
  <si>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</si>
  <si>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</si>
  <si>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</si>
  <si>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</si>
  <si>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</si>
  <si>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</si>
  <si>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</si>
  <si>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</si>
  <si>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</si>
  <si>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</si>
  <si>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</si>
  <si>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</si>
  <si>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</si>
  <si>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</si>
  <si>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</si>
  <si>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</si>
  <si>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</si>
  <si>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</si>
  <si>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</si>
  <si>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</si>
  <si>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</si>
  <si>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</si>
  <si>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</si>
  <si>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</si>
  <si>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</si>
  <si>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</si>
  <si>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</si>
  <si>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</si>
  <si>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</si>
  <si>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</si>
  <si>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</si>
  <si>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</si>
  <si>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</si>
  <si>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</si>
  <si>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</si>
  <si>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</si>
  <si>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</si>
  <si>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</si>
  <si>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</si>
  <si>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</si>
  <si>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</si>
  <si>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</si>
  <si>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</si>
  <si>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</si>
  <si>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</si>
  <si>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</si>
  <si>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</si>
  <si>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</si>
  <si>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</si>
  <si>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</si>
  <si>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</si>
  <si>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</si>
  <si>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</si>
  <si>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</si>
  <si>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</si>
  <si>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</si>
  <si>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</si>
  <si>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</si>
  <si>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</si>
  <si>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</si>
  <si>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</si>
  <si>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</si>
  <si>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</si>
  <si>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</si>
  <si>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</si>
  <si>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</si>
  <si>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</si>
  <si>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</si>
  <si>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</si>
  <si>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</si>
  <si>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</si>
  <si>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</si>
  <si>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</si>
  <si>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</si>
  <si>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</si>
  <si>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</si>
  <si>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</si>
  <si>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</si>
  <si>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</si>
  <si>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</si>
  <si>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</si>
  <si>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</si>
  <si>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</si>
  <si>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</si>
  <si>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</si>
  <si>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</si>
  <si>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</si>
  <si>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</si>
  <si>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</si>
  <si>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</si>
  <si>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</si>
  <si>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</si>
  <si>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</si>
  <si>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</si>
  <si>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</si>
  <si>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</si>
  <si>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</si>
  <si>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</si>
  <si>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</si>
  <si>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</si>
  <si>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</si>
  <si>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</si>
  <si>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</si>
  <si>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</si>
  <si>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</si>
  <si>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</si>
  <si>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</si>
  <si>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</si>
  <si>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</si>
  <si>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</si>
  <si>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</si>
  <si>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</si>
  <si>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</si>
  <si>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</si>
  <si>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</si>
  <si>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</si>
  <si>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</si>
  <si>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</si>
  <si>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</si>
  <si>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</si>
  <si>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</si>
  <si>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</si>
  <si>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</si>
  <si>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</si>
  <si>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</si>
  <si>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</si>
  <si>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</si>
  <si>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</si>
  <si>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</si>
  <si>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</si>
  <si>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</si>
  <si>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</si>
  <si>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</si>
  <si>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</si>
  <si>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</si>
  <si>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</si>
  <si>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</si>
  <si>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</si>
  <si>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</si>
  <si>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</si>
  <si>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</si>
  <si>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</si>
  <si>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</si>
  <si>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</si>
  <si>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</si>
  <si>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</si>
  <si>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</si>
  <si>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</si>
  <si>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</si>
  <si>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</si>
  <si>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</si>
  <si>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</si>
  <si>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</si>
  <si>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</si>
  <si>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</si>
  <si>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</si>
  <si>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</si>
  <si>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</si>
  <si>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</si>
  <si>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</si>
  <si>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</si>
  <si>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</si>
  <si>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</si>
  <si>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</si>
  <si>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</si>
  <si>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</si>
  <si>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</si>
  <si>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</si>
  <si>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</si>
  <si>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</si>
  <si>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</si>
  <si>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</si>
  <si>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</si>
  <si>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</si>
  <si>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</si>
  <si>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</si>
  <si>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</si>
  <si>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</si>
  <si>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</si>
  <si>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</si>
  <si>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</si>
  <si>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</si>
  <si>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</si>
  <si>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</si>
  <si>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</si>
  <si>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</si>
  <si>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</si>
  <si>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</si>
  <si>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</si>
  <si>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</si>
  <si>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</si>
  <si>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</si>
  <si>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</si>
  <si>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</si>
  <si>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</si>
  <si>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</si>
  <si>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</si>
  <si>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</si>
  <si>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</si>
  <si>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</si>
  <si>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</si>
  <si>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</si>
  <si>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</si>
  <si>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</si>
  <si>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</si>
  <si>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</si>
  <si>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</si>
  <si>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</si>
  <si>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</si>
  <si>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</si>
  <si>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</si>
  <si>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</si>
  <si>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</si>
  <si>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</si>
  <si>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</si>
  <si>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</si>
  <si>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</si>
  <si>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</si>
  <si>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</si>
  <si>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</si>
  <si>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</si>
  <si>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</si>
  <si>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</si>
  <si>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</si>
  <si>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</si>
  <si>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</si>
  <si>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</si>
  <si>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</si>
  <si>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</si>
  <si>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</si>
  <si>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</si>
  <si>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</si>
  <si>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</si>
  <si>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</si>
  <si>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</si>
  <si>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</si>
  <si>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</si>
  <si>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</si>
  <si>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</si>
  <si>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</si>
  <si>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</si>
  <si>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</si>
  <si>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</si>
  <si>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</si>
  <si>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</si>
  <si>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</si>
  <si>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</si>
  <si>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</si>
  <si>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</si>
  <si>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</si>
  <si>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</si>
  <si>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</si>
  <si>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</si>
  <si>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</si>
  <si>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</si>
  <si>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</si>
  <si>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</si>
  <si>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</si>
  <si>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</si>
  <si>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</si>
  <si>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</si>
  <si>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</si>
  <si>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</si>
  <si>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</si>
  <si>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</si>
  <si>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</si>
  <si>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</si>
  <si>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</si>
  <si>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</si>
  <si>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</si>
  <si>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</si>
  <si>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</si>
  <si>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</si>
  <si>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</si>
  <si>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</si>
  <si>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</si>
  <si>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</si>
  <si>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</si>
  <si>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</si>
  <si>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</si>
  <si>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</si>
  <si>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</si>
  <si>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</si>
  <si>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</si>
  <si>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</si>
  <si>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</si>
  <si>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</si>
  <si>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</si>
  <si>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</si>
  <si>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</si>
  <si>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</si>
  <si>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</si>
  <si>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</si>
  <si>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</si>
  <si>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</si>
  <si>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</si>
  <si>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</si>
  <si>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</si>
  <si>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</si>
  <si>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</si>
  <si>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</si>
  <si>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</si>
  <si>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</si>
  <si>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</si>
  <si>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</si>
  <si>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</si>
  <si>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</si>
  <si>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</si>
  <si>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</si>
  <si>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</si>
  <si>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</si>
  <si>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</si>
  <si>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</si>
  <si>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</si>
  <si>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</si>
  <si>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</si>
  <si>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房号</t>
    <phoneticPr fontId="140" type="noConversion"/>
  </si>
  <si>
    <r>
      <t>4</t>
    </r>
    <r>
      <rPr>
        <sz val="11"/>
        <color theme="1"/>
        <rFont val="宋体"/>
        <family val="3"/>
        <charset val="134"/>
        <scheme val="minor"/>
      </rPr>
      <t>03、404</t>
    </r>
    <phoneticPr fontId="140" type="noConversion"/>
  </si>
  <si>
    <r>
      <t>X京房权证海其字第</t>
    </r>
    <r>
      <rPr>
        <sz val="11"/>
        <color theme="1"/>
        <rFont val="宋体"/>
        <family val="3"/>
        <charset val="134"/>
        <scheme val="minor"/>
      </rPr>
      <t>040109号</t>
    </r>
    <phoneticPr fontId="140" type="noConversion"/>
  </si>
  <si>
    <r>
      <t>京（2</t>
    </r>
    <r>
      <rPr>
        <sz val="11"/>
        <color theme="1"/>
        <rFont val="宋体"/>
        <family val="3"/>
        <charset val="134"/>
        <scheme val="minor"/>
      </rPr>
      <t>021）海不动产权第0012315号</t>
    </r>
    <phoneticPr fontId="140" type="noConversion"/>
  </si>
  <si>
    <t>X京房权证海其字第040098号</t>
    <phoneticPr fontId="140" type="noConversion"/>
  </si>
  <si>
    <t>X京房权证海其字第040123号</t>
    <phoneticPr fontId="140" type="noConversion"/>
  </si>
  <si>
    <r>
      <t>车位0</t>
    </r>
    <r>
      <rPr>
        <sz val="11"/>
        <color theme="1"/>
        <rFont val="宋体"/>
        <family val="3"/>
        <charset val="134"/>
        <scheme val="minor"/>
      </rPr>
      <t>20-023</t>
    </r>
    <phoneticPr fontId="140" type="noConversion"/>
  </si>
  <si>
    <t>X京房权证海股字第037794号</t>
    <phoneticPr fontId="140" type="noConversion"/>
  </si>
  <si>
    <t>房产证及不动产权证</t>
    <phoneticPr fontId="140" type="noConversion"/>
  </si>
  <si>
    <t>建筑面积</t>
    <phoneticPr fontId="140" type="noConversion"/>
  </si>
  <si>
    <t>分摊土地面积</t>
    <phoneticPr fontId="140" type="noConversion"/>
  </si>
  <si>
    <t>土地证</t>
    <phoneticPr fontId="140" type="noConversion"/>
  </si>
  <si>
    <r>
      <t>京海国用（2</t>
    </r>
    <r>
      <rPr>
        <sz val="11"/>
        <color theme="1"/>
        <rFont val="宋体"/>
        <family val="3"/>
        <charset val="134"/>
        <scheme val="minor"/>
      </rPr>
      <t>008转）第4472号</t>
    </r>
    <phoneticPr fontId="140" type="noConversion"/>
  </si>
  <si>
    <r>
      <t>京海国用（200</t>
    </r>
    <r>
      <rPr>
        <sz val="11"/>
        <color theme="1"/>
        <rFont val="宋体"/>
        <family val="3"/>
        <charset val="134"/>
        <scheme val="minor"/>
      </rPr>
      <t>7</t>
    </r>
    <r>
      <rPr>
        <sz val="11"/>
        <color theme="1"/>
        <rFont val="宋体"/>
        <family val="3"/>
        <charset val="134"/>
        <scheme val="minor"/>
      </rPr>
      <t>转）第44</t>
    </r>
    <r>
      <rPr>
        <sz val="11"/>
        <color theme="1"/>
        <rFont val="宋体"/>
        <family val="3"/>
        <charset val="134"/>
        <scheme val="minor"/>
      </rPr>
      <t>17</t>
    </r>
    <r>
      <rPr>
        <sz val="11"/>
        <color theme="1"/>
        <rFont val="宋体"/>
        <family val="3"/>
        <charset val="134"/>
        <scheme val="minor"/>
      </rPr>
      <t>号</t>
    </r>
    <phoneticPr fontId="140" type="noConversion"/>
  </si>
  <si>
    <r>
      <t>京海国用（2008转）第447</t>
    </r>
    <r>
      <rPr>
        <sz val="11"/>
        <color theme="1"/>
        <rFont val="宋体"/>
        <family val="3"/>
        <charset val="134"/>
        <scheme val="minor"/>
      </rPr>
      <t>3</t>
    </r>
    <r>
      <rPr>
        <sz val="11"/>
        <color theme="1"/>
        <rFont val="宋体"/>
        <family val="3"/>
        <charset val="134"/>
        <scheme val="minor"/>
      </rPr>
      <t>号</t>
    </r>
    <phoneticPr fontId="140" type="noConversion"/>
  </si>
  <si>
    <t>是</t>
  </si>
  <si>
    <t>地上</t>
  </si>
  <si>
    <t>地下</t>
  </si>
  <si>
    <t>车库—办公</t>
  </si>
  <si>
    <t>办公</t>
    <phoneticPr fontId="7" type="noConversion"/>
  </si>
  <si>
    <t>车库</t>
  </si>
  <si>
    <t>车库</t>
    <phoneticPr fontId="7" type="noConversion"/>
  </si>
  <si>
    <t>其他办公</t>
    <phoneticPr fontId="7" type="noConversion"/>
  </si>
  <si>
    <t>其他车库</t>
    <phoneticPr fontId="7" type="noConversion"/>
  </si>
  <si>
    <t>抵押</t>
  </si>
  <si>
    <t>房地产抵押价值</t>
  </si>
  <si>
    <t>北京市</t>
  </si>
  <si>
    <t>企业</t>
  </si>
  <si>
    <t>出让</t>
  </si>
  <si>
    <t>成新度</t>
  </si>
  <si>
    <t>利息：取LPR加浮动点数</t>
  </si>
  <si>
    <t>押一</t>
  </si>
  <si>
    <t>按租金收入计税</t>
  </si>
  <si>
    <t>钢混</t>
  </si>
  <si>
    <t>非生产用房</t>
  </si>
  <si>
    <t>收益法 (元)-车库</t>
  </si>
  <si>
    <t>收益法 (元)-车库</t>
    <phoneticPr fontId="16" type="noConversion"/>
  </si>
  <si>
    <t>比较法-办公</t>
  </si>
  <si>
    <t>收益法 (元)</t>
  </si>
  <si>
    <t>售价</t>
  </si>
  <si>
    <t>正常</t>
    <phoneticPr fontId="32" type="noConversion"/>
  </si>
  <si>
    <t>低区</t>
    <phoneticPr fontId="32" type="noConversion"/>
  </si>
  <si>
    <t>高区</t>
    <phoneticPr fontId="32" type="noConversion"/>
  </si>
  <si>
    <t>中区</t>
    <phoneticPr fontId="32" type="noConversion"/>
  </si>
  <si>
    <t>低区</t>
    <phoneticPr fontId="32" type="noConversion"/>
  </si>
  <si>
    <t>正常</t>
    <phoneticPr fontId="32" type="noConversion"/>
  </si>
  <si>
    <t>未包含在土地购买价格中</t>
  </si>
  <si>
    <t>已包含在土地取得成本中</t>
  </si>
  <si>
    <t>商务金融用地（办公类）</t>
  </si>
  <si>
    <t>通路</t>
  </si>
  <si>
    <t>通电</t>
  </si>
  <si>
    <t>通讯</t>
  </si>
  <si>
    <t>通上水</t>
  </si>
  <si>
    <t>通下水</t>
  </si>
  <si>
    <t>平整</t>
  </si>
  <si>
    <t>与级别开发程度不一致</t>
  </si>
  <si>
    <t>按公示增长率计算</t>
  </si>
  <si>
    <t>容积率修正</t>
  </si>
  <si>
    <t>总价</t>
  </si>
  <si>
    <t>绿地中央广场</t>
    <phoneticPr fontId="3" type="noConversion"/>
  </si>
  <si>
    <t>百旺杏林湾</t>
    <phoneticPr fontId="3" type="noConversion"/>
  </si>
  <si>
    <t>丰锦苑</t>
    <phoneticPr fontId="3" type="noConversion"/>
  </si>
  <si>
    <t>较好</t>
    <phoneticPr fontId="32" type="noConversion"/>
  </si>
  <si>
    <t>一般</t>
    <phoneticPr fontId="32" type="noConversion"/>
  </si>
  <si>
    <t>一般</t>
    <phoneticPr fontId="32" type="noConversion"/>
  </si>
  <si>
    <t>七通</t>
    <phoneticPr fontId="32" type="noConversion"/>
  </si>
  <si>
    <t>办公</t>
    <phoneticPr fontId="32" type="noConversion"/>
  </si>
  <si>
    <t>住宅</t>
    <phoneticPr fontId="32" type="noConversion"/>
  </si>
  <si>
    <t>加权平均</t>
  </si>
  <si>
    <t>比较法-车位</t>
  </si>
  <si>
    <t>元/车位</t>
  </si>
  <si>
    <t>较好</t>
    <phoneticPr fontId="32" type="noConversion"/>
  </si>
  <si>
    <t>一般</t>
    <phoneticPr fontId="32" type="noConversion"/>
  </si>
  <si>
    <t>吴薇</t>
  </si>
  <si>
    <t>郑燚</t>
  </si>
  <si>
    <t>北京立思辰新技术有限公司</t>
    <phoneticPr fontId="140" type="noConversion"/>
  </si>
  <si>
    <t>豆神教育科技（北京）股份有限公司</t>
    <phoneticPr fontId="140" type="noConversion"/>
  </si>
  <si>
    <t>收益比率</t>
  </si>
  <si>
    <r>
      <t>4</t>
    </r>
    <r>
      <rPr>
        <sz val="11"/>
        <color theme="1"/>
        <rFont val="宋体"/>
        <family val="3"/>
        <charset val="134"/>
        <scheme val="minor"/>
      </rPr>
      <t>02等5套</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</si>
</sst>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left" vertical="center" wrapText="1"/>
    </xf>
    <xf numFmtId="0" fontId="46" fillId="6" borderId="15" xfId="0" applyFont="1" applyFill="1" applyBorder="1" applyAlignment="1" applyProtection="1">
      <alignment horizontal="left" vertical="center" wrapText="1"/>
    </xf>
    <xf numFmtId="10" fontId="49" fillId="20" borderId="1"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center" vertical="center"/>
    </xf>
    <xf numFmtId="0" fontId="0" fillId="0" borderId="0" xfId="0"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xf numFmtId="0" fontId="97" fillId="5"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103391</xdr:colOff>
      <xdr:row>34</xdr:row>
      <xdr:rowOff>142129</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076191" cy="5971429"/>
        </a:xfrm>
        <a:prstGeom prst="rect">
          <a:avLst/>
        </a:prstGeom>
      </xdr:spPr>
    </xdr:pic>
    <xdr:clientData/>
  </xdr:twoCellAnchor>
  <xdr:twoCellAnchor editAs="oneCell">
    <xdr:from>
      <xdr:col>0</xdr:col>
      <xdr:colOff>0</xdr:colOff>
      <xdr:row>35</xdr:row>
      <xdr:rowOff>0</xdr:rowOff>
    </xdr:from>
    <xdr:to>
      <xdr:col>16</xdr:col>
      <xdr:colOff>370058</xdr:colOff>
      <xdr:row>69</xdr:row>
      <xdr:rowOff>142129</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6000750"/>
          <a:ext cx="11342858" cy="5971429"/>
        </a:xfrm>
        <a:prstGeom prst="rect">
          <a:avLst/>
        </a:prstGeom>
      </xdr:spPr>
    </xdr:pic>
    <xdr:clientData/>
  </xdr:twoCellAnchor>
  <xdr:twoCellAnchor editAs="oneCell">
    <xdr:from>
      <xdr:col>3</xdr:col>
      <xdr:colOff>142875</xdr:colOff>
      <xdr:row>107</xdr:row>
      <xdr:rowOff>123825</xdr:rowOff>
    </xdr:from>
    <xdr:to>
      <xdr:col>16</xdr:col>
      <xdr:colOff>75095</xdr:colOff>
      <xdr:row>151</xdr:row>
      <xdr:rowOff>151454</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3"/>
        <a:stretch>
          <a:fillRect/>
        </a:stretch>
      </xdr:blipFill>
      <xdr:spPr>
        <a:xfrm>
          <a:off x="2200275" y="18468975"/>
          <a:ext cx="8847620" cy="7571429"/>
        </a:xfrm>
        <a:prstGeom prst="rect">
          <a:avLst/>
        </a:prstGeom>
      </xdr:spPr>
    </xdr:pic>
    <xdr:clientData/>
  </xdr:twoCellAnchor>
  <xdr:twoCellAnchor editAs="oneCell">
    <xdr:from>
      <xdr:col>0</xdr:col>
      <xdr:colOff>0</xdr:colOff>
      <xdr:row>69</xdr:row>
      <xdr:rowOff>0</xdr:rowOff>
    </xdr:from>
    <xdr:to>
      <xdr:col>16</xdr:col>
      <xdr:colOff>160534</xdr:colOff>
      <xdr:row>98</xdr:row>
      <xdr:rowOff>46998</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4"/>
        <a:stretch>
          <a:fillRect/>
        </a:stretch>
      </xdr:blipFill>
      <xdr:spPr>
        <a:xfrm>
          <a:off x="0" y="11830050"/>
          <a:ext cx="11133334" cy="5019048"/>
        </a:xfrm>
        <a:prstGeom prst="rect">
          <a:avLst/>
        </a:prstGeom>
      </xdr:spPr>
    </xdr:pic>
    <xdr:clientData/>
  </xdr:twoCellAnchor>
  <xdr:twoCellAnchor editAs="oneCell">
    <xdr:from>
      <xdr:col>0</xdr:col>
      <xdr:colOff>0</xdr:colOff>
      <xdr:row>152</xdr:row>
      <xdr:rowOff>152400</xdr:rowOff>
    </xdr:from>
    <xdr:to>
      <xdr:col>14</xdr:col>
      <xdr:colOff>408324</xdr:colOff>
      <xdr:row>186</xdr:row>
      <xdr:rowOff>113577</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5"/>
        <a:stretch>
          <a:fillRect/>
        </a:stretch>
      </xdr:blipFill>
      <xdr:spPr>
        <a:xfrm>
          <a:off x="0" y="26212800"/>
          <a:ext cx="10009524" cy="5790477"/>
        </a:xfrm>
        <a:prstGeom prst="rect">
          <a:avLst/>
        </a:prstGeom>
      </xdr:spPr>
    </xdr:pic>
    <xdr:clientData/>
  </xdr:twoCellAnchor>
  <xdr:twoCellAnchor editAs="oneCell">
    <xdr:from>
      <xdr:col>0</xdr:col>
      <xdr:colOff>9525</xdr:colOff>
      <xdr:row>184</xdr:row>
      <xdr:rowOff>142875</xdr:rowOff>
    </xdr:from>
    <xdr:to>
      <xdr:col>14</xdr:col>
      <xdr:colOff>551183</xdr:colOff>
      <xdr:row>201</xdr:row>
      <xdr:rowOff>123463</xdr:rowOff>
    </xdr:to>
    <xdr:pic>
      <xdr:nvPicPr>
        <xdr:cNvPr id="8" name="图片 7">
          <a:extLst>
            <a:ext uri="{FF2B5EF4-FFF2-40B4-BE49-F238E27FC236}">
              <a16:creationId xmlns:a16="http://schemas.microsoft.com/office/drawing/2014/main" xmlns="" id="{00000000-0008-0000-3000-000008000000}"/>
            </a:ext>
          </a:extLst>
        </xdr:cNvPr>
        <xdr:cNvPicPr>
          <a:picLocks noChangeAspect="1"/>
        </xdr:cNvPicPr>
      </xdr:nvPicPr>
      <xdr:blipFill>
        <a:blip xmlns:r="http://schemas.openxmlformats.org/officeDocument/2006/relationships" r:embed="rId6"/>
        <a:stretch>
          <a:fillRect/>
        </a:stretch>
      </xdr:blipFill>
      <xdr:spPr>
        <a:xfrm>
          <a:off x="9525" y="31689675"/>
          <a:ext cx="10142858" cy="2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估价对象为北京市房地产，为所有。根据《国有土地使用证》[]，估价对象（分摊）出让国有建设用地使用权面积为587.99平方米，建筑面积为2399.31平方米。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估价对象为北京市房地产,属开发建设的，该项目尚在开发建设中。根据《国有土地使用证》[]，估价对象（分摊）出让国有建设用地使用权面积为587.99平方米，规划建筑面积为2399.31平方米。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2021年9月3日</v>
      </c>
    </row>
    <row r="13" spans="1:2" s="1365" customFormat="1">
      <c r="A13" s="1363" t="s">
        <v>1194</v>
      </c>
      <c r="B13" s="1364" t="str">
        <f>'预评函-1'!A18</f>
        <v>本次估价的“房地产价值”是指在正常市场情况下，在价值时点2021年9月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851</v>
      </c>
    </row>
    <row r="21" spans="1:2" s="1365" customFormat="1">
      <c r="A21" s="1363" t="s">
        <v>1202</v>
      </c>
      <c r="B21" s="1364">
        <f ca="1">'预评函-2'!D7</f>
        <v>31370</v>
      </c>
    </row>
    <row r="22" spans="1:2" s="1365" customFormat="1">
      <c r="A22" s="1363" t="s">
        <v>1203</v>
      </c>
      <c r="B22" s="1364" t="str">
        <f ca="1">'预评函-2'!D6</f>
        <v>捌佰伍拾壹万元整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851</v>
      </c>
    </row>
    <row r="31" spans="1:2" s="1365" customFormat="1">
      <c r="A31" s="1363" t="s">
        <v>1241</v>
      </c>
      <c r="B31" s="1364">
        <f ca="1">'预评函-2'!D15</f>
        <v>3547</v>
      </c>
    </row>
    <row r="32" spans="1:2" s="1365" customFormat="1">
      <c r="A32" s="1363" t="s">
        <v>1208</v>
      </c>
      <c r="B32" s="1364" t="str">
        <f ca="1">'预评函-2'!D14</f>
        <v>捌佰伍拾壹万元整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2399.3100000000004</v>
      </c>
    </row>
    <row r="44" spans="1:2" s="1365" customFormat="1">
      <c r="A44" s="1363" t="s">
        <v>1240</v>
      </c>
      <c r="B44" s="1364" t="str">
        <f>'预评函-3'!C2</f>
        <v>(分摊)土地面积</v>
      </c>
    </row>
    <row r="45" spans="1:2" s="1365" customFormat="1">
      <c r="A45" s="1363" t="s">
        <v>1212</v>
      </c>
      <c r="B45" s="1364">
        <f>'预评函-3'!C4</f>
        <v>587.99</v>
      </c>
    </row>
    <row r="46" spans="1:2" s="1365" customFormat="1">
      <c r="A46" s="1363" t="s">
        <v>1238</v>
      </c>
      <c r="B46" s="1364" t="str">
        <f>'预评函-3'!D2</f>
        <v>出让国有建设用地使用权价值</v>
      </c>
    </row>
    <row r="47" spans="1:2" s="1365" customFormat="1">
      <c r="A47" s="1363" t="s">
        <v>1213</v>
      </c>
      <c r="B47" s="1364">
        <f ca="1">'预评函-3'!D4</f>
        <v>620</v>
      </c>
    </row>
    <row r="48" spans="1:2" s="1365" customFormat="1">
      <c r="A48" s="1363" t="s">
        <v>1214</v>
      </c>
      <c r="B48" s="1364">
        <f ca="1">'预评函-3'!E4</f>
        <v>22855</v>
      </c>
    </row>
    <row r="49" spans="1:2" s="1365" customFormat="1">
      <c r="A49" s="1363" t="s">
        <v>1215</v>
      </c>
      <c r="B49" s="1364" t="str">
        <f ca="1">'预评函-3'!D5</f>
        <v>陆佰贰拾万元整</v>
      </c>
    </row>
    <row r="50" spans="1:2" s="1365" customFormat="1">
      <c r="A50" s="1363" t="s">
        <v>1239</v>
      </c>
      <c r="B50" s="1364" t="str">
        <f>'预评函-3'!F2</f>
        <v>在建建筑物价值</v>
      </c>
    </row>
    <row r="51" spans="1:2" s="1365" customFormat="1">
      <c r="A51" s="1363" t="s">
        <v>1216</v>
      </c>
      <c r="B51" s="1364">
        <f ca="1">'预评函-3'!F4</f>
        <v>231</v>
      </c>
    </row>
    <row r="52" spans="1:2" s="1365" customFormat="1">
      <c r="A52" s="1363" t="s">
        <v>1217</v>
      </c>
      <c r="B52" s="1364">
        <f ca="1">'预评函-3'!G4</f>
        <v>8515</v>
      </c>
    </row>
    <row r="53" spans="1:2" s="1365" customFormat="1">
      <c r="A53" s="1363" t="s">
        <v>1245</v>
      </c>
      <c r="B53" s="1364" t="str">
        <f ca="1">'预评函-3'!F5</f>
        <v>贰佰叁拾壹万元整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3098</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4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2"/>
      <c r="B54" s="1739" t="s">
        <v>832</v>
      </c>
      <c r="C54" s="1736" t="s">
        <v>1248</v>
      </c>
    </row>
    <row r="55" spans="1:4">
      <c r="A55" s="3142"/>
      <c r="B55" s="1739" t="s">
        <v>833</v>
      </c>
      <c r="C55" s="1736" t="s">
        <v>1249</v>
      </c>
    </row>
    <row r="56" spans="1:4">
      <c r="A56" s="3142"/>
      <c r="B56" s="1739" t="s">
        <v>834</v>
      </c>
      <c r="C56" s="1736" t="s">
        <v>1253</v>
      </c>
    </row>
    <row r="57" spans="1:4">
      <c r="A57" s="314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0" sqref="F20"/>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2912</v>
      </c>
      <c r="B1" s="3143" t="str">
        <f>IF(B10="北京市","北京市",C10)&amp;F10&amp;IF(结果表!G1="在建","出让国有建设用地使用权及在建建筑物",IF(结果表!G1="土地","出让国有建设用地使用权",))&amp;B9&amp;"预评估"</f>
        <v>北京市房地产抵押价值预评估</v>
      </c>
      <c r="C1" s="3144"/>
      <c r="D1" s="3144"/>
      <c r="E1" s="3144"/>
      <c r="F1" s="3144"/>
      <c r="G1" s="3144"/>
      <c r="H1" s="3144"/>
      <c r="I1" s="3145"/>
      <c r="J1" s="2696"/>
      <c r="K1" s="2591"/>
      <c r="L1" s="2592"/>
      <c r="M1" s="2592"/>
      <c r="N1" s="2593"/>
      <c r="O1" s="1761"/>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2913</v>
      </c>
      <c r="B2" s="2594"/>
      <c r="C2" s="2595"/>
      <c r="D2" s="2898"/>
      <c r="E2" s="2888"/>
      <c r="F2" s="2888"/>
      <c r="G2" s="2889"/>
      <c r="H2" s="2889"/>
      <c r="I2" s="2889"/>
      <c r="J2" s="2696"/>
      <c r="K2" s="2591"/>
      <c r="L2" s="2592"/>
      <c r="M2" s="2592"/>
      <c r="N2" s="2593"/>
      <c r="O2" s="1761"/>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96"/>
      <c r="C3" s="2597" t="s">
        <v>2915</v>
      </c>
      <c r="D3" s="2596">
        <v>44442</v>
      </c>
      <c r="E3" s="2889"/>
      <c r="F3" s="2889"/>
      <c r="G3" s="2889"/>
      <c r="H3" s="2889"/>
      <c r="I3" s="2889"/>
      <c r="J3" s="2696"/>
      <c r="K3" s="2591"/>
      <c r="L3" s="2592"/>
      <c r="M3" s="2592"/>
      <c r="N3" s="2593"/>
      <c r="O3" s="1761"/>
      <c r="P3" s="2593"/>
      <c r="Q3" s="2593"/>
      <c r="R3" s="2593"/>
      <c r="S3" s="1867"/>
      <c r="T3" s="1930"/>
      <c r="U3" s="1930"/>
      <c r="V3" s="1930"/>
      <c r="W3" s="1930"/>
      <c r="X3" s="1930"/>
      <c r="Y3" s="1930"/>
      <c r="Z3" s="1930"/>
      <c r="AA3" s="1930"/>
      <c r="AB3" s="1930"/>
    </row>
    <row r="4" spans="1:28" ht="13.5" thickBot="1">
      <c r="A4" s="1250" t="s">
        <v>2916</v>
      </c>
      <c r="B4" s="2598" t="s">
        <v>3135</v>
      </c>
      <c r="C4" s="2599">
        <f ca="1">SUMIF(注册房地产估价师,B4,估价师及机构信息!B3:B24)</f>
        <v>1419970001</v>
      </c>
      <c r="D4" s="2598" t="s">
        <v>3136</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1"/>
      <c r="P4" s="2593"/>
      <c r="Q4" s="2593"/>
      <c r="R4" s="2593"/>
      <c r="S4" s="1867"/>
      <c r="T4" s="1930"/>
      <c r="U4" s="1930"/>
      <c r="V4" s="1930"/>
      <c r="W4" s="1930"/>
      <c r="X4" s="1930"/>
      <c r="Y4" s="1930"/>
      <c r="Z4" s="1930"/>
      <c r="AA4" s="1930"/>
      <c r="AB4" s="1930"/>
    </row>
    <row r="5" spans="1:28" ht="13.5" thickTop="1">
      <c r="A5" s="2602" t="s">
        <v>2917</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0"/>
      <c r="T5" s="1930"/>
      <c r="U5" s="1930"/>
      <c r="V5" s="1930"/>
      <c r="W5" s="1930"/>
      <c r="X5" s="1930"/>
      <c r="Y5" s="1930"/>
      <c r="Z5" s="1930"/>
      <c r="AA5" s="1930"/>
      <c r="AB5" s="1930"/>
    </row>
    <row r="6" spans="1:28">
      <c r="A6" s="2606" t="s">
        <v>2918</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2919</v>
      </c>
      <c r="B7" s="2610"/>
      <c r="C7" s="2608"/>
      <c r="D7" s="2609"/>
      <c r="E7" s="2888"/>
      <c r="F7" s="2890"/>
      <c r="G7" s="2890"/>
      <c r="H7" s="2890"/>
      <c r="I7" s="2890"/>
      <c r="J7" s="2664"/>
      <c r="K7" s="2841"/>
      <c r="L7" s="2838"/>
      <c r="M7" s="2838"/>
      <c r="N7" s="2664"/>
      <c r="O7" s="2675"/>
      <c r="P7" s="2664"/>
      <c r="Q7" s="2664"/>
      <c r="R7" s="2664"/>
    </row>
    <row r="8" spans="1:28">
      <c r="A8" s="2611" t="s">
        <v>2920</v>
      </c>
      <c r="B8" s="2612" t="s">
        <v>3086</v>
      </c>
      <c r="C8" s="2613"/>
      <c r="D8" s="3146" t="s">
        <v>2921</v>
      </c>
      <c r="E8" s="2614" t="s">
        <v>3087</v>
      </c>
      <c r="F8" s="2615"/>
      <c r="G8" s="2889"/>
      <c r="H8" s="2889"/>
      <c r="I8" s="2889"/>
      <c r="J8" s="2664"/>
      <c r="K8" s="2839"/>
      <c r="L8" s="2838"/>
      <c r="M8" s="2838"/>
      <c r="N8" s="2664"/>
      <c r="O8" s="2675"/>
      <c r="P8" s="2664"/>
      <c r="Q8" s="2664"/>
      <c r="R8" s="2664"/>
    </row>
    <row r="9" spans="1:28" ht="13.5" thickBot="1">
      <c r="A9" s="2616" t="s">
        <v>2922</v>
      </c>
      <c r="B9" s="2617" t="s">
        <v>3087</v>
      </c>
      <c r="C9" s="2618"/>
      <c r="D9" s="3147"/>
      <c r="E9" s="2617"/>
      <c r="F9" s="2619"/>
      <c r="G9" s="2891"/>
      <c r="H9" s="2891"/>
      <c r="I9" s="2891"/>
      <c r="J9" s="2664"/>
      <c r="K9" s="2841"/>
      <c r="L9" s="2838"/>
      <c r="M9" s="2838"/>
      <c r="N9" s="2664"/>
      <c r="O9" s="2675"/>
      <c r="P9" s="2664"/>
      <c r="Q9" s="2664"/>
      <c r="R9" s="2664"/>
    </row>
    <row r="10" spans="1:28" ht="13.5" thickTop="1">
      <c r="A10" s="2620" t="s">
        <v>2923</v>
      </c>
      <c r="B10" s="2621" t="s">
        <v>3088</v>
      </c>
      <c r="C10" s="2622"/>
      <c r="D10" s="2605"/>
      <c r="E10" s="2623" t="s">
        <v>2924</v>
      </c>
      <c r="F10" s="2892"/>
      <c r="G10" s="2893"/>
      <c r="H10" s="2894"/>
      <c r="I10" s="2895"/>
      <c r="J10" s="2664"/>
      <c r="K10" s="2841"/>
      <c r="L10" s="2838"/>
      <c r="M10" s="2838"/>
      <c r="N10" s="2664"/>
      <c r="O10" s="2675"/>
      <c r="P10" s="2664"/>
      <c r="Q10" s="2664"/>
      <c r="R10" s="2664"/>
    </row>
    <row r="11" spans="1:28">
      <c r="A11" s="2624" t="s">
        <v>2925</v>
      </c>
      <c r="B11" s="2625" t="s">
        <v>3089</v>
      </c>
      <c r="C11" s="2626"/>
      <c r="D11" s="2627"/>
      <c r="E11" s="2593"/>
      <c r="F11" s="2593"/>
      <c r="G11" s="2593"/>
      <c r="H11" s="2593"/>
      <c r="I11" s="2593"/>
      <c r="J11" s="2664"/>
      <c r="K11" s="2841"/>
      <c r="L11" s="2838"/>
      <c r="M11" s="2838"/>
      <c r="N11" s="2664"/>
      <c r="O11" s="2675"/>
      <c r="P11" s="2664"/>
      <c r="Q11" s="2664"/>
      <c r="R11" s="2664"/>
    </row>
    <row r="12" spans="1:28">
      <c r="A12" s="2628" t="s">
        <v>2926</v>
      </c>
      <c r="B12" s="2625" t="s">
        <v>3090</v>
      </c>
      <c r="C12" s="329" t="s">
        <v>2927</v>
      </c>
      <c r="D12" s="2629" t="s">
        <v>2928</v>
      </c>
      <c r="E12" s="2629" t="s">
        <v>2929</v>
      </c>
      <c r="F12" s="2629" t="s">
        <v>2930</v>
      </c>
      <c r="G12" s="2629" t="s">
        <v>2931</v>
      </c>
      <c r="H12" s="2629" t="s">
        <v>2932</v>
      </c>
      <c r="I12" s="2629" t="s">
        <v>2933</v>
      </c>
      <c r="J12" s="2664"/>
      <c r="K12" s="2841"/>
      <c r="L12" s="2838"/>
      <c r="M12" s="2838"/>
      <c r="N12" s="2664"/>
      <c r="O12" s="2675"/>
      <c r="P12" s="2664"/>
      <c r="Q12" s="2664"/>
      <c r="R12" s="2664"/>
    </row>
    <row r="13" spans="1:28">
      <c r="A13" s="1241"/>
      <c r="B13" s="2630"/>
      <c r="C13" s="2631" t="s">
        <v>2934</v>
      </c>
      <c r="D13" s="965"/>
      <c r="E13" s="965"/>
      <c r="F13" s="965">
        <v>55627</v>
      </c>
      <c r="G13" s="965">
        <v>55627</v>
      </c>
      <c r="H13" s="965"/>
      <c r="I13" s="965"/>
      <c r="J13" s="2664"/>
      <c r="K13" s="2841"/>
      <c r="L13" s="2838"/>
      <c r="M13" s="2838"/>
      <c r="N13" s="2664"/>
      <c r="O13" s="2675"/>
      <c r="P13" s="2664"/>
      <c r="Q13" s="2664"/>
      <c r="R13" s="2664"/>
    </row>
    <row r="14" spans="1:28">
      <c r="A14" s="1241"/>
      <c r="B14" s="2630"/>
      <c r="C14" s="2631" t="s">
        <v>2935</v>
      </c>
      <c r="D14" s="2632"/>
      <c r="E14" s="2632"/>
      <c r="F14" s="2632">
        <v>50</v>
      </c>
      <c r="G14" s="2632">
        <v>50</v>
      </c>
      <c r="H14" s="2632"/>
      <c r="I14" s="2632"/>
      <c r="J14" s="2664"/>
      <c r="K14" s="2842"/>
      <c r="L14" s="2838"/>
      <c r="M14" s="2838"/>
      <c r="N14" s="2664"/>
      <c r="O14" s="2675"/>
      <c r="P14" s="2664"/>
      <c r="Q14" s="2664"/>
      <c r="R14" s="2664"/>
    </row>
    <row r="15" spans="1:28">
      <c r="A15" s="326"/>
      <c r="B15" s="2633"/>
      <c r="C15" s="2634" t="s">
        <v>2936</v>
      </c>
      <c r="D15" s="2635" t="str">
        <f>IF(B12="出让",IF(D13="","",ROUNDDOWN(MIN((D13-$D$3)/365,D14),2)),D14)</f>
        <v/>
      </c>
      <c r="E15" s="2635" t="str">
        <f>IF(B12="出让",IF(E13="","",ROUNDDOWN(MIN((E13-$D$3)/365,E14),2)),E14)</f>
        <v/>
      </c>
      <c r="F15" s="2635">
        <f>IF(B12="出让",IF(F13="","",ROUNDDOWN(MIN((F13-$D$3)/365,F14),2)),F14)</f>
        <v>30.64</v>
      </c>
      <c r="G15" s="2635">
        <f>IF(B12="出让",IF(G13="","",ROUNDDOWN(MIN((G13-$D$3)/365,G14),2)),G14)</f>
        <v>30.64</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2937</v>
      </c>
      <c r="B16" s="3153"/>
      <c r="C16" s="3154"/>
      <c r="D16" s="3155"/>
      <c r="E16" s="2638" t="s">
        <v>2938</v>
      </c>
      <c r="F16" s="3156"/>
      <c r="G16" s="3157"/>
      <c r="H16" s="3157"/>
      <c r="I16" s="3158"/>
      <c r="J16" s="2664"/>
      <c r="K16" s="2843"/>
      <c r="L16" s="2676"/>
      <c r="M16" s="2676"/>
      <c r="N16" s="2734"/>
      <c r="O16" s="2676"/>
      <c r="P16" s="2734"/>
      <c r="Q16" s="2664"/>
      <c r="R16" s="2664"/>
    </row>
    <row r="17" spans="1:28">
      <c r="A17" s="319" t="s">
        <v>2939</v>
      </c>
      <c r="B17" s="308" t="s">
        <v>2940</v>
      </c>
      <c r="C17" s="11">
        <f>'数据-汇总表'!E3</f>
        <v>2399.3100000000004</v>
      </c>
      <c r="D17" s="2544" t="s">
        <v>2941</v>
      </c>
      <c r="E17" s="3159" t="s">
        <v>2942</v>
      </c>
      <c r="F17" s="3160"/>
      <c r="G17" s="3160"/>
      <c r="H17" s="3160"/>
      <c r="I17" s="3161"/>
      <c r="J17" s="2664"/>
      <c r="K17" s="2844"/>
      <c r="L17" s="2676"/>
      <c r="M17" s="2676"/>
      <c r="N17" s="2734"/>
      <c r="O17" s="2676"/>
      <c r="P17" s="2734"/>
      <c r="Q17" s="2664"/>
      <c r="R17" s="2664"/>
      <c r="S17" s="2664"/>
      <c r="T17" s="2664"/>
      <c r="U17" s="2664"/>
      <c r="V17" s="2664"/>
    </row>
    <row r="18" spans="1:28" ht="24.75" thickBot="1">
      <c r="A18" s="2639" t="s">
        <v>2943</v>
      </c>
      <c r="B18" s="1250" t="s">
        <v>2944</v>
      </c>
      <c r="C18" s="2640">
        <f>'数据-汇总表'!D3</f>
        <v>587.99</v>
      </c>
      <c r="D18" s="1252" t="s">
        <v>2945</v>
      </c>
      <c r="E18" s="3162" t="s">
        <v>2946</v>
      </c>
      <c r="F18" s="3163"/>
      <c r="G18" s="3163"/>
      <c r="H18" s="3163"/>
      <c r="I18" s="3164"/>
      <c r="J18" s="2664"/>
      <c r="K18" s="2844"/>
      <c r="L18" s="2676"/>
      <c r="M18" s="2676"/>
      <c r="N18" s="2734"/>
      <c r="O18" s="2676"/>
      <c r="P18" s="2734"/>
      <c r="Q18" s="2664"/>
      <c r="R18" s="2664"/>
      <c r="S18" s="2664"/>
      <c r="T18" s="2664"/>
      <c r="U18" s="2664"/>
      <c r="V18" s="2664"/>
    </row>
    <row r="19" spans="1:28" ht="37.5" thickTop="1" thickBot="1">
      <c r="A19" s="333" t="s">
        <v>1741</v>
      </c>
      <c r="B19" s="313" t="s">
        <v>2947</v>
      </c>
      <c r="C19" s="1748"/>
      <c r="D19" s="1749" t="s">
        <v>2948</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2949</v>
      </c>
      <c r="B20" s="3149" t="s">
        <v>2950</v>
      </c>
      <c r="C20" s="3150"/>
      <c r="D20" s="3151" t="s">
        <v>2951</v>
      </c>
      <c r="E20" s="3152"/>
      <c r="F20" s="2873" t="s">
        <v>1742</v>
      </c>
      <c r="G20" s="2890"/>
      <c r="H20" s="2890"/>
      <c r="I20" s="2890"/>
      <c r="J20" s="2664"/>
      <c r="K20" s="314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2953</v>
      </c>
      <c r="C21" s="2860" t="s">
        <v>1743</v>
      </c>
      <c r="D21" s="1753" t="s">
        <v>2954</v>
      </c>
      <c r="E21" s="2861" t="s">
        <v>1743</v>
      </c>
      <c r="F21" s="2874"/>
      <c r="G21" s="2890"/>
      <c r="H21" s="2890"/>
      <c r="I21" s="2890"/>
      <c r="J21" s="2664"/>
      <c r="K21" s="314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2955</v>
      </c>
      <c r="C22" s="2860" t="s">
        <v>1744</v>
      </c>
      <c r="D22" s="2889"/>
      <c r="E22" s="2889"/>
      <c r="F22" s="2889"/>
      <c r="G22" s="2890"/>
      <c r="H22" s="2890"/>
      <c r="I22" s="2890"/>
      <c r="J22" s="2664"/>
      <c r="K22" s="314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2956</v>
      </c>
      <c r="B23" s="2727" t="s">
        <v>2957</v>
      </c>
      <c r="C23" s="2864"/>
      <c r="D23" s="2865" t="s">
        <v>2957</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66" t="s">
        <v>2958</v>
      </c>
      <c r="B27" s="326" t="s">
        <v>2959</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66"/>
      <c r="B28" s="308" t="s">
        <v>2960</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66"/>
      <c r="B29" s="308" t="s">
        <v>2961</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67"/>
      <c r="B30" s="308" t="s">
        <v>2962</v>
      </c>
      <c r="C30" s="3168"/>
      <c r="D30" s="3169"/>
      <c r="E30" s="2890"/>
      <c r="F30" s="2890"/>
      <c r="G30" s="2890"/>
      <c r="H30" s="2890"/>
      <c r="I30" s="2890"/>
      <c r="J30" s="2664"/>
      <c r="K30" s="2841"/>
      <c r="L30" s="2838"/>
      <c r="M30" s="2838"/>
      <c r="N30" s="2664"/>
      <c r="O30" s="2675"/>
      <c r="P30" s="2664"/>
      <c r="Q30" s="2664"/>
      <c r="R30" s="2664"/>
      <c r="S30" s="2664"/>
      <c r="T30" s="2664"/>
      <c r="U30" s="2664"/>
      <c r="V30" s="2664"/>
    </row>
    <row r="31" spans="1:28">
      <c r="A31" s="3170" t="s">
        <v>2963</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71"/>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71"/>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2964</v>
      </c>
      <c r="B34" s="2213"/>
      <c r="C34" s="2213"/>
      <c r="D34" s="2213"/>
      <c r="E34" s="2213"/>
      <c r="F34" s="2213"/>
      <c r="G34" s="2213"/>
      <c r="H34" s="2213"/>
      <c r="I34" s="2890"/>
      <c r="J34" s="2664"/>
      <c r="K34" s="2652">
        <f>COUNTIF(B34:H34,"——")</f>
        <v>0</v>
      </c>
      <c r="L34" s="329" t="s">
        <v>2965</v>
      </c>
      <c r="M34" s="329" t="s">
        <v>2966</v>
      </c>
      <c r="N34" s="329" t="s">
        <v>2967</v>
      </c>
      <c r="O34" s="329" t="s">
        <v>2968</v>
      </c>
      <c r="P34" s="329" t="s">
        <v>2969</v>
      </c>
      <c r="Q34" s="329" t="s">
        <v>2970</v>
      </c>
      <c r="R34" s="329" t="s">
        <v>2971</v>
      </c>
      <c r="S34" s="3165" t="s">
        <v>2972</v>
      </c>
      <c r="T34" s="2653" t="str">
        <f>NUMBERSTRING(7-K34,1)&amp;"通"</f>
        <v>七通</v>
      </c>
      <c r="U34" s="2664"/>
      <c r="V34" s="2664"/>
    </row>
    <row r="35" spans="1:30">
      <c r="A35" s="2654"/>
      <c r="B35" s="3172" t="s">
        <v>2973</v>
      </c>
      <c r="C35" s="3172"/>
      <c r="D35" s="3172"/>
      <c r="E35" s="3172"/>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5"/>
      <c r="T35" s="335" t="str">
        <f>IF(T34="一通",L35,IF(T34="二通",M35,IF(T34="三通",N35,IF(T34="四通",O35,IF(T34="五通",P35,IF(T34="六通",Q35,R35))))))</f>
        <v>、、、、、、</v>
      </c>
      <c r="U35" s="2664"/>
      <c r="V35" s="2664"/>
    </row>
    <row r="36" spans="1:30">
      <c r="A36" s="2655"/>
      <c r="B36" s="673" t="s">
        <v>2929</v>
      </c>
      <c r="C36" s="673" t="s">
        <v>2930</v>
      </c>
      <c r="D36" s="673" t="s">
        <v>2928</v>
      </c>
      <c r="E36" s="673" t="s">
        <v>2933</v>
      </c>
      <c r="F36" s="2896"/>
      <c r="G36" s="2890"/>
      <c r="H36" s="2890"/>
      <c r="I36" s="2890"/>
      <c r="J36" s="2664"/>
      <c r="K36" s="2841"/>
      <c r="L36" s="2838"/>
      <c r="M36" s="2838"/>
      <c r="N36" s="2664"/>
      <c r="O36" s="2675"/>
      <c r="P36" s="2664"/>
      <c r="Q36" s="2664"/>
      <c r="R36" s="2664"/>
      <c r="S36" s="2664"/>
      <c r="T36" s="2664"/>
      <c r="U36" s="2664"/>
      <c r="V36" s="2664"/>
    </row>
    <row r="37" spans="1:30">
      <c r="A37" s="2856" t="s">
        <v>2974</v>
      </c>
      <c r="B37" s="2656"/>
      <c r="C37" s="2656" t="s">
        <v>523</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2975</v>
      </c>
      <c r="B38" s="2657"/>
      <c r="C38" s="2657" t="s">
        <v>204</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2976</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2977</v>
      </c>
      <c r="B41" s="1942"/>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2978</v>
      </c>
      <c r="B42" s="11" t="s">
        <v>2979</v>
      </c>
      <c r="C42" s="11" t="s">
        <v>2980</v>
      </c>
      <c r="D42" s="11" t="s">
        <v>2981</v>
      </c>
      <c r="E42" s="11" t="s">
        <v>2982</v>
      </c>
      <c r="F42" s="11" t="s">
        <v>2983</v>
      </c>
      <c r="G42" s="11" t="s">
        <v>2984</v>
      </c>
      <c r="H42" s="11" t="s">
        <v>2985</v>
      </c>
      <c r="I42" s="11" t="s">
        <v>2986</v>
      </c>
      <c r="J42" s="2852" t="s">
        <v>2987</v>
      </c>
      <c r="K42" s="2853" t="s">
        <v>2988</v>
      </c>
      <c r="L42" s="2853" t="s">
        <v>2989</v>
      </c>
      <c r="M42" s="2853" t="s">
        <v>2990</v>
      </c>
      <c r="N42" s="2846" t="s">
        <v>2991</v>
      </c>
      <c r="O42" s="2846" t="s">
        <v>2992</v>
      </c>
      <c r="P42" s="2846" t="s">
        <v>2993</v>
      </c>
      <c r="Q42" s="2847" t="s">
        <v>2994</v>
      </c>
      <c r="R42" s="2847" t="s">
        <v>2995</v>
      </c>
      <c r="S42" s="2664"/>
      <c r="T42" s="2664"/>
      <c r="U42" s="2664"/>
      <c r="V42" s="2664"/>
    </row>
    <row r="43" spans="1:30" s="1928"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5"/>
      <c r="B51" s="1755"/>
      <c r="C51" s="1182"/>
      <c r="D51" s="1182"/>
      <c r="E51" s="1182"/>
      <c r="F51" s="1182"/>
      <c r="G51" s="1182"/>
      <c r="H51" s="1182"/>
      <c r="I51" s="1182"/>
      <c r="J51" s="2662"/>
      <c r="K51" s="2663"/>
      <c r="L51" s="2663"/>
      <c r="M51" s="1182"/>
      <c r="N51" s="1182"/>
      <c r="O51" s="1182"/>
      <c r="P51" s="1182"/>
      <c r="Q51" s="1182"/>
      <c r="R51" s="1182"/>
    </row>
    <row r="52" spans="1:22" s="1928" customFormat="1">
      <c r="A52" s="1755"/>
      <c r="B52" s="1755"/>
      <c r="C52" s="1755"/>
      <c r="D52" s="1755"/>
      <c r="E52" s="1755"/>
      <c r="F52" s="1182"/>
      <c r="G52" s="1755"/>
      <c r="H52" s="1755"/>
      <c r="I52" s="1755"/>
      <c r="J52" s="2665"/>
      <c r="K52" s="2663"/>
      <c r="L52" s="2663"/>
      <c r="M52" s="2663"/>
      <c r="N52" s="1755"/>
      <c r="O52" s="1755"/>
      <c r="P52" s="1755"/>
      <c r="Q52" s="1755"/>
      <c r="R52" s="1755"/>
    </row>
    <row r="53" spans="1:22" s="1928" customFormat="1">
      <c r="A53" s="1755"/>
      <c r="B53" s="1755"/>
      <c r="C53" s="1755"/>
      <c r="D53" s="1755"/>
      <c r="E53" s="1755"/>
      <c r="F53" s="1182"/>
      <c r="G53" s="1755"/>
      <c r="H53" s="1755"/>
      <c r="I53" s="1755"/>
      <c r="J53" s="2665"/>
      <c r="K53" s="2663"/>
      <c r="L53" s="2663"/>
      <c r="M53" s="2663"/>
      <c r="N53" s="1755"/>
      <c r="O53" s="1755"/>
      <c r="P53" s="1755"/>
      <c r="Q53" s="1755"/>
      <c r="R53" s="1755"/>
    </row>
    <row r="54" spans="1:22" s="1928" customFormat="1">
      <c r="A54" s="1755"/>
      <c r="B54" s="1755"/>
      <c r="C54" s="1755"/>
      <c r="D54" s="1755"/>
      <c r="E54" s="1755"/>
      <c r="F54" s="1182"/>
      <c r="G54" s="1755"/>
      <c r="H54" s="1755"/>
      <c r="I54" s="1755"/>
      <c r="J54" s="2665"/>
      <c r="K54" s="2663"/>
      <c r="L54" s="2663"/>
      <c r="M54" s="2663"/>
      <c r="N54" s="1755"/>
      <c r="O54" s="1755"/>
      <c r="P54" s="1755"/>
      <c r="Q54" s="1755"/>
      <c r="R54" s="1755"/>
    </row>
    <row r="55" spans="1:22" s="1928" customFormat="1">
      <c r="A55" s="1755"/>
      <c r="B55" s="1755"/>
      <c r="C55" s="1755"/>
      <c r="D55" s="1755"/>
      <c r="E55" s="1755"/>
      <c r="F55" s="1182"/>
      <c r="G55" s="1755"/>
      <c r="H55" s="1755"/>
      <c r="I55" s="1755"/>
      <c r="J55" s="2665"/>
      <c r="K55" s="2663"/>
      <c r="L55" s="2663"/>
      <c r="M55" s="2663"/>
      <c r="N55" s="1755"/>
      <c r="O55" s="1755"/>
      <c r="P55" s="1755"/>
      <c r="Q55" s="1755"/>
      <c r="R55" s="1755"/>
    </row>
    <row r="56" spans="1:22" s="1928"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清单!E12-清单!E11</f>
        <v>587.99</v>
      </c>
      <c r="B3" s="14">
        <f>IF(C3="否",G5-AT5,G5)</f>
        <v>2399.3100000000004</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2399.3100000000004</v>
      </c>
      <c r="H5" s="16">
        <f t="shared" ref="H5:AT5" si="0">SUM(H13:H656)</f>
        <v>2399.3100000000004</v>
      </c>
      <c r="I5" s="16">
        <f t="shared" si="0"/>
        <v>2399.3100000000004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2399.3100000000004</v>
      </c>
      <c r="BA5" s="18">
        <f t="shared" si="1"/>
        <v>2399.3100000000004</v>
      </c>
      <c r="BB5" s="18">
        <f t="shared" si="1"/>
        <v>2399.3100000000004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587.99</v>
      </c>
      <c r="F6" s="16" t="s">
        <v>1</v>
      </c>
      <c r="G6" s="16" t="s">
        <v>2</v>
      </c>
      <c r="H6" s="20">
        <f>SUMIF(I$12:AB$12,"总值",I6:AB6)</f>
        <v>587.99</v>
      </c>
      <c r="I6" s="16">
        <f t="shared" ref="I6:AB6" si="2">ROUND($A$3*I5/$B$3,2)</f>
        <v>587.99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587.99</v>
      </c>
      <c r="AZ6" s="16" t="s">
        <v>3</v>
      </c>
      <c r="BA6" s="16">
        <f>ROUND($AY$6*BA5/$AZ$5,2)</f>
        <v>587.99</v>
      </c>
      <c r="BB6" s="16">
        <f>ROUND($AY$6*BB5/$AZ$5,2)</f>
        <v>587.99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3078</v>
      </c>
      <c r="J9" s="918"/>
      <c r="K9" s="1788" t="s">
        <v>3079</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3080</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3077</v>
      </c>
      <c r="E13" s="16">
        <f>IF($C$3="是",ROUND($A$3*G13/$B$3,2),ROUND($A$3*(G13-AT13)/$B$3,2))</f>
        <v>587.99</v>
      </c>
      <c r="F13" s="32"/>
      <c r="G13" s="33">
        <f>H13+AC13+AT13</f>
        <v>2399.3100000000004</v>
      </c>
      <c r="H13" s="20">
        <f>SUMIF(I$12:AB$12,"总值",I13:AB13)</f>
        <v>2399.3100000000004</v>
      </c>
      <c r="I13" s="1811">
        <f>清单!D3+清单!D4+清单!D5+清单!D6+清单!D7+清单!D8+清单!D9+清单!D10</f>
        <v>2399.3100000000004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587.99</v>
      </c>
      <c r="AZ13" s="16">
        <f>BA13+BL13</f>
        <v>2399.3100000000004</v>
      </c>
      <c r="BA13" s="16">
        <f>SUM(BB13:BK13)</f>
        <v>2399.3100000000004</v>
      </c>
      <c r="BB13" s="16">
        <f>IF($D13="是",I13-J13,0)</f>
        <v>2399.3100000000004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54" sqref="D5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84" t="s">
        <v>1817</v>
      </c>
      <c r="B2" s="3184"/>
      <c r="C2" s="3184"/>
      <c r="D2" s="904" t="s">
        <v>1793</v>
      </c>
      <c r="E2" s="1824" t="s">
        <v>1794</v>
      </c>
      <c r="F2" s="2885"/>
      <c r="G2" s="2876"/>
      <c r="H2" s="2877"/>
      <c r="I2" s="2547" t="s">
        <v>1818</v>
      </c>
      <c r="J2" s="2885"/>
      <c r="K2" s="2885"/>
      <c r="L2" s="2885"/>
      <c r="M2" s="2885"/>
      <c r="N2" s="2887"/>
      <c r="O2" s="2885"/>
      <c r="P2" s="2885"/>
    </row>
    <row r="3" spans="1:16" ht="15.75" thickBot="1">
      <c r="A3" s="3185" t="s">
        <v>1791</v>
      </c>
      <c r="B3" s="3185"/>
      <c r="C3" s="3185"/>
      <c r="D3" s="46">
        <f>'数据-基础表'!AY6</f>
        <v>587.99</v>
      </c>
      <c r="E3" s="46">
        <f>'数据-基础表'!AZ5</f>
        <v>2399.3100000000004</v>
      </c>
      <c r="F3" s="2885"/>
      <c r="G3" s="1307"/>
      <c r="H3" s="1157" t="s">
        <v>1792</v>
      </c>
      <c r="I3" s="964">
        <f>ROUND('数据-基础表'!B3/'数据-基础表'!A3,2)</f>
        <v>4.08</v>
      </c>
      <c r="J3" s="2885"/>
      <c r="K3" s="2885"/>
      <c r="L3" s="2885"/>
      <c r="M3" s="2885"/>
      <c r="N3" s="2887"/>
      <c r="O3" s="2885"/>
      <c r="P3" s="2885"/>
    </row>
    <row r="4" spans="1:16" ht="15">
      <c r="A4" s="3186"/>
      <c r="B4" s="3187"/>
      <c r="C4" s="3188"/>
      <c r="D4" s="1826" t="s">
        <v>1793</v>
      </c>
      <c r="E4" s="1827" t="s">
        <v>1794</v>
      </c>
      <c r="F4" s="2885"/>
      <c r="G4" s="2878" t="s">
        <v>1819</v>
      </c>
      <c r="H4" s="1157" t="s">
        <v>1799</v>
      </c>
      <c r="I4" s="964">
        <f>ROUND(SUMIF('数据-基础表'!I9:AS9,"地上",'数据-基础表'!I5:AS5)/'数据-基础表'!A3,2)</f>
        <v>4.08</v>
      </c>
      <c r="J4" s="2885"/>
      <c r="K4" s="2885"/>
      <c r="L4" s="2885"/>
      <c r="M4" s="2885"/>
      <c r="N4" s="2887"/>
      <c r="O4" s="2885"/>
      <c r="P4" s="2885"/>
    </row>
    <row r="5" spans="1:16">
      <c r="A5" s="47" t="s">
        <v>1795</v>
      </c>
      <c r="B5" s="3189" t="s">
        <v>1796</v>
      </c>
      <c r="C5" s="3189"/>
      <c r="D5" s="48">
        <f>ROUND($D$3*E5/$E$3,2)</f>
        <v>0</v>
      </c>
      <c r="E5" s="49">
        <f>SUMIF('数据-基础表'!$11:$11,"住宅",'数据-基础表'!$5:$5)</f>
        <v>0</v>
      </c>
      <c r="F5" s="2885"/>
      <c r="G5" s="1307"/>
      <c r="H5" s="1157" t="s">
        <v>1792</v>
      </c>
      <c r="I5" s="964">
        <f>ROUND(E31/D31,2)</f>
        <v>4.08</v>
      </c>
      <c r="J5" s="2885"/>
      <c r="K5" s="2885"/>
      <c r="L5" s="2885"/>
      <c r="M5" s="2885"/>
      <c r="N5" s="2885"/>
      <c r="O5" s="2885"/>
      <c r="P5" s="2885"/>
    </row>
    <row r="6" spans="1:16" ht="15" thickBot="1">
      <c r="A6" s="1829"/>
      <c r="B6" s="3189" t="s">
        <v>1797</v>
      </c>
      <c r="C6" s="3189"/>
      <c r="D6" s="48">
        <f>ROUND($D$3*E6/$E$3,2)</f>
        <v>587.99</v>
      </c>
      <c r="E6" s="49">
        <f>E3-E5</f>
        <v>2399.3100000000004</v>
      </c>
      <c r="F6" s="2885"/>
      <c r="G6" s="2879" t="s">
        <v>1798</v>
      </c>
      <c r="H6" s="1308" t="s">
        <v>1799</v>
      </c>
      <c r="I6" s="2880">
        <f>ROUND(F31/D31,2)</f>
        <v>4.08</v>
      </c>
      <c r="J6" s="2885"/>
      <c r="K6" s="2885"/>
      <c r="L6" s="2885"/>
      <c r="M6" s="2885"/>
      <c r="N6" s="2885"/>
      <c r="O6" s="2885"/>
      <c r="P6" s="2885"/>
    </row>
    <row r="7" spans="1:16" ht="15.75" thickBot="1">
      <c r="A7" s="3181"/>
      <c r="B7" s="3182"/>
      <c r="C7" s="3183"/>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587.99</v>
      </c>
      <c r="E8" s="51">
        <f>SUMIF('数据-基础表'!BB10:BK10,"地上",'数据-基础表'!BB5:BK5)</f>
        <v>2399.3100000000004</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587.99</v>
      </c>
      <c r="E16" s="53">
        <f>SUM(E8:E15)</f>
        <v>2399.3100000000004</v>
      </c>
      <c r="F16" s="2885"/>
      <c r="G16" s="2886"/>
      <c r="H16" s="1833" t="s">
        <v>1821</v>
      </c>
      <c r="I16" s="1834"/>
      <c r="J16" s="1301"/>
      <c r="K16" s="3178" t="s">
        <v>1821</v>
      </c>
      <c r="L16" s="3179"/>
      <c r="M16" s="3179"/>
      <c r="N16" s="3179"/>
      <c r="O16" s="3179"/>
      <c r="P16" s="3180"/>
    </row>
    <row r="17" spans="1:19" ht="15">
      <c r="A17" s="1835" t="s">
        <v>1822</v>
      </c>
      <c r="B17" s="1836" t="s">
        <v>1823</v>
      </c>
      <c r="C17" s="1837" t="s">
        <v>1824</v>
      </c>
      <c r="D17" s="1838" t="s">
        <v>1812</v>
      </c>
      <c r="E17" s="1839" t="s">
        <v>1813</v>
      </c>
      <c r="F17" s="1840"/>
      <c r="G17" s="1841"/>
      <c r="H17" s="1842" t="s">
        <v>1825</v>
      </c>
      <c r="I17" s="1843" t="s">
        <v>1810</v>
      </c>
      <c r="J17" s="1301"/>
      <c r="K17" s="3175" t="s">
        <v>1826</v>
      </c>
      <c r="L17" s="3176"/>
      <c r="M17" s="3177"/>
      <c r="N17" s="3175" t="s">
        <v>1827</v>
      </c>
      <c r="O17" s="3176"/>
      <c r="P17" s="317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87" t="s">
        <v>3081</v>
      </c>
      <c r="D19" s="48">
        <f>ROUND($D$3*E19/$E$3,2)</f>
        <v>66.48</v>
      </c>
      <c r="E19" s="56">
        <f t="shared" ref="E19:E26" si="1">SUM(F19:G19)</f>
        <v>271.27999999999997</v>
      </c>
      <c r="F19" s="3025">
        <f>清单!D3</f>
        <v>271.27999999999997</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66.48</v>
      </c>
      <c r="S19" s="1158">
        <f t="shared" si="5"/>
        <v>271.27999999999997</v>
      </c>
    </row>
    <row r="20" spans="1:19">
      <c r="A20" s="1855"/>
      <c r="B20" s="50" t="s">
        <v>1839</v>
      </c>
      <c r="C20" s="3087" t="s">
        <v>3083</v>
      </c>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1839</v>
      </c>
      <c r="C21" s="3087" t="s">
        <v>3084</v>
      </c>
      <c r="D21" s="48">
        <f t="shared" si="6"/>
        <v>521.51</v>
      </c>
      <c r="E21" s="56">
        <f t="shared" si="1"/>
        <v>2128.0300000000002</v>
      </c>
      <c r="F21" s="3025">
        <f>SUM(清单!D4:D10)</f>
        <v>2128.0300000000002</v>
      </c>
      <c r="G21" s="3026"/>
      <c r="H21" s="679">
        <f t="shared" si="7"/>
        <v>0</v>
      </c>
      <c r="I21" s="51">
        <f t="shared" si="2"/>
        <v>0</v>
      </c>
      <c r="J21" s="1301"/>
      <c r="K21" s="1300">
        <f t="shared" si="3"/>
        <v>0</v>
      </c>
      <c r="L21" s="1157">
        <f t="shared" si="4"/>
        <v>0</v>
      </c>
      <c r="M21" s="1312">
        <f t="shared" si="8"/>
        <v>0</v>
      </c>
      <c r="N21" s="1853"/>
      <c r="O21" s="1854"/>
      <c r="P21" s="1312">
        <f t="shared" si="9"/>
        <v>0</v>
      </c>
      <c r="R21" s="1157">
        <f t="shared" si="5"/>
        <v>521.51</v>
      </c>
      <c r="S21" s="1158">
        <f t="shared" si="5"/>
        <v>2128.0300000000002</v>
      </c>
    </row>
    <row r="22" spans="1:19">
      <c r="A22" s="1855"/>
      <c r="B22" s="50" t="s">
        <v>1839</v>
      </c>
      <c r="C22" s="3088" t="s">
        <v>3085</v>
      </c>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587.99</v>
      </c>
      <c r="E27" s="1303">
        <f>IF(SUM(E19:E26)='数据-基础表'!BA5,SUM(E19:E26),IF(F27="地上面积有误","面积有误","地下面积有误"))</f>
        <v>2399.3100000000004</v>
      </c>
      <c r="F27" s="1302">
        <f>IF(SUM(F19:F26)=E8,SUM(F19:F26),"地上面积有误")</f>
        <v>2399.3100000000004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587.99</v>
      </c>
      <c r="S27" s="1157">
        <f>IF(SUM(S19:S26)=$E$3,SUM(S19:S26),SUM(S19:S26)&amp;"误差"&amp;ROUND(SUM(S19:S26)-E3,2))</f>
        <v>2399.3100000000004</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587.99</v>
      </c>
      <c r="E31" s="685">
        <f>E27+E30</f>
        <v>2399.3100000000004</v>
      </c>
      <c r="F31" s="686">
        <f>F27+F30</f>
        <v>2399.3100000000004</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8" t="s">
        <v>1847</v>
      </c>
      <c r="B2" s="1176">
        <f>项目基本情况!D3</f>
        <v>44442</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7" t="s">
        <v>1852</v>
      </c>
      <c r="AA4" s="1837"/>
      <c r="AB4" s="1837"/>
      <c r="AC4" s="1837"/>
      <c r="AD4" s="1837"/>
      <c r="AE4" s="1835" t="s">
        <v>1853</v>
      </c>
      <c r="AF4" s="1837"/>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3091</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7" t="s">
        <v>1887</v>
      </c>
      <c r="AP5" s="1159" t="s">
        <v>1888</v>
      </c>
      <c r="AQ5" s="1896" t="s">
        <v>1889</v>
      </c>
      <c r="AR5" s="1896"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办公</v>
      </c>
      <c r="B6" s="1898" t="str">
        <f>IF(A6=0,"","经营性")</f>
        <v>经营性</v>
      </c>
      <c r="C6" s="1899" t="s">
        <v>27</v>
      </c>
      <c r="D6" s="967">
        <f>SUMIF(项目基本情况!D$12:I$12,C6,项目基本情况!D$14:I$14)</f>
        <v>50</v>
      </c>
      <c r="E6" s="966">
        <f>IF(B6="","",SUMIF(项目基本情况!D$12:I$12,C6,项目基本情况!D$13:I$13))</f>
        <v>55627</v>
      </c>
      <c r="F6" s="68">
        <f>SUMIF(项目基本情况!D$12:I$12,C6,项目基本情况!D$15:I$15)</f>
        <v>30.64</v>
      </c>
      <c r="G6" s="69">
        <f>IF(ISERROR(ROUND(POWER(1+H6,D6-F6)*(POWER(1+H6,F6)-1)/(POWER(1+H6,D6)-1),3)),0,ROUND(POWER(1+H6,D6-F6)*(POWER(1+H6,F6)-1)/(POWER(1+H6,D6)-1),3))</f>
        <v>0.85</v>
      </c>
      <c r="H6" s="741">
        <v>0.05</v>
      </c>
      <c r="I6" s="741">
        <v>5.5E-2</v>
      </c>
      <c r="J6" s="70">
        <v>8.5000000000000006E-2</v>
      </c>
      <c r="K6" s="1161">
        <f>SUMIF('数据-汇总表'!C$19:C$33,A6,'数据-汇总表'!E$19:E$33)</f>
        <v>271.27999999999997</v>
      </c>
      <c r="L6" s="742">
        <v>4500</v>
      </c>
      <c r="M6" s="71">
        <f t="shared" ref="M6:M14" si="0">ROUND(K6*L6/10000,0)</f>
        <v>122</v>
      </c>
      <c r="N6" s="3098">
        <f>N23</f>
        <v>0.75</v>
      </c>
      <c r="O6" s="71" t="str">
        <f>IF($N$5="成新度","——",ROUND(M6*N6,0))</f>
        <v>——</v>
      </c>
      <c r="P6" s="72" t="str">
        <f>IF($N$5="成新度","——",M6-O6)</f>
        <v>——</v>
      </c>
      <c r="Q6" s="743">
        <v>0.15</v>
      </c>
      <c r="R6" s="73">
        <f ca="1">SUMIF('数据-汇总表'!C$19:C$33,A6,'数据-汇总表'!R$19:R$27)</f>
        <v>66.48</v>
      </c>
      <c r="S6" s="54">
        <f>IF('数据-汇总表'!$I$17="按面积比例",SUMIF('数据-汇总表'!C$19:C$33,A6,'数据-汇总表'!K$19:K$33),SUMIF('数据-汇总表'!C$19:C$33,A6,'数据-汇总表'!N$19:N$33))</f>
        <v>0</v>
      </c>
      <c r="T6" s="1334">
        <f>ROUND($L$14*S6/10000,0)</f>
        <v>0</v>
      </c>
      <c r="U6" s="74">
        <v>6</v>
      </c>
      <c r="V6" s="75">
        <v>0.03</v>
      </c>
      <c r="W6" s="3099">
        <v>0.1</v>
      </c>
      <c r="X6" s="1171"/>
      <c r="Y6" s="76">
        <f>N6</f>
        <v>0.75</v>
      </c>
      <c r="Z6" s="77"/>
      <c r="AA6" s="70"/>
      <c r="AB6" s="70"/>
      <c r="AC6" s="1171"/>
      <c r="AD6" s="78"/>
      <c r="AE6" s="1172">
        <f ca="1">IF(AN6="",0,SUMIF(INDIRECT("'"&amp;AN6&amp;"'"&amp;"!E:E"),$AE$5,INDIRECT("'"&amp;AN6&amp;"'"&amp;"!F:F")))</f>
        <v>30.64</v>
      </c>
      <c r="AF6" s="1532"/>
      <c r="AG6" s="143">
        <f>IF(AF6="",0,AE6-AF6)</f>
        <v>0</v>
      </c>
      <c r="AH6" s="79"/>
      <c r="AI6" s="81">
        <v>365</v>
      </c>
      <c r="AJ6" s="82"/>
      <c r="AK6" s="83">
        <v>1.4999999999999999E-2</v>
      </c>
      <c r="AL6" s="84">
        <v>1.5E-3</v>
      </c>
      <c r="AM6" s="85">
        <v>0.01</v>
      </c>
      <c r="AN6" s="1900" t="s">
        <v>3100</v>
      </c>
      <c r="AO6" s="55">
        <f ca="1">SUMIF(INDIRECT("'"&amp;AN6&amp;"'"&amp;"!A:A"),"总价",INDIRECT("'"&amp;AN6&amp;"'"&amp;"!B:B"))</f>
        <v>857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车库</v>
      </c>
      <c r="B7" s="1898" t="str">
        <f t="shared" ref="B7:B13" si="1">IF(A7=0,"","经营性")</f>
        <v>经营性</v>
      </c>
      <c r="C7" s="1899" t="s">
        <v>3082</v>
      </c>
      <c r="D7" s="967">
        <f>SUMIF(项目基本情况!D$12:I$12,C7,项目基本情况!D$14:I$14)</f>
        <v>50</v>
      </c>
      <c r="E7" s="966">
        <f>IF(B7="","",SUMIF(项目基本情况!D$12:I$12,C7,项目基本情况!D$13:I$13))</f>
        <v>55627</v>
      </c>
      <c r="F7" s="68">
        <f>SUMIF(项目基本情况!D$12:I$12,C7,项目基本情况!D$15:I$15)</f>
        <v>30.64</v>
      </c>
      <c r="G7" s="69">
        <f t="shared" ref="G7:G11" si="2">IF(ISERROR(ROUND(POWER(1+H7,D7-F7)*(POWER(1+H7,F7)-1)/(POWER(1+H7,D7)-1),3)),0,ROUND(POWER(1+H7,D7-F7)*(POWER(1+H7,F7)-1)/(POWER(1+H7,D7)-1),3))</f>
        <v>0.81399999999999995</v>
      </c>
      <c r="H7" s="741">
        <v>0.04</v>
      </c>
      <c r="I7" s="741">
        <v>0.05</v>
      </c>
      <c r="J7" s="70">
        <v>8.5000000000000006E-2</v>
      </c>
      <c r="K7" s="1161">
        <f>SUMIF('数据-汇总表'!C$19:C$33,A7,'数据-汇总表'!E$19:E$33)</f>
        <v>0</v>
      </c>
      <c r="L7" s="742">
        <v>3500</v>
      </c>
      <c r="M7" s="71">
        <f t="shared" si="0"/>
        <v>0</v>
      </c>
      <c r="N7" s="740">
        <f>N6</f>
        <v>0.75</v>
      </c>
      <c r="O7" s="71" t="str">
        <f t="shared" ref="O7:O14" si="3">IF($N$5="成新度","——",ROUND(M7*N7,0))</f>
        <v>——</v>
      </c>
      <c r="P7" s="72" t="str">
        <f t="shared" ref="P7:P14" si="4">IF($N$5="成新度","——",M7-O7)</f>
        <v>——</v>
      </c>
      <c r="Q7" s="743">
        <v>0.06</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800</v>
      </c>
      <c r="V7" s="75">
        <v>0.02</v>
      </c>
      <c r="W7" s="75">
        <v>0.1</v>
      </c>
      <c r="X7" s="1171"/>
      <c r="Y7" s="76">
        <f>N6</f>
        <v>0.75</v>
      </c>
      <c r="Z7" s="77"/>
      <c r="AA7" s="70"/>
      <c r="AB7" s="70"/>
      <c r="AC7" s="1171"/>
      <c r="AD7" s="78"/>
      <c r="AE7" s="1172">
        <f t="shared" ref="AE7:AE13" ca="1" si="6">IF(AN7="",0,SUMIF(INDIRECT("'"&amp;AN7&amp;"'"&amp;"!E:E"),$AE$5,INDIRECT("'"&amp;AN7&amp;"'"&amp;"!F:F")))</f>
        <v>30.64</v>
      </c>
      <c r="AF7" s="1532"/>
      <c r="AG7" s="143">
        <f t="shared" ref="AG7:AG13" si="7">IF(AF7="",0,AE7-AF7)</f>
        <v>0</v>
      </c>
      <c r="AH7" s="79">
        <v>1</v>
      </c>
      <c r="AI7" s="81">
        <v>12</v>
      </c>
      <c r="AJ7" s="82"/>
      <c r="AK7" s="83">
        <v>5.0000000000000001E-3</v>
      </c>
      <c r="AL7" s="84">
        <v>1.5E-3</v>
      </c>
      <c r="AM7" s="85">
        <v>0.01</v>
      </c>
      <c r="AN7" s="1900" t="s">
        <v>3097</v>
      </c>
      <c r="AO7" s="55">
        <f t="shared" ref="AO7:AO13" ca="1" si="8">SUMIF(INDIRECT("'"&amp;AN7&amp;"'"&amp;"!A:A"),"总价",INDIRECT("'"&amp;AN7&amp;"'"&amp;"!B:B"))</f>
        <v>14</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其他办公</v>
      </c>
      <c r="B8" s="1898" t="str">
        <f t="shared" si="1"/>
        <v>经营性</v>
      </c>
      <c r="C8" s="1899" t="s">
        <v>27</v>
      </c>
      <c r="D8" s="967">
        <f>SUMIF(项目基本情况!D$12:I$12,C8,项目基本情况!D$14:I$14)</f>
        <v>50</v>
      </c>
      <c r="E8" s="966">
        <f>IF(B8="","",SUMIF(项目基本情况!D$12:I$12,C8,项目基本情况!D$13:I$13))</f>
        <v>55627</v>
      </c>
      <c r="F8" s="68">
        <f>SUMIF(项目基本情况!D$12:I$12,C8,项目基本情况!D$15:I$15)</f>
        <v>30.64</v>
      </c>
      <c r="G8" s="69">
        <f t="shared" si="2"/>
        <v>0.85</v>
      </c>
      <c r="H8" s="741">
        <v>0.05</v>
      </c>
      <c r="I8" s="741">
        <v>5.5E-2</v>
      </c>
      <c r="J8" s="70">
        <v>8.5000000000000006E-2</v>
      </c>
      <c r="K8" s="1161">
        <f>SUMIF('数据-汇总表'!C$19:C$33,A8,'数据-汇总表'!E$19:E$33)</f>
        <v>2128.0300000000002</v>
      </c>
      <c r="L8" s="742">
        <f>L6</f>
        <v>4500</v>
      </c>
      <c r="M8" s="71">
        <f>ROUND(K8*L8/10000,0)</f>
        <v>958</v>
      </c>
      <c r="N8" s="740">
        <f>N6</f>
        <v>0.75</v>
      </c>
      <c r="O8" s="71" t="str">
        <f t="shared" si="3"/>
        <v>——</v>
      </c>
      <c r="P8" s="72" t="str">
        <f t="shared" si="4"/>
        <v>——</v>
      </c>
      <c r="Q8" s="743">
        <v>0.15</v>
      </c>
      <c r="R8" s="73">
        <f ca="1">SUMIF('数据-汇总表'!C$19:C$33,A8,'数据-汇总表'!R$19:R$27)</f>
        <v>521.51</v>
      </c>
      <c r="S8" s="54">
        <f>IF('数据-汇总表'!$I$17="按面积比例",SUMIF('数据-汇总表'!C$19:C$33,A8,'数据-汇总表'!K$19:K$33),SUMIF('数据-汇总表'!C$19:C$33,A8,'数据-汇总表'!N$19:N$33))</f>
        <v>0</v>
      </c>
      <c r="T8" s="1334">
        <f t="shared" si="5"/>
        <v>0</v>
      </c>
      <c r="U8" s="744"/>
      <c r="V8" s="745"/>
      <c r="W8" s="745"/>
      <c r="X8" s="1171"/>
      <c r="Y8" s="746">
        <f>N6</f>
        <v>0.75</v>
      </c>
      <c r="Z8" s="77"/>
      <c r="AA8" s="70"/>
      <c r="AB8" s="70"/>
      <c r="AC8" s="1171"/>
      <c r="AD8" s="78"/>
      <c r="AE8" s="1172">
        <f t="shared" ca="1" si="6"/>
        <v>0</v>
      </c>
      <c r="AF8" s="1532"/>
      <c r="AG8" s="143">
        <f t="shared" si="7"/>
        <v>0</v>
      </c>
      <c r="AH8" s="747"/>
      <c r="AI8" s="81">
        <v>365</v>
      </c>
      <c r="AJ8" s="82"/>
      <c r="AK8" s="748">
        <v>1.4999999999999999E-2</v>
      </c>
      <c r="AL8" s="749">
        <v>1.5E-3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t="str">
        <f>'数据-汇总表'!C22</f>
        <v>其他车库</v>
      </c>
      <c r="B9" s="1898" t="str">
        <f t="shared" si="1"/>
        <v>经营性</v>
      </c>
      <c r="C9" s="1899" t="s">
        <v>3082</v>
      </c>
      <c r="D9" s="967">
        <f>SUMIF(项目基本情况!D$12:I$12,C9,项目基本情况!D$14:I$14)</f>
        <v>50</v>
      </c>
      <c r="E9" s="966">
        <f>IF(B9="","",SUMIF(项目基本情况!D$12:I$12,C9,项目基本情况!D$13:I$13))</f>
        <v>55627</v>
      </c>
      <c r="F9" s="68">
        <f>SUMIF(项目基本情况!D$12:I$12,C9,项目基本情况!D$15:I$15)</f>
        <v>30.64</v>
      </c>
      <c r="G9" s="69">
        <f t="shared" si="2"/>
        <v>0.81399999999999995</v>
      </c>
      <c r="H9" s="70">
        <v>0.04</v>
      </c>
      <c r="I9" s="70">
        <v>0.05</v>
      </c>
      <c r="J9" s="70">
        <v>8.5000000000000006E-2</v>
      </c>
      <c r="K9" s="1161">
        <f>SUMIF('数据-汇总表'!C$19:C$33,A9,'数据-汇总表'!E$19:E$33)</f>
        <v>0</v>
      </c>
      <c r="L9" s="742">
        <v>3500</v>
      </c>
      <c r="M9" s="71">
        <f t="shared" si="0"/>
        <v>0</v>
      </c>
      <c r="N9" s="740">
        <f>N6</f>
        <v>0.75</v>
      </c>
      <c r="O9" s="71" t="str">
        <f t="shared" si="3"/>
        <v>——</v>
      </c>
      <c r="P9" s="72" t="str">
        <f t="shared" si="4"/>
        <v>——</v>
      </c>
      <c r="Q9" s="86">
        <v>0.06</v>
      </c>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f>N6</f>
        <v>0.75</v>
      </c>
      <c r="Z9" s="77"/>
      <c r="AA9" s="70"/>
      <c r="AB9" s="70"/>
      <c r="AC9" s="1171"/>
      <c r="AD9" s="78"/>
      <c r="AE9" s="1172">
        <f t="shared" ca="1" si="6"/>
        <v>0</v>
      </c>
      <c r="AF9" s="1532"/>
      <c r="AG9" s="143">
        <f t="shared" si="7"/>
        <v>0</v>
      </c>
      <c r="AH9" s="79"/>
      <c r="AI9" s="81">
        <v>365</v>
      </c>
      <c r="AJ9" s="82"/>
      <c r="AK9" s="83">
        <v>5.0000000000000001E-3</v>
      </c>
      <c r="AL9" s="84">
        <v>1.5E-3</v>
      </c>
      <c r="AM9" s="85">
        <v>0.01</v>
      </c>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1895</v>
      </c>
      <c r="B16" s="93"/>
      <c r="C16" s="942"/>
      <c r="D16" s="1905"/>
      <c r="E16" s="93"/>
      <c r="F16" s="93"/>
      <c r="G16" s="94">
        <f>ROUND(SUMPRODUCT(G6:G13,K6:K13)/SUMPRODUCT((G6:G13&gt;0)*(K6:K13)),3)</f>
        <v>0.85</v>
      </c>
      <c r="H16" s="95">
        <f>ROUND(SUMPRODUCT(H6:H13,K6:K13)/SUMPRODUCT((H6:H13&gt;0)*(K6:K13)),3)</f>
        <v>0.05</v>
      </c>
      <c r="I16" s="96"/>
      <c r="J16" s="96"/>
      <c r="K16" s="97">
        <f>SUM(K6:K15)</f>
        <v>2399.3100000000004</v>
      </c>
      <c r="L16" s="98">
        <f>ROUND(M16*10000/SUM(K6:K14),0)</f>
        <v>4501</v>
      </c>
      <c r="M16" s="98">
        <f>SUM(M6:M14)</f>
        <v>1080</v>
      </c>
      <c r="N16" s="99">
        <f>ROUND(SUMPRODUCT(M6:M14,N6:N14)/M16,3)</f>
        <v>0.75</v>
      </c>
      <c r="O16" s="98">
        <f>SUM(O6:O14)</f>
        <v>0</v>
      </c>
      <c r="P16" s="98">
        <f>SUM(P6:P14)</f>
        <v>0</v>
      </c>
      <c r="Q16" s="100">
        <f>ROUND(SUMPRODUCT(Q6:Q13,K6:K13)/SUMPRODUCT((Q6:Q13&gt;0)*(K6:K13)),2)</f>
        <v>0.15</v>
      </c>
      <c r="R16" s="1165">
        <f ca="1">SUM(R6:R13)</f>
        <v>587.99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3049</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3047</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f>ROUND(1-(2021-2003)/60,2)</f>
        <v>0.7</v>
      </c>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902">
        <v>0.8</v>
      </c>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f>ROUND((N21+N22)/2,2)</f>
        <v>0.75</v>
      </c>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c r="C27" s="3031" t="s">
        <v>3051</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c r="C29" s="3032" t="s">
        <v>3038</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3039</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3040</v>
      </c>
      <c r="D34" s="2912" t="s">
        <v>3048</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3041</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3042</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3043</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3043</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3092</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3052</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3044</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3045</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3053</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3044</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3046</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3050</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E49" sqref="E49"/>
    </sheetView>
  </sheetViews>
  <sheetFormatPr defaultColWidth="9" defaultRowHeight="14.25"/>
  <cols>
    <col min="1" max="1" width="9.5" style="1871"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90" t="s">
        <v>3030</v>
      </c>
      <c r="B1" s="3191"/>
      <c r="C1" s="3191"/>
      <c r="D1" s="3191"/>
      <c r="E1" s="3191"/>
      <c r="F1" s="3191"/>
      <c r="G1" s="319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3025</v>
      </c>
      <c r="D2" s="2686"/>
      <c r="E2" s="2683"/>
      <c r="F2" s="2687"/>
      <c r="G2" s="2685" t="s">
        <v>3026</v>
      </c>
      <c r="H2" s="907"/>
      <c r="I2" s="907"/>
      <c r="J2" s="907"/>
      <c r="K2" s="907"/>
      <c r="L2" s="907"/>
      <c r="M2" s="907"/>
      <c r="N2" s="907"/>
      <c r="O2" s="907"/>
      <c r="P2" s="907"/>
      <c r="Q2" s="907"/>
      <c r="R2" s="907"/>
    </row>
    <row r="3" spans="1:29" ht="48">
      <c r="A3" s="2666" t="s">
        <v>3027</v>
      </c>
      <c r="B3" s="2688" t="s">
        <v>2996</v>
      </c>
      <c r="C3" s="2689" t="s">
        <v>3028</v>
      </c>
      <c r="D3" s="2690"/>
      <c r="E3" s="2667" t="s">
        <v>3027</v>
      </c>
      <c r="F3" s="2691" t="s">
        <v>2997</v>
      </c>
      <c r="G3" s="2692" t="s">
        <v>3029</v>
      </c>
      <c r="H3" s="907"/>
      <c r="I3" s="907"/>
      <c r="J3" s="907"/>
      <c r="K3" s="907"/>
      <c r="L3" s="907"/>
      <c r="M3" s="907"/>
      <c r="N3" s="907"/>
      <c r="O3" s="907"/>
      <c r="P3" s="907"/>
      <c r="Q3" s="907"/>
      <c r="R3" s="907"/>
    </row>
    <row r="4" spans="1:29" ht="36.75">
      <c r="A4" s="2667"/>
      <c r="B4" s="329" t="s">
        <v>2998</v>
      </c>
      <c r="C4" s="2693" t="s">
        <v>2999</v>
      </c>
      <c r="D4" s="2690"/>
      <c r="E4" s="2694"/>
      <c r="F4" s="1557" t="s">
        <v>3000</v>
      </c>
      <c r="G4" s="2695" t="s">
        <v>3001</v>
      </c>
      <c r="H4" s="907"/>
      <c r="I4" s="907"/>
      <c r="J4" s="907"/>
      <c r="K4" s="907"/>
      <c r="L4" s="907"/>
      <c r="M4" s="907"/>
      <c r="N4" s="907"/>
      <c r="O4" s="907"/>
      <c r="P4" s="907"/>
      <c r="Q4" s="907"/>
      <c r="R4" s="907"/>
    </row>
    <row r="5" spans="1:29" ht="36.75">
      <c r="A5" s="2667"/>
      <c r="B5" s="329" t="s">
        <v>3002</v>
      </c>
      <c r="C5" s="2693" t="s">
        <v>3003</v>
      </c>
      <c r="D5" s="2690"/>
      <c r="E5" s="2694"/>
      <c r="F5" s="329" t="s">
        <v>3004</v>
      </c>
      <c r="G5" s="2695" t="s">
        <v>3005</v>
      </c>
      <c r="H5" s="907"/>
      <c r="I5" s="907"/>
      <c r="J5" s="907"/>
      <c r="K5" s="907"/>
      <c r="L5" s="907"/>
      <c r="M5" s="907"/>
      <c r="N5" s="907"/>
      <c r="O5" s="907"/>
      <c r="P5" s="907"/>
      <c r="Q5" s="907"/>
      <c r="R5" s="907"/>
    </row>
    <row r="6" spans="1:29" ht="36">
      <c r="A6" s="2667"/>
      <c r="B6" s="329" t="s">
        <v>3006</v>
      </c>
      <c r="C6" s="2695" t="s">
        <v>3001</v>
      </c>
      <c r="D6" s="2690"/>
      <c r="E6" s="2694"/>
      <c r="F6" s="329" t="s">
        <v>3007</v>
      </c>
      <c r="G6" s="2695" t="s">
        <v>3008</v>
      </c>
      <c r="H6" s="907"/>
      <c r="I6" s="907"/>
      <c r="J6" s="907"/>
      <c r="K6" s="907"/>
      <c r="L6" s="907"/>
      <c r="M6" s="907"/>
      <c r="N6" s="907"/>
      <c r="O6" s="907"/>
      <c r="P6" s="907"/>
      <c r="Q6" s="907"/>
      <c r="R6" s="907"/>
    </row>
    <row r="7" spans="1:29" ht="24.75" thickBot="1">
      <c r="A7" s="2667"/>
      <c r="B7" s="329" t="s">
        <v>3004</v>
      </c>
      <c r="C7" s="2695" t="s">
        <v>3005</v>
      </c>
      <c r="D7" s="2696"/>
      <c r="E7" s="2697"/>
      <c r="F7" s="2698" t="s">
        <v>3009</v>
      </c>
      <c r="G7" s="2699" t="s">
        <v>3010</v>
      </c>
      <c r="H7" s="907"/>
      <c r="I7" s="907"/>
      <c r="J7" s="907"/>
      <c r="K7" s="907"/>
      <c r="L7" s="907"/>
      <c r="M7" s="907"/>
      <c r="N7" s="907"/>
      <c r="O7" s="907"/>
      <c r="P7" s="907"/>
      <c r="Q7" s="907"/>
      <c r="R7" s="907"/>
    </row>
    <row r="8" spans="1:29">
      <c r="A8" s="2667"/>
      <c r="B8" s="329" t="s">
        <v>3007</v>
      </c>
      <c r="C8" s="2695" t="s">
        <v>3008</v>
      </c>
      <c r="D8" s="2696"/>
      <c r="E8" s="2696"/>
      <c r="F8" s="2700"/>
      <c r="G8" s="2700"/>
      <c r="H8" s="907"/>
      <c r="I8" s="907"/>
      <c r="J8" s="907"/>
      <c r="K8" s="907"/>
      <c r="L8" s="907"/>
      <c r="M8" s="907"/>
      <c r="N8" s="907"/>
      <c r="O8" s="907"/>
      <c r="P8" s="907"/>
      <c r="Q8" s="907"/>
      <c r="R8" s="907"/>
    </row>
    <row r="9" spans="1:29" ht="24">
      <c r="A9" s="2667"/>
      <c r="B9" s="329" t="s">
        <v>3011</v>
      </c>
      <c r="C9" s="2693" t="s">
        <v>3012</v>
      </c>
      <c r="D9" s="2690"/>
      <c r="E9" s="2696"/>
      <c r="F9" s="2700"/>
      <c r="G9" s="2700"/>
      <c r="H9" s="907"/>
      <c r="I9" s="907"/>
      <c r="J9" s="907"/>
      <c r="K9" s="907"/>
      <c r="L9" s="907"/>
      <c r="M9" s="907"/>
      <c r="N9" s="907"/>
      <c r="O9" s="907"/>
      <c r="P9" s="907"/>
      <c r="Q9" s="907"/>
      <c r="R9" s="907"/>
    </row>
    <row r="10" spans="1:29" s="2706" customFormat="1" ht="15" thickBot="1">
      <c r="A10" s="2668"/>
      <c r="B10" s="2701" t="s">
        <v>3013</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3031</v>
      </c>
      <c r="B13" s="2709"/>
      <c r="C13" s="2709"/>
      <c r="D13" s="2707"/>
      <c r="E13" s="2709"/>
      <c r="F13" s="2709"/>
      <c r="G13" s="2709"/>
    </row>
    <row r="14" spans="1:29" ht="15" thickBot="1">
      <c r="A14" s="2719"/>
      <c r="B14" s="2719"/>
      <c r="C14" s="2720" t="s">
        <v>3014</v>
      </c>
      <c r="D14" s="2690"/>
      <c r="E14" s="2721"/>
      <c r="F14" s="2721"/>
      <c r="G14" s="2685" t="s">
        <v>3015</v>
      </c>
    </row>
    <row r="15" spans="1:29" ht="51">
      <c r="A15" s="2669" t="s">
        <v>3016</v>
      </c>
      <c r="B15" s="2722" t="s">
        <v>2996</v>
      </c>
      <c r="C15" s="2723" t="str">
        <f>C3</f>
        <v>估价对象周边居住用地比例、居住小区规模和社区发展完善程度，综合评价居住社区成熟度一般</v>
      </c>
      <c r="D15" s="2690"/>
      <c r="E15" s="2670" t="s">
        <v>3017</v>
      </c>
      <c r="F15" s="2722" t="s">
        <v>3018</v>
      </c>
      <c r="G15" s="2724" t="str">
        <f>G3</f>
        <v>估价对象位于XX开发区，园区建设成熟度XX，产业集聚程度XX</v>
      </c>
    </row>
    <row r="16" spans="1:29" ht="38.25">
      <c r="A16" s="2671"/>
      <c r="B16" s="2725" t="s">
        <v>2998</v>
      </c>
      <c r="C16" s="2726" t="str">
        <f>C4</f>
        <v>估价对象位于XX商圈，周边商业氛围成熟，人流量大，商业繁华度好</v>
      </c>
      <c r="D16" s="2690"/>
      <c r="E16" s="2672"/>
      <c r="F16" s="2727" t="s">
        <v>3000</v>
      </c>
      <c r="G16" s="2728" t="str">
        <f>G4</f>
        <v>估价对象周边道路状况、公共交通通达情况、停车便捷程度，综合评价交通便捷度较好</v>
      </c>
    </row>
    <row r="17" spans="1:18" ht="38.25">
      <c r="A17" s="2671"/>
      <c r="B17" s="2725" t="s">
        <v>3002</v>
      </c>
      <c r="C17" s="2726" t="str">
        <f>C5</f>
        <v>估价对象位于XX商圈，周边办公楼项目较多，入驻率高，办公集聚程度较好</v>
      </c>
      <c r="D17" s="2696"/>
      <c r="E17" s="2672"/>
      <c r="F17" s="2727" t="s">
        <v>3019</v>
      </c>
      <c r="G17" s="2729"/>
    </row>
    <row r="18" spans="1:18" ht="38.25">
      <c r="A18" s="2671"/>
      <c r="B18" s="2727" t="s">
        <v>3006</v>
      </c>
      <c r="C18" s="2728" t="str">
        <f>C6</f>
        <v>估价对象周边道路状况、公共交通通达情况、停车便捷程度，综合评价交通便捷度较好</v>
      </c>
      <c r="D18" s="2696"/>
      <c r="E18" s="2672"/>
      <c r="F18" s="2727" t="s">
        <v>3009</v>
      </c>
      <c r="G18" s="2728" t="str">
        <f>G7</f>
        <v>该园区内是否有污染型企业，绿化情况，卫生条件，整体环境状况判断</v>
      </c>
    </row>
    <row r="19" spans="1:18" ht="25.5">
      <c r="A19" s="2671"/>
      <c r="B19" s="2727" t="s">
        <v>3020</v>
      </c>
      <c r="C19" s="2729"/>
      <c r="D19" s="2690"/>
      <c r="E19" s="2672"/>
      <c r="F19" s="329" t="s">
        <v>3004</v>
      </c>
      <c r="G19" s="2728" t="str">
        <f>G5</f>
        <v>估价对象所在区域公共配套设施齐备情况</v>
      </c>
    </row>
    <row r="20" spans="1:18" ht="25.5">
      <c r="A20" s="2671"/>
      <c r="B20" s="2727" t="s">
        <v>3021</v>
      </c>
      <c r="C20" s="2726" t="str">
        <f>C9</f>
        <v>区域自然环境：；人文环境；综合评价环境状况一般</v>
      </c>
      <c r="D20" s="2696"/>
      <c r="E20" s="2672"/>
      <c r="F20" s="329" t="s">
        <v>3007</v>
      </c>
      <c r="G20" s="2728" t="str">
        <f>G6</f>
        <v>估价对象所在区域基础设施水平</v>
      </c>
    </row>
    <row r="21" spans="1:18" ht="25.5">
      <c r="A21" s="2671"/>
      <c r="B21" s="329" t="s">
        <v>3004</v>
      </c>
      <c r="C21" s="2728" t="str">
        <f>C7</f>
        <v>估价对象所在区域公共配套设施齐备情况</v>
      </c>
      <c r="D21" s="2690"/>
      <c r="E21" s="2672"/>
      <c r="F21" s="2727" t="s">
        <v>3022</v>
      </c>
      <c r="G21" s="2730"/>
    </row>
    <row r="22" spans="1:18" ht="13.5" customHeight="1">
      <c r="A22" s="2671"/>
      <c r="B22" s="329" t="s">
        <v>3007</v>
      </c>
      <c r="C22" s="2728" t="str">
        <f>C8</f>
        <v>估价对象所在区域基础设施水平</v>
      </c>
      <c r="D22" s="2690"/>
      <c r="E22" s="2672"/>
      <c r="F22" s="2727" t="s">
        <v>3013</v>
      </c>
      <c r="G22" s="2729"/>
    </row>
    <row r="23" spans="1:18" s="907" customFormat="1" ht="15" thickBot="1">
      <c r="A23" s="2671"/>
      <c r="B23" s="2727" t="s">
        <v>3022</v>
      </c>
      <c r="C23" s="2730"/>
      <c r="D23" s="1926"/>
      <c r="E23" s="2673"/>
      <c r="F23" s="2731" t="s">
        <v>3023</v>
      </c>
      <c r="G23" s="2732"/>
      <c r="H23" s="2716"/>
      <c r="I23" s="2717"/>
      <c r="J23" s="2716"/>
      <c r="K23" s="2716"/>
      <c r="L23" s="2717"/>
      <c r="M23" s="2716"/>
      <c r="N23" s="2716"/>
      <c r="O23" s="2717"/>
      <c r="P23" s="2716"/>
      <c r="Q23" s="2716"/>
      <c r="R23" s="2718"/>
    </row>
    <row r="24" spans="1:18" s="907" customFormat="1" ht="15" thickBot="1">
      <c r="A24" s="2674"/>
      <c r="B24" s="2731" t="s">
        <v>3024</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271.27999999999997</v>
      </c>
      <c r="C1" s="2914"/>
      <c r="D1" s="2914"/>
      <c r="E1" s="2914"/>
      <c r="F1" s="2914"/>
      <c r="G1" s="2915"/>
      <c r="H1" s="2916"/>
      <c r="I1" s="2916"/>
      <c r="J1" s="2916"/>
      <c r="K1" s="2916"/>
    </row>
    <row r="2" spans="1:11" ht="16.5">
      <c r="A2" s="2737" t="s">
        <v>1319</v>
      </c>
      <c r="B2" s="2737">
        <f>SUM(C14:C23)</f>
        <v>66.48</v>
      </c>
      <c r="C2" s="2914"/>
      <c r="D2" s="2914"/>
      <c r="E2" s="2914"/>
      <c r="F2" s="2914"/>
      <c r="G2" s="2915"/>
      <c r="H2" s="2916"/>
      <c r="I2" s="2916"/>
      <c r="J2" s="2916"/>
      <c r="K2" s="2916"/>
    </row>
    <row r="3" spans="1:11" ht="16.5">
      <c r="A3" s="2737" t="s">
        <v>1328</v>
      </c>
      <c r="B3" s="2739">
        <f>项目基本情况!D3</f>
        <v>44442</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851</v>
      </c>
      <c r="C5" s="2737">
        <f ca="1">ROUND(B5*10000/$B$1,0)</f>
        <v>31370</v>
      </c>
      <c r="D5" s="2737">
        <f ca="1">ROUND(B5*10000/$B$2,0)</f>
        <v>128008</v>
      </c>
      <c r="E5" s="2914"/>
      <c r="F5" s="2915"/>
      <c r="G5" s="2915"/>
      <c r="H5" s="2916"/>
      <c r="I5" s="2916"/>
      <c r="J5" s="2916"/>
      <c r="K5" s="2916"/>
    </row>
    <row r="6" spans="1:11" ht="16.5">
      <c r="A6" s="2737" t="s">
        <v>1322</v>
      </c>
      <c r="B6" s="2737">
        <f ca="1">SUM(G14:G23)</f>
        <v>851</v>
      </c>
      <c r="C6" s="2737">
        <f ca="1">ROUND(B6*10000/$B$1,0)</f>
        <v>31370</v>
      </c>
      <c r="D6" s="2737">
        <f ca="1">ROUND(B6*10000/$B$2,0)</f>
        <v>128008</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271.27999999999997</v>
      </c>
      <c r="C14" s="2743">
        <f>结果表!C118</f>
        <v>66.48</v>
      </c>
      <c r="D14" s="2743">
        <f ca="1">结果表!H118</f>
        <v>851</v>
      </c>
      <c r="E14" s="2743">
        <f ca="1">ROUND(D14*10000/B14,0)</f>
        <v>31370</v>
      </c>
      <c r="F14" s="2743">
        <f ca="1">ROUND(D14*10000/C14,0)</f>
        <v>128008</v>
      </c>
      <c r="G14" s="2743">
        <f ca="1">结果表!D122</f>
        <v>851</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4" sqref="L34"/>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2" t="str">
        <f>项目基本情况!S2</f>
        <v>北京市房地产</v>
      </c>
      <c r="B2" s="3263"/>
      <c r="C2" s="3263"/>
      <c r="D2" s="3263"/>
      <c r="E2" s="3263"/>
      <c r="F2" s="3263"/>
      <c r="G2" s="3263"/>
      <c r="H2" s="3263"/>
      <c r="I2" s="3264"/>
    </row>
    <row r="3" spans="1:12" ht="12.75">
      <c r="A3" s="3266" t="s">
        <v>1950</v>
      </c>
      <c r="B3" s="3267"/>
      <c r="C3" s="3267"/>
      <c r="D3" s="3267"/>
      <c r="E3" s="3267"/>
      <c r="F3" s="3267"/>
      <c r="G3" s="3267"/>
      <c r="H3" s="3267"/>
      <c r="I3" s="3267"/>
    </row>
    <row r="4" spans="1:12" ht="14.25">
      <c r="A4" s="1939" t="s">
        <v>1951</v>
      </c>
      <c r="B4" s="1940" t="s">
        <v>1952</v>
      </c>
      <c r="C4" s="1941" t="s">
        <v>3099</v>
      </c>
      <c r="D4" s="1941" t="s">
        <v>3100</v>
      </c>
      <c r="E4" s="3271" t="s">
        <v>1953</v>
      </c>
      <c r="F4" s="3272"/>
      <c r="G4" s="3272"/>
      <c r="H4" s="3272"/>
      <c r="I4" s="327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7" t="s">
        <v>1954</v>
      </c>
      <c r="B5" s="3265">
        <v>25</v>
      </c>
      <c r="C5" s="3268"/>
      <c r="D5" s="3256"/>
      <c r="E5" s="136" t="s">
        <v>1955</v>
      </c>
      <c r="F5" s="1942"/>
      <c r="G5" s="1942"/>
      <c r="H5" s="1942"/>
      <c r="I5" s="1557"/>
    </row>
    <row r="6" spans="1:12" ht="12.75">
      <c r="A6" s="3207"/>
      <c r="B6" s="3265"/>
      <c r="C6" s="3270"/>
      <c r="D6" s="3256"/>
      <c r="E6" s="136" t="s">
        <v>1956</v>
      </c>
      <c r="F6" s="1942"/>
      <c r="G6" s="1942"/>
      <c r="H6" s="1942"/>
      <c r="I6" s="1557"/>
    </row>
    <row r="7" spans="1:12" ht="12.75">
      <c r="A7" s="3207"/>
      <c r="B7" s="3265"/>
      <c r="C7" s="3269"/>
      <c r="D7" s="3256"/>
      <c r="E7" s="136" t="s">
        <v>1957</v>
      </c>
      <c r="F7" s="1942"/>
      <c r="G7" s="1942"/>
      <c r="H7" s="1942"/>
      <c r="I7" s="1557"/>
    </row>
    <row r="8" spans="1:12" ht="12.75">
      <c r="A8" s="3207" t="s">
        <v>1958</v>
      </c>
      <c r="B8" s="3265">
        <v>15</v>
      </c>
      <c r="C8" s="3268"/>
      <c r="D8" s="3256"/>
      <c r="E8" s="136" t="s">
        <v>1959</v>
      </c>
      <c r="F8" s="1942"/>
      <c r="G8" s="1942"/>
      <c r="H8" s="1942"/>
      <c r="I8" s="1557"/>
    </row>
    <row r="9" spans="1:12" ht="12.75">
      <c r="A9" s="3207"/>
      <c r="B9" s="3265"/>
      <c r="C9" s="3269"/>
      <c r="D9" s="3256"/>
      <c r="E9" s="136" t="s">
        <v>1960</v>
      </c>
      <c r="F9" s="1942"/>
      <c r="G9" s="1942"/>
      <c r="H9" s="1942"/>
      <c r="I9" s="1557"/>
    </row>
    <row r="10" spans="1:12" ht="12.75">
      <c r="A10" s="3207" t="s">
        <v>1961</v>
      </c>
      <c r="B10" s="3265">
        <v>15</v>
      </c>
      <c r="C10" s="3268"/>
      <c r="D10" s="3256"/>
      <c r="E10" s="136" t="s">
        <v>1962</v>
      </c>
      <c r="F10" s="1942"/>
      <c r="G10" s="1942"/>
      <c r="H10" s="1942"/>
      <c r="I10" s="1557"/>
    </row>
    <row r="11" spans="1:12" ht="12.75">
      <c r="A11" s="3207"/>
      <c r="B11" s="3265"/>
      <c r="C11" s="3269"/>
      <c r="D11" s="3256"/>
      <c r="E11" s="136" t="s">
        <v>1963</v>
      </c>
      <c r="F11" s="1942"/>
      <c r="G11" s="1942"/>
      <c r="H11" s="1942"/>
      <c r="I11" s="1557"/>
    </row>
    <row r="12" spans="1:12" ht="12.75">
      <c r="A12" s="3207" t="s">
        <v>1964</v>
      </c>
      <c r="B12" s="3265">
        <v>15</v>
      </c>
      <c r="C12" s="3268"/>
      <c r="D12" s="3256"/>
      <c r="E12" s="136" t="s">
        <v>1965</v>
      </c>
      <c r="F12" s="1942"/>
      <c r="G12" s="1942"/>
      <c r="H12" s="1942"/>
      <c r="I12" s="1557"/>
    </row>
    <row r="13" spans="1:12" ht="12.75">
      <c r="A13" s="3207"/>
      <c r="B13" s="3265"/>
      <c r="C13" s="3269"/>
      <c r="D13" s="3256"/>
      <c r="E13" s="136" t="s">
        <v>1966</v>
      </c>
      <c r="F13" s="1942"/>
      <c r="G13" s="1942"/>
      <c r="H13" s="1942"/>
      <c r="I13" s="1557"/>
    </row>
    <row r="14" spans="1:12" ht="12.75">
      <c r="A14" s="3207" t="s">
        <v>1967</v>
      </c>
      <c r="B14" s="3265">
        <v>30</v>
      </c>
      <c r="C14" s="3268">
        <v>5</v>
      </c>
      <c r="D14" s="3256">
        <v>5</v>
      </c>
      <c r="E14" s="136" t="s">
        <v>1968</v>
      </c>
      <c r="F14" s="1942"/>
      <c r="G14" s="1942"/>
      <c r="H14" s="1942"/>
      <c r="I14" s="1557"/>
    </row>
    <row r="15" spans="1:12" ht="12.75">
      <c r="A15" s="3207"/>
      <c r="B15" s="3265"/>
      <c r="C15" s="3270"/>
      <c r="D15" s="3256"/>
      <c r="E15" s="136" t="s">
        <v>1969</v>
      </c>
      <c r="F15" s="1942"/>
      <c r="G15" s="1942"/>
      <c r="H15" s="1942"/>
      <c r="I15" s="1557"/>
    </row>
    <row r="16" spans="1:12" ht="12.75">
      <c r="A16" s="3207"/>
      <c r="B16" s="3265"/>
      <c r="C16" s="3269"/>
      <c r="D16" s="3256"/>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87" t="s">
        <v>2871</v>
      </c>
      <c r="F18" s="3288"/>
      <c r="G18" s="3288"/>
      <c r="H18" s="3288"/>
      <c r="I18" s="3288"/>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SUMIF(INDIRECT("'"&amp;C4&amp;"'"&amp;"!A:A"),结果表!B19,INDIRECT("'"&amp;C4&amp;"'"&amp;"!B:B"))</f>
        <v>845</v>
      </c>
      <c r="D19" s="140">
        <f ca="1">SUMIF(INDIRECT("'"&amp;D4&amp;"'"&amp;"!A:A"),结果表!B19,INDIRECT("'"&amp;D4&amp;"'"&amp;"!B:B"))</f>
        <v>857</v>
      </c>
      <c r="E19" s="1946" t="s">
        <v>1978</v>
      </c>
      <c r="F19" s="1947" t="s">
        <v>1977</v>
      </c>
      <c r="G19" s="141">
        <f ca="1">ROUND(C19*$C$18+D19*$D$18,0)</f>
        <v>851</v>
      </c>
      <c r="H19" s="1948" t="s">
        <v>1979</v>
      </c>
      <c r="I19" s="134"/>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SUMIF(INDIRECT("'"&amp;C4&amp;"'"&amp;"!A:A"),结果表!B20,INDIRECT("'"&amp;C4&amp;"'"&amp;"!B:B"))</f>
        <v>31165</v>
      </c>
      <c r="D20" s="143">
        <f ca="1">SUMIF(INDIRECT("'"&amp;D4&amp;"'"&amp;"!A:A"),结果表!B20,INDIRECT("'"&amp;D4&amp;"'"&amp;"!B:B"))</f>
        <v>31606</v>
      </c>
      <c r="E20" s="1949"/>
      <c r="F20" s="1157" t="s">
        <v>1981</v>
      </c>
      <c r="G20" s="144">
        <f ca="1">ROUND(C20*$C$18+D20*$D$18,0)</f>
        <v>31386</v>
      </c>
      <c r="H20" s="917" t="s">
        <v>1982</v>
      </c>
      <c r="I20" s="134"/>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80" t="s">
        <v>1985</v>
      </c>
      <c r="B24" s="1947" t="s">
        <v>1977</v>
      </c>
      <c r="C24" s="141">
        <f>IF(B30=0,0,D30)</f>
        <v>0</v>
      </c>
      <c r="D24" s="1954"/>
      <c r="E24" s="134"/>
      <c r="F24" s="134"/>
      <c r="G24" s="134"/>
      <c r="H24" s="134"/>
      <c r="I24" s="134"/>
    </row>
    <row r="25" spans="1:36" ht="14.25">
      <c r="A25" s="3281"/>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851</v>
      </c>
      <c r="D32" s="1960" t="s">
        <v>3120</v>
      </c>
      <c r="E32" s="134"/>
      <c r="F32" s="134"/>
      <c r="G32" s="134"/>
      <c r="H32" s="134"/>
      <c r="I32" s="134"/>
    </row>
    <row r="33" spans="1:15" ht="15">
      <c r="A33" s="894" t="s">
        <v>1992</v>
      </c>
      <c r="B33" s="1961"/>
      <c r="C33" s="1962" t="s">
        <v>3139</v>
      </c>
      <c r="D33" s="1963" t="s">
        <v>3100</v>
      </c>
      <c r="E33" s="1964" t="s">
        <v>1993</v>
      </c>
      <c r="F33" s="1965" t="str">
        <f>IF(D32="楼面单价","取值（单价）","取值（总价）")</f>
        <v>取值（总价）</v>
      </c>
      <c r="G33" s="134"/>
      <c r="H33" s="134"/>
      <c r="I33" s="134"/>
    </row>
    <row r="34" spans="1:15" ht="15">
      <c r="A34" s="1966"/>
      <c r="B34" s="1967" t="s">
        <v>1994</v>
      </c>
      <c r="C34" s="153">
        <f ca="1">IF(C33="自定义",F34,C32-C35)</f>
        <v>620</v>
      </c>
      <c r="D34" s="970">
        <f ca="1">IF(C33="自定义",ROUND(C34/C32,3),IF(C33="收益比率",SUMIF(INDIRECT("'"&amp;D33&amp;"'"&amp;"!b:b"),"土地收益比率",INDIRECT("'"&amp;D33&amp;"'"&amp;"!c:c")),SUMIF(INDIRECT("'"&amp;D33&amp;"'"&amp;"!b:b"),"土地成本比率",INDIRECT("'"&amp;D33&amp;"'"&amp;"!c:c"))))</f>
        <v>0.72799999999999998</v>
      </c>
      <c r="E34" s="1968" t="s">
        <v>1995</v>
      </c>
      <c r="F34" s="1498"/>
      <c r="G34" s="134"/>
      <c r="H34" s="134"/>
      <c r="I34" s="134"/>
    </row>
    <row r="35" spans="1:15" ht="15.75" thickBot="1">
      <c r="A35" s="1969"/>
      <c r="B35" s="1970" t="s">
        <v>1996</v>
      </c>
      <c r="C35" s="1332">
        <f ca="1">IF(C33="自定义",F35,ROUND(C32*D35,0))</f>
        <v>231</v>
      </c>
      <c r="D35" s="1333">
        <f ca="1">IF(C33="自定义",ROUND(C35/C32,3),IF(C33="收益比率",SUMIF(INDIRECT("'"&amp;D33&amp;"'"&amp;"!b:b"),"建筑物收益比率",INDIRECT("'"&amp;D33&amp;"'"&amp;"!c:c")),SUMIF(INDIRECT("'"&amp;D33&amp;"'"&amp;"!b:b"),"建筑物成本比率",INDIRECT("'"&amp;D33&amp;"'"&amp;"!c:c"))))</f>
        <v>0.27200000000000002</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7" t="s">
        <v>2012</v>
      </c>
      <c r="B45" s="3278"/>
      <c r="C45" s="3279"/>
      <c r="D45" s="160">
        <f ca="1">ROUND(H101*F45,0)</f>
        <v>851</v>
      </c>
      <c r="E45" s="161" t="s">
        <v>2013</v>
      </c>
      <c r="F45" s="162">
        <v>1</v>
      </c>
      <c r="G45" s="163" t="s">
        <v>2014</v>
      </c>
      <c r="H45" s="134"/>
      <c r="I45" s="134"/>
      <c r="J45" s="3194" t="s">
        <v>2015</v>
      </c>
      <c r="K45" s="3194"/>
      <c r="L45" s="3194"/>
      <c r="M45" s="3194"/>
      <c r="N45" s="3194"/>
      <c r="O45" s="3194"/>
    </row>
    <row r="46" spans="1:15" ht="14.25" customHeight="1">
      <c r="A46" s="3274" t="s">
        <v>2016</v>
      </c>
      <c r="B46" s="3275"/>
      <c r="C46" s="3275"/>
      <c r="D46" s="3275"/>
      <c r="E46" s="3275"/>
      <c r="F46" s="3275"/>
      <c r="G46" s="3276"/>
      <c r="H46" s="1991"/>
      <c r="I46" s="164"/>
      <c r="J46" s="2748">
        <v>1</v>
      </c>
      <c r="K46" s="3195" t="s">
        <v>2017</v>
      </c>
      <c r="L46" s="3195"/>
      <c r="M46" s="3196"/>
      <c r="N46" s="3196"/>
      <c r="O46" s="3196"/>
    </row>
    <row r="47" spans="1:15" ht="12" customHeight="1">
      <c r="A47" s="165" t="s">
        <v>2018</v>
      </c>
      <c r="B47" s="166"/>
      <c r="C47" s="167"/>
      <c r="D47" s="1247" t="s">
        <v>2019</v>
      </c>
      <c r="E47" s="308" t="s">
        <v>2020</v>
      </c>
      <c r="F47" s="168" t="s">
        <v>2021</v>
      </c>
      <c r="G47" s="2771" t="s">
        <v>2022</v>
      </c>
      <c r="H47" s="2772"/>
      <c r="I47" s="164"/>
      <c r="J47" s="2748">
        <v>2</v>
      </c>
      <c r="K47" s="3195" t="s">
        <v>2023</v>
      </c>
      <c r="L47" s="3195"/>
      <c r="M47" s="3197">
        <f>'数据-取费表'!B2</f>
        <v>44442</v>
      </c>
      <c r="N47" s="3197"/>
      <c r="O47" s="3197"/>
    </row>
    <row r="48" spans="1:15" ht="25.5">
      <c r="A48" s="3260" t="s">
        <v>2024</v>
      </c>
      <c r="B48" s="3261"/>
      <c r="C48" s="3261"/>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95" t="s">
        <v>2026</v>
      </c>
      <c r="L48" s="3195"/>
      <c r="M48" s="3198">
        <f ca="1">H101</f>
        <v>851</v>
      </c>
      <c r="N48" s="3198"/>
      <c r="O48" s="3198"/>
    </row>
    <row r="49" spans="1:35" ht="25.5" customHeight="1">
      <c r="A49" s="2555" t="s">
        <v>2027</v>
      </c>
      <c r="B49" s="3243" t="s">
        <v>2028</v>
      </c>
      <c r="C49" s="3243"/>
      <c r="D49" s="1775">
        <v>0</v>
      </c>
      <c r="E49" s="330" t="s">
        <v>2029</v>
      </c>
      <c r="F49" s="2649" t="s">
        <v>34</v>
      </c>
      <c r="G49" s="3226"/>
      <c r="H49" s="2527" t="s">
        <v>2874</v>
      </c>
      <c r="I49" s="2528"/>
      <c r="J49" s="2748">
        <v>4</v>
      </c>
      <c r="K49" s="3195" t="str">
        <f>IF(项目基本情况!E8="房地产抵押价值","房地产抵押价值","抵押担保权已注销时的房地产抵押价值")</f>
        <v>房地产抵押价值</v>
      </c>
      <c r="L49" s="3195"/>
      <c r="M49" s="3198">
        <f ca="1">IF(项目基本情况!E8="房地产抵押价值",H107,H109)</f>
        <v>851</v>
      </c>
      <c r="N49" s="3198"/>
      <c r="O49" s="3198"/>
    </row>
    <row r="50" spans="1:35" ht="25.5" customHeight="1">
      <c r="A50" s="2776"/>
      <c r="B50" s="3243" t="s">
        <v>2030</v>
      </c>
      <c r="C50" s="3243"/>
      <c r="D50" s="2777"/>
      <c r="E50" s="338"/>
      <c r="F50" s="2649"/>
      <c r="G50" s="3227"/>
      <c r="H50" s="2529" t="s">
        <v>2875</v>
      </c>
      <c r="I50" s="2528"/>
      <c r="J50" s="3194" t="s">
        <v>2031</v>
      </c>
      <c r="K50" s="3194"/>
      <c r="L50" s="3194"/>
      <c r="M50" s="3194"/>
      <c r="N50" s="3194"/>
      <c r="O50" s="3194"/>
    </row>
    <row r="51" spans="1:35" ht="20.45" customHeight="1">
      <c r="A51" s="2778"/>
      <c r="B51" s="3243" t="s">
        <v>2032</v>
      </c>
      <c r="C51" s="3243"/>
      <c r="D51" s="1247"/>
      <c r="E51" s="333"/>
      <c r="F51" s="2649"/>
      <c r="G51" s="3228"/>
      <c r="H51" s="2529" t="s">
        <v>2876</v>
      </c>
      <c r="I51" s="2528"/>
      <c r="J51" s="2749" t="s">
        <v>2033</v>
      </c>
      <c r="K51" s="3195" t="s">
        <v>2034</v>
      </c>
      <c r="L51" s="3195"/>
      <c r="M51" s="2749" t="s">
        <v>2035</v>
      </c>
      <c r="N51" s="2749" t="s">
        <v>2036</v>
      </c>
      <c r="O51" s="2749" t="s">
        <v>2037</v>
      </c>
    </row>
    <row r="52" spans="1:35" ht="24" customHeight="1">
      <c r="A52" s="2557" t="s">
        <v>2038</v>
      </c>
      <c r="B52" s="3243" t="s">
        <v>2039</v>
      </c>
      <c r="C52" s="3243"/>
      <c r="D52" s="1247">
        <f ca="1">ROUND(D45*'数据-取费表'!B41/(1+'数据-取费表'!C42),0)</f>
        <v>45</v>
      </c>
      <c r="E52" s="2556" t="s">
        <v>2040</v>
      </c>
      <c r="F52" s="2779">
        <f>'数据-取费表'!B41</f>
        <v>5.6000000000000001E-2</v>
      </c>
      <c r="G52" s="2780"/>
      <c r="H52" s="2769"/>
      <c r="I52" s="1992"/>
      <c r="J52" s="2748">
        <v>1</v>
      </c>
      <c r="K52" s="3220" t="s">
        <v>2041</v>
      </c>
      <c r="L52" s="3220"/>
      <c r="M52" s="2750" t="b">
        <f>D48</f>
        <v>0</v>
      </c>
      <c r="N52" s="2748" t="str">
        <f>E48</f>
        <v>销售额×税（费）率</v>
      </c>
      <c r="O52" s="2751">
        <f>F48</f>
        <v>5.6000000000000001E-2</v>
      </c>
    </row>
    <row r="53" spans="1:35" ht="12" customHeight="1">
      <c r="A53" s="2557" t="s">
        <v>2042</v>
      </c>
      <c r="B53" s="3244" t="s">
        <v>3035</v>
      </c>
      <c r="C53" s="3245"/>
      <c r="D53" s="1247">
        <f ca="1">ROUND(D45*'数据-取费表'!B41/(1+'数据-取费表'!C42),0)</f>
        <v>45</v>
      </c>
      <c r="E53" s="2556" t="s">
        <v>2040</v>
      </c>
      <c r="F53" s="2779">
        <f>'数据-取费表'!B41</f>
        <v>5.6000000000000001E-2</v>
      </c>
      <c r="G53" s="2780"/>
      <c r="H53" s="2769"/>
      <c r="I53" s="1992"/>
      <c r="J53" s="2748">
        <v>2</v>
      </c>
      <c r="K53" s="3220" t="s">
        <v>2043</v>
      </c>
      <c r="L53" s="3220"/>
      <c r="M53" s="2750">
        <f t="shared" ref="M53:O54" ca="1" si="0">D55</f>
        <v>0</v>
      </c>
      <c r="N53" s="2748" t="str">
        <f t="shared" si="0"/>
        <v>销售额×税（费）率</v>
      </c>
      <c r="O53" s="2751" t="str">
        <f t="shared" si="0"/>
        <v>免征</v>
      </c>
    </row>
    <row r="54" spans="1:35" ht="12" customHeight="1">
      <c r="A54" s="2557" t="s">
        <v>2044</v>
      </c>
      <c r="B54" s="3244" t="s">
        <v>3036</v>
      </c>
      <c r="C54" s="3245"/>
      <c r="D54" s="1247">
        <f ca="1">C68</f>
        <v>45</v>
      </c>
      <c r="E54" s="333" t="s">
        <v>2045</v>
      </c>
      <c r="F54" s="2779">
        <f>'数据-取费表'!B41</f>
        <v>5.6000000000000001E-2</v>
      </c>
      <c r="G54" s="2780"/>
      <c r="H54" s="2781"/>
      <c r="I54" s="1992"/>
      <c r="J54" s="2748">
        <v>3</v>
      </c>
      <c r="K54" s="3220" t="s">
        <v>2046</v>
      </c>
      <c r="L54" s="3220"/>
      <c r="M54" s="2750">
        <f t="shared" ca="1" si="0"/>
        <v>481</v>
      </c>
      <c r="N54" s="2748" t="str">
        <f t="shared" si="0"/>
        <v>增值额×税（费）率</v>
      </c>
      <c r="O54" s="2752" t="str">
        <f t="shared" si="0"/>
        <v>免征</v>
      </c>
    </row>
    <row r="55" spans="1:35" ht="24" customHeight="1">
      <c r="A55" s="3283" t="s">
        <v>2047</v>
      </c>
      <c r="B55" s="3261"/>
      <c r="C55" s="3261"/>
      <c r="D55" s="2546">
        <f ca="1">IF(H55="个人住宅",0,ROUND(D45*I55,0))</f>
        <v>0</v>
      </c>
      <c r="E55" s="2556" t="s">
        <v>2048</v>
      </c>
      <c r="F55" s="2779" t="str">
        <f>IF(H55="正常",I55,"免征")</f>
        <v>免征</v>
      </c>
      <c r="G55" s="2780"/>
      <c r="H55" s="2775"/>
      <c r="I55" s="170">
        <f>'数据-取费表'!B49</f>
        <v>5.0000000000000001E-4</v>
      </c>
      <c r="J55" s="2748">
        <f>IF(H59="非个人房产","",4)</f>
        <v>4</v>
      </c>
      <c r="K55" s="3220" t="str">
        <f>IF(H59="非个人房产","——","个人所得税")</f>
        <v>个人所得税</v>
      </c>
      <c r="L55" s="3220"/>
      <c r="M55" s="2753">
        <f ca="1">D59</f>
        <v>8</v>
      </c>
      <c r="N55" s="2227" t="str">
        <f>E59</f>
        <v>差额计税</v>
      </c>
      <c r="O55" s="2754">
        <f>F59</f>
        <v>0.01</v>
      </c>
    </row>
    <row r="56" spans="1:35" ht="24.75">
      <c r="A56" s="3283" t="s">
        <v>2049</v>
      </c>
      <c r="B56" s="3261"/>
      <c r="C56" s="3261"/>
      <c r="D56" s="2546">
        <f ca="1">IF(H56="个人住宅",D57,D58)</f>
        <v>481</v>
      </c>
      <c r="E56" s="2556" t="s">
        <v>2050</v>
      </c>
      <c r="F56" s="2779" t="str">
        <f>IF(H56="正常",F58,"免征")</f>
        <v>免征</v>
      </c>
      <c r="G56" s="2782" t="s">
        <v>2051</v>
      </c>
      <c r="H56" s="2783"/>
      <c r="I56" s="1993"/>
      <c r="J56" s="2748" t="str">
        <f>IF(项目基本情况!K6="上海银行",IF(J55="",4,J55+1),"")</f>
        <v/>
      </c>
      <c r="K56" s="3201" t="str">
        <f>IF(项目基本情况!K6="上海银行","其他处置费用","")</f>
        <v/>
      </c>
      <c r="L56" s="3202"/>
      <c r="M56" s="2750" t="str">
        <f>IF(项目基本情况!K6="上海银行",M69,"")</f>
        <v/>
      </c>
      <c r="N56" s="3201" t="str">
        <f>IF(项目基本情况!K6="上海银行","包含处置中涉及的律师、诉讼、拍卖、评估等费用","")</f>
        <v/>
      </c>
      <c r="O56" s="3204"/>
    </row>
    <row r="57" spans="1:35" ht="12.75">
      <c r="A57" s="2557" t="s">
        <v>2027</v>
      </c>
      <c r="B57" s="3244" t="s">
        <v>2052</v>
      </c>
      <c r="C57" s="3245"/>
      <c r="D57" s="1775">
        <v>0</v>
      </c>
      <c r="E57" s="330" t="s">
        <v>2029</v>
      </c>
      <c r="F57" s="308"/>
      <c r="G57" s="2780"/>
      <c r="H57" s="2784"/>
      <c r="I57" s="1993"/>
      <c r="J57" s="3220">
        <f>IF(AND(J55="",J56=""),4,IF(项目基本情况!K6="上海银行",结果表!J56+1,结果表!J55+1))</f>
        <v>5</v>
      </c>
      <c r="K57" s="3220" t="s">
        <v>2053</v>
      </c>
      <c r="L57" s="2755" t="s">
        <v>2054</v>
      </c>
      <c r="M57" s="2756"/>
      <c r="N57" s="2757">
        <f ca="1">SUMIF(M52:M56,"&lt;9e307")</f>
        <v>489</v>
      </c>
      <c r="O57" s="2758"/>
      <c r="P57" s="2918">
        <f ca="1">N57/M49</f>
        <v>0.57461809635722683</v>
      </c>
    </row>
    <row r="58" spans="1:35" ht="24.75">
      <c r="A58" s="2557" t="s">
        <v>2038</v>
      </c>
      <c r="B58" s="3244" t="s">
        <v>2055</v>
      </c>
      <c r="C58" s="3243"/>
      <c r="D58" s="2546">
        <f ca="1">IF(H58="转让取得",C81,C97)</f>
        <v>481</v>
      </c>
      <c r="E58" s="2556" t="s">
        <v>2050</v>
      </c>
      <c r="F58" s="308" t="s">
        <v>34</v>
      </c>
      <c r="G58" s="2780"/>
      <c r="H58" s="2783"/>
      <c r="I58" s="1993"/>
      <c r="J58" s="3220"/>
      <c r="K58" s="3220"/>
      <c r="L58" s="2755" t="s">
        <v>2056</v>
      </c>
      <c r="M58" s="2759"/>
      <c r="N58" s="2760" t="str">
        <f ca="1">NUMBERSTRING(INT(N57*10000),2)&amp;"元整"</f>
        <v>肆佰捌拾玖万元整</v>
      </c>
      <c r="O58" s="2761"/>
    </row>
    <row r="59" spans="1:35" ht="24.75" thickBot="1">
      <c r="A59" s="3224" t="s">
        <v>2057</v>
      </c>
      <c r="B59" s="3225"/>
      <c r="C59" s="3225"/>
      <c r="D59" s="2785">
        <f ca="1">IF(H59="非个人房产","——",IF(H59="个人住宅（满五唯一有凭证）",0,IF(H59="个人其他（无凭证）",ROUND(D45*F59,0),ROUND(C67*F59,0))))</f>
        <v>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2877</v>
      </c>
      <c r="J59" s="3222">
        <f>J57+1</f>
        <v>6</v>
      </c>
      <c r="K59" s="3220" t="s">
        <v>2058</v>
      </c>
      <c r="L59" s="2748" t="s">
        <v>2054</v>
      </c>
      <c r="M59" s="2762"/>
      <c r="N59" s="2763">
        <f ca="1">M49-N57</f>
        <v>362</v>
      </c>
      <c r="O59" s="2764"/>
    </row>
    <row r="60" spans="1:35" ht="12" customHeight="1">
      <c r="A60" s="1994"/>
      <c r="B60" s="1932"/>
      <c r="C60" s="1932"/>
      <c r="D60" s="1932"/>
      <c r="E60" s="1763"/>
      <c r="F60" s="1993"/>
      <c r="G60" s="1993"/>
      <c r="H60" s="1995"/>
      <c r="I60" s="134"/>
      <c r="J60" s="3223"/>
      <c r="K60" s="3220"/>
      <c r="L60" s="2755" t="s">
        <v>2056</v>
      </c>
      <c r="M60" s="2759"/>
      <c r="N60" s="2760" t="str">
        <f ca="1">NUMBERSTRING(INT(N59*10000),2)&amp;"元整"</f>
        <v>叁佰陆拾贰万元整</v>
      </c>
      <c r="O60" s="2761"/>
    </row>
    <row r="61" spans="1:35" ht="13.5" thickBot="1">
      <c r="A61" s="3282" t="s">
        <v>2059</v>
      </c>
      <c r="B61" s="3282"/>
      <c r="C61" s="3282"/>
      <c r="D61" s="3282"/>
      <c r="E61" s="3282"/>
      <c r="F61" s="1993"/>
      <c r="G61" s="1993"/>
      <c r="H61" s="1995"/>
      <c r="I61" s="134"/>
      <c r="J61" s="2748">
        <f>J59+1</f>
        <v>7</v>
      </c>
      <c r="K61" s="3220" t="s">
        <v>2060</v>
      </c>
      <c r="L61" s="3220"/>
      <c r="M61" s="2765"/>
      <c r="N61" s="2766">
        <f ca="1">ROUND(N59*10000/'数据-汇总表'!E3,0)</f>
        <v>1509</v>
      </c>
      <c r="O61" s="2767"/>
    </row>
    <row r="62" spans="1:35" ht="12.75">
      <c r="A62" s="3239" t="s">
        <v>2061</v>
      </c>
      <c r="B62" s="3240"/>
      <c r="C62" s="2208"/>
      <c r="D62" s="2208" t="s">
        <v>2062</v>
      </c>
      <c r="E62" s="171" t="s">
        <v>2063</v>
      </c>
      <c r="F62" s="1993"/>
      <c r="G62" s="1993"/>
      <c r="H62" s="1995"/>
      <c r="I62" s="134"/>
    </row>
    <row r="63" spans="1:35" ht="12.75">
      <c r="A63" s="178" t="s">
        <v>775</v>
      </c>
      <c r="B63" s="172" t="s">
        <v>2064</v>
      </c>
      <c r="C63" s="2789">
        <f ca="1">ROUND((C64+C65)/(1+'数据-取费表'!C42),0)</f>
        <v>810</v>
      </c>
      <c r="D63" s="172"/>
      <c r="E63" s="173"/>
      <c r="F63" s="1993"/>
      <c r="G63" s="1993"/>
      <c r="H63" s="1995"/>
      <c r="I63" s="134"/>
      <c r="J63" s="3203" t="s">
        <v>2065</v>
      </c>
      <c r="K63" s="1501" t="s">
        <v>2066</v>
      </c>
      <c r="L63" s="1501">
        <f ca="1">IF(M49&gt;10000,M49*0.5%,IF(AND(M49&gt;1000,M49&lt;=10000),M49*1%,IF(AND(M49&gt;100,M49&lt;=1000),M49*3%,IF(AND(M49&gt;10,M49&lt;=100),M49*5%,M49*8%))))</f>
        <v>25.529999999999998</v>
      </c>
      <c r="M63" s="308">
        <f ca="1">ROUND(L63,1)</f>
        <v>25.5</v>
      </c>
      <c r="N63" s="2768"/>
      <c r="Z63" s="1937"/>
      <c r="AI63" s="1938"/>
    </row>
    <row r="64" spans="1:35" ht="14.25" customHeight="1">
      <c r="A64" s="174" t="s">
        <v>770</v>
      </c>
      <c r="B64" s="175" t="s">
        <v>2067</v>
      </c>
      <c r="C64" s="2790">
        <f ca="1">D45</f>
        <v>851</v>
      </c>
      <c r="D64" s="175" t="s">
        <v>32</v>
      </c>
      <c r="E64" s="177"/>
      <c r="F64" s="1993"/>
      <c r="G64" s="1993"/>
      <c r="H64" s="1995"/>
      <c r="I64" s="134"/>
      <c r="J64" s="3203"/>
      <c r="K64" s="1501" t="s">
        <v>2068</v>
      </c>
      <c r="L64" s="1501">
        <f ca="1">IF(M49&gt;2000,M49*0.5%,IF(AND(M49&gt;1000,M49&lt;=2000),M49*0.6%,IF(AND(M49&gt;500,M49&lt;=1000),M49*0.7%,IF(AND(M49&gt;200,M49&lt;=500),M49*0.8%,IF(AND(M49&gt;100,M49&lt;=200),M49*0.9%,IF(AND(M49&gt;50,M49&lt;=100),M49*1%,IF(AND(M49&gt;20,M49&lt;=50),M49*1.5%,IF(AND(M49&gt;10,M49&lt;=20),M49*2%,IF(AND(M49&gt;1,M49&lt;=10),M49*2.5%)))))))))</f>
        <v>5.956999999999999</v>
      </c>
      <c r="M64" s="308">
        <f t="shared" ref="M64:M65" ca="1" si="1">ROUND(L64,1)</f>
        <v>6</v>
      </c>
      <c r="N64" s="2769" t="s">
        <v>2069</v>
      </c>
      <c r="Z64" s="1937"/>
      <c r="AI64" s="1938"/>
    </row>
    <row r="65" spans="1:35" ht="14.25" customHeight="1">
      <c r="A65" s="174" t="s">
        <v>771</v>
      </c>
      <c r="B65" s="175" t="s">
        <v>2070</v>
      </c>
      <c r="C65" s="2791"/>
      <c r="D65" s="175"/>
      <c r="E65" s="177"/>
      <c r="F65" s="1993"/>
      <c r="G65" s="1993"/>
      <c r="H65" s="1995"/>
      <c r="I65" s="134"/>
      <c r="J65" s="3203"/>
      <c r="K65" s="1501" t="s">
        <v>2071</v>
      </c>
      <c r="L65" s="1501">
        <f ca="1">IF(M49&gt;1000,M49*0.1%,IF(AND(M49&gt;500,M49&lt;=1000),M49*0.5%,IF(AND(M49&gt;50,M49&lt;=500),M49*1%,IF(AND(M49&gt;1,M49&lt;=50),M49*1.5%))))</f>
        <v>4.2549999999999999</v>
      </c>
      <c r="M65" s="308">
        <f t="shared" ca="1" si="1"/>
        <v>4.3</v>
      </c>
      <c r="N65" s="2769" t="s">
        <v>2069</v>
      </c>
      <c r="Z65" s="1937"/>
      <c r="AI65" s="1938"/>
    </row>
    <row r="66" spans="1:35" ht="14.25" customHeight="1">
      <c r="A66" s="178" t="s">
        <v>772</v>
      </c>
      <c r="B66" s="179" t="s">
        <v>2072</v>
      </c>
      <c r="C66" s="2792"/>
      <c r="D66" s="179" t="s">
        <v>32</v>
      </c>
      <c r="E66" s="1509" t="s">
        <v>1337</v>
      </c>
      <c r="F66" s="1993"/>
      <c r="G66" s="1993"/>
      <c r="H66" s="1995"/>
      <c r="I66" s="134"/>
      <c r="J66" s="3203"/>
      <c r="K66" s="1501" t="s">
        <v>2073</v>
      </c>
      <c r="L66" s="1501">
        <f ca="1">M49*0.5%</f>
        <v>4.2549999999999999</v>
      </c>
      <c r="M66" s="308">
        <f ca="1">IF(L66&gt;0.5,0.5,ROUND(L66,0))</f>
        <v>0.5</v>
      </c>
      <c r="N66" s="2769" t="s">
        <v>2074</v>
      </c>
      <c r="Z66" s="1937"/>
      <c r="AI66" s="1938"/>
    </row>
    <row r="67" spans="1:35" ht="14.25" customHeight="1">
      <c r="A67" s="178" t="s">
        <v>773</v>
      </c>
      <c r="B67" s="179" t="s">
        <v>2075</v>
      </c>
      <c r="C67" s="2793">
        <f ca="1">C63-C66</f>
        <v>810</v>
      </c>
      <c r="D67" s="175" t="s">
        <v>32</v>
      </c>
      <c r="E67" s="177"/>
      <c r="F67" s="1993"/>
      <c r="G67" s="1993"/>
      <c r="H67" s="1995"/>
      <c r="I67" s="134"/>
      <c r="J67" s="3203"/>
      <c r="K67" s="1501" t="s">
        <v>2076</v>
      </c>
      <c r="L67" s="1501">
        <f ca="1">IF(M49&gt;=10000,(8.25+(M49-10000)*0.01%),IF(AND(M49&gt;=8000,M49&lt;10000),(7.85+(M49-8000)*0.02%),IF(AND(M49&gt;=5000,M49&lt;8000),(6.65+(M49-5000)*0.04%),IF(AND(M49&gt;=2000,M49&lt;5000),(4.25+(PM49-2000)*0.08%),IF(AND(M49&gt;=1000,M49&lt;2000),(2.75+(M49-1000)*0.15%),IF(AND(M49&gt;=100,M49&lt;1000),(0.5+(M49-100)*0.25%),IF(AND(M49&gt;0,M49&lt;100),M49*0.5%)))))))</f>
        <v>2.3774999999999999</v>
      </c>
      <c r="M67" s="308">
        <f ca="1">ROUND(L67*0.9,1)</f>
        <v>2.1</v>
      </c>
      <c r="N67" s="2768"/>
      <c r="Z67" s="1937"/>
      <c r="AI67" s="1938"/>
    </row>
    <row r="68" spans="1:35" ht="14.25" customHeight="1" thickBot="1">
      <c r="A68" s="181" t="s">
        <v>774</v>
      </c>
      <c r="B68" s="182" t="s">
        <v>2077</v>
      </c>
      <c r="C68" s="2794">
        <f ca="1">IF(C67&lt;=0,0,ROUND(C67*D68,0))</f>
        <v>45</v>
      </c>
      <c r="D68" s="2795">
        <f>'数据-取费表'!B41</f>
        <v>5.6000000000000001E-2</v>
      </c>
      <c r="E68" s="184"/>
      <c r="F68" s="1993"/>
      <c r="G68" s="1993"/>
      <c r="H68" s="1995"/>
      <c r="I68" s="134"/>
      <c r="J68" s="3203"/>
      <c r="K68" s="1501" t="s">
        <v>2078</v>
      </c>
      <c r="L68" s="1501">
        <f ca="1">IF(M49&gt;10000,M49*0.5%,IF(AND(M49&gt;5000,M49&lt;=10000),M49*1%,IF(AND(M49&gt;1000,M49&lt;=5000),M49*2%,IF(AND(M49&gt;200,M49&lt;=1000),M49*3%,M49*5%))))</f>
        <v>25.529999999999998</v>
      </c>
      <c r="M68" s="308">
        <f ca="1">ROUND(L68,1)</f>
        <v>25.5</v>
      </c>
      <c r="N68" s="2768"/>
      <c r="Z68" s="1937"/>
      <c r="AI68" s="1938"/>
    </row>
    <row r="69" spans="1:35" s="1957" customFormat="1" ht="16.5" customHeight="1">
      <c r="A69" s="1996"/>
      <c r="B69" s="1997"/>
      <c r="C69" s="1998"/>
      <c r="D69" s="1999"/>
      <c r="E69" s="2000"/>
      <c r="F69" s="1763"/>
      <c r="G69" s="1763"/>
      <c r="H69" s="1762"/>
      <c r="I69" s="1932"/>
      <c r="J69" s="3203"/>
      <c r="K69" s="1501" t="s">
        <v>2079</v>
      </c>
      <c r="L69" s="1501"/>
      <c r="M69" s="308">
        <f ca="1">ROUND(SUM(M63:M68),0)</f>
        <v>64</v>
      </c>
      <c r="N69" s="2770">
        <f ca="1">M69/M49</f>
        <v>7.5205640423031725E-2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7" t="s">
        <v>2080</v>
      </c>
      <c r="B70" s="3248"/>
      <c r="C70" s="3248"/>
      <c r="D70" s="3248"/>
      <c r="E70" s="3248"/>
      <c r="F70" s="3248"/>
      <c r="G70" s="3248"/>
      <c r="H70" s="3248"/>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9" t="s">
        <v>2061</v>
      </c>
      <c r="B71" s="3240"/>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810</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5</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44" t="s">
        <v>2088</v>
      </c>
      <c r="F76" s="3243"/>
      <c r="G76" s="3243"/>
      <c r="H76" s="3246"/>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5</v>
      </c>
      <c r="D78" s="2802">
        <f>'数据-取费表'!B43</f>
        <v>6.000000000000001E-3</v>
      </c>
      <c r="E78" s="3236" t="s">
        <v>2092</v>
      </c>
      <c r="F78" s="3237"/>
      <c r="G78" s="3237"/>
      <c r="H78" s="323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805</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161</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481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7" t="s">
        <v>2096</v>
      </c>
      <c r="B83" s="3248"/>
      <c r="C83" s="3248"/>
      <c r="D83" s="3248"/>
      <c r="E83" s="3248"/>
      <c r="F83" s="3248"/>
      <c r="G83" s="3248"/>
      <c r="H83" s="3248"/>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9" t="s">
        <v>2061</v>
      </c>
      <c r="B84" s="3240"/>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810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5</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05" t="s">
        <v>2869</v>
      </c>
      <c r="H90" s="3206"/>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6" t="s">
        <v>2105</v>
      </c>
      <c r="F91" s="3237"/>
      <c r="G91" s="3237"/>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6" t="s">
        <v>2108</v>
      </c>
      <c r="F92" s="3237"/>
      <c r="G92" s="3237"/>
      <c r="H92" s="3238"/>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5</v>
      </c>
      <c r="D93" s="2802">
        <f>'数据-取费表'!B43</f>
        <v>6.000000000000001E-3</v>
      </c>
      <c r="E93" s="3236" t="s">
        <v>2092</v>
      </c>
      <c r="F93" s="3237"/>
      <c r="G93" s="3237"/>
      <c r="H93" s="323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84" t="s">
        <v>2112</v>
      </c>
      <c r="F94" s="3285"/>
      <c r="G94" s="3285"/>
      <c r="H94" s="3286"/>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805</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161</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481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186" t="s">
        <v>2114</v>
      </c>
      <c r="B100" s="3187"/>
      <c r="C100" s="3187"/>
      <c r="D100" s="3221"/>
      <c r="E100" s="3187" t="s">
        <v>2115</v>
      </c>
      <c r="F100" s="3187"/>
      <c r="G100" s="3187"/>
      <c r="H100" s="3221"/>
      <c r="I100" s="134"/>
    </row>
    <row r="101" spans="1:35" ht="18.75" customHeight="1">
      <c r="A101" s="3229" t="s">
        <v>2116</v>
      </c>
      <c r="B101" s="3230"/>
      <c r="C101" s="2810" t="str">
        <f>C4</f>
        <v>比较法-办公</v>
      </c>
      <c r="D101" s="2811" t="str">
        <f>D4</f>
        <v>收益法 (元)</v>
      </c>
      <c r="E101" s="3199" t="s">
        <v>2117</v>
      </c>
      <c r="F101" s="3200"/>
      <c r="G101" s="2012" t="s">
        <v>2118</v>
      </c>
      <c r="H101" s="2820">
        <f ca="1">H118</f>
        <v>851</v>
      </c>
      <c r="I101" s="134"/>
    </row>
    <row r="102" spans="1:35" ht="18.75" customHeight="1">
      <c r="A102" s="3231" t="s">
        <v>2119</v>
      </c>
      <c r="B102" s="2809" t="s">
        <v>2118</v>
      </c>
      <c r="C102" s="2810">
        <f ca="1">C19</f>
        <v>845</v>
      </c>
      <c r="D102" s="2811">
        <f ca="1">D19</f>
        <v>857</v>
      </c>
      <c r="E102" s="3199"/>
      <c r="F102" s="3200"/>
      <c r="G102" s="2012" t="s">
        <v>2120</v>
      </c>
      <c r="H102" s="2780">
        <f ca="1">I118</f>
        <v>31370</v>
      </c>
      <c r="I102" s="134"/>
    </row>
    <row r="103" spans="1:35" ht="42.75" customHeight="1">
      <c r="A103" s="3231"/>
      <c r="B103" s="2809" t="s">
        <v>2120</v>
      </c>
      <c r="C103" s="2812">
        <f ca="1">C20</f>
        <v>31165</v>
      </c>
      <c r="D103" s="2813">
        <f ca="1">D20</f>
        <v>31606</v>
      </c>
      <c r="E103" s="3192" t="s">
        <v>2121</v>
      </c>
      <c r="F103" s="3193"/>
      <c r="G103" s="2013" t="s">
        <v>2122</v>
      </c>
      <c r="H103" s="2820">
        <f>IF(D36="正常操作",H104+H105+H106,H105+H106)</f>
        <v>0</v>
      </c>
      <c r="I103" s="134"/>
    </row>
    <row r="104" spans="1:35" ht="18.75" customHeight="1">
      <c r="A104" s="3231"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41"/>
      <c r="B105" s="2817" t="s">
        <v>2120</v>
      </c>
      <c r="C105" s="2818">
        <f ca="1">I118</f>
        <v>31370</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32" t="str">
        <f>IF(项目基本情况!E8="已注销","——","3.房地产抵押价值")</f>
        <v>3.房地产抵押价值</v>
      </c>
      <c r="F107" s="3200"/>
      <c r="G107" s="2012" t="s">
        <v>2118</v>
      </c>
      <c r="H107" s="2820">
        <f ca="1">IF(E107="——","——",H101-H103)</f>
        <v>851</v>
      </c>
      <c r="I107" s="134"/>
    </row>
    <row r="108" spans="1:35" ht="18.75" customHeight="1">
      <c r="A108" s="134"/>
      <c r="B108" s="134"/>
      <c r="C108" s="134"/>
      <c r="D108" s="134"/>
      <c r="E108" s="3232"/>
      <c r="F108" s="3200"/>
      <c r="G108" s="2012" t="s">
        <v>2120</v>
      </c>
      <c r="H108" s="2780">
        <f ca="1">ROUND(H107*10000/'数据-汇总表'!E3,0)</f>
        <v>3547</v>
      </c>
      <c r="I108" s="134"/>
    </row>
    <row r="109" spans="1:35" ht="18.75" customHeight="1">
      <c r="A109" s="134"/>
      <c r="B109" s="134"/>
      <c r="C109" s="134"/>
      <c r="D109" s="134"/>
      <c r="E109" s="3232" t="str">
        <f>IF(项目基本情况!E8="已注销及未注销","4.抵押担保权已注销时的房地产抵押价值",IF(项目基本情况!E8="已注销","3.抵押担保权已注销时的房地产抵押价值","——"))</f>
        <v>——</v>
      </c>
      <c r="F109" s="3200"/>
      <c r="G109" s="2012" t="s">
        <v>2118</v>
      </c>
      <c r="H109" s="2823" t="str">
        <f>IF(E109="——","——",H101-H105-H106)</f>
        <v>——</v>
      </c>
      <c r="I109" s="134"/>
    </row>
    <row r="110" spans="1:35" ht="18.75" customHeight="1">
      <c r="A110" s="134"/>
      <c r="B110" s="134"/>
      <c r="C110" s="134"/>
      <c r="D110" s="134"/>
      <c r="E110" s="3232"/>
      <c r="F110" s="3200"/>
      <c r="G110" s="2012" t="s">
        <v>2120</v>
      </c>
      <c r="H110" s="2780" t="str">
        <f>IF(H109="——","——",ROUND(H109*10000/'数据-汇总表'!E3,0))</f>
        <v>——</v>
      </c>
      <c r="I110" s="134"/>
    </row>
    <row r="111" spans="1:35" ht="18.75" customHeight="1">
      <c r="A111" s="134"/>
      <c r="B111" s="134"/>
      <c r="C111" s="134"/>
      <c r="D111" s="134"/>
      <c r="E111" s="3233" t="str">
        <f>IF(项目基本情况!E9="抵押净值",IF(OR(项目基本情况!E8="已注销",项目基本情况!E8="房地产抵押价值"),"4.抵押净值","5.抵押净值"),"——")</f>
        <v>——</v>
      </c>
      <c r="F111" s="3219"/>
      <c r="G111" s="2012" t="s">
        <v>2118</v>
      </c>
      <c r="H111" s="2820" t="str">
        <f>IF(E111="——","——",N59)</f>
        <v>——</v>
      </c>
      <c r="I111" s="134"/>
    </row>
    <row r="112" spans="1:35" ht="18.75" customHeight="1" thickBot="1">
      <c r="A112" s="134"/>
      <c r="B112" s="134"/>
      <c r="C112" s="134"/>
      <c r="D112" s="134"/>
      <c r="E112" s="3234"/>
      <c r="F112" s="3235"/>
      <c r="G112" s="2015" t="s">
        <v>2120</v>
      </c>
      <c r="H112" s="2824" t="str">
        <f>IF(E111="——","——",N61)</f>
        <v>——</v>
      </c>
      <c r="I112" s="134"/>
    </row>
    <row r="113" spans="1:27" ht="18.75" customHeight="1">
      <c r="A113" s="134"/>
      <c r="B113" s="134"/>
      <c r="C113" s="134"/>
      <c r="D113" s="134"/>
      <c r="E113" s="3242" t="s">
        <v>2126</v>
      </c>
      <c r="F113" s="3242"/>
      <c r="G113" s="3242"/>
      <c r="H113" s="3242"/>
      <c r="I113" s="134"/>
    </row>
    <row r="114" spans="1:27" ht="3.75" customHeight="1">
      <c r="A114" s="1932"/>
      <c r="B114" s="1932"/>
      <c r="C114" s="1932"/>
      <c r="D114" s="1932"/>
      <c r="E114" s="1994"/>
      <c r="F114" s="1994"/>
      <c r="G114" s="1994"/>
      <c r="H114" s="1994"/>
      <c r="I114" s="1932"/>
    </row>
    <row r="115" spans="1:27" ht="18.75" customHeight="1">
      <c r="A115" s="3253" t="s">
        <v>2128</v>
      </c>
      <c r="B115" s="3254"/>
      <c r="C115" s="3254"/>
      <c r="D115" s="3254"/>
      <c r="E115" s="3254"/>
      <c r="F115" s="3254"/>
      <c r="G115" s="3254"/>
      <c r="H115" s="3254"/>
      <c r="I115" s="3255"/>
    </row>
    <row r="116" spans="1:27" ht="27" customHeight="1">
      <c r="A116" s="3207" t="s">
        <v>2129</v>
      </c>
      <c r="B116" s="3211" t="s">
        <v>2130</v>
      </c>
      <c r="C116" s="3211" t="s">
        <v>2131</v>
      </c>
      <c r="D116" s="3217" t="s">
        <v>2132</v>
      </c>
      <c r="E116" s="3218"/>
      <c r="F116" s="3249" t="s">
        <v>2133</v>
      </c>
      <c r="G116" s="3249"/>
      <c r="H116" s="3207" t="s">
        <v>2134</v>
      </c>
      <c r="I116" s="3207"/>
    </row>
    <row r="117" spans="1:27" ht="18.75" customHeight="1">
      <c r="A117" s="3207"/>
      <c r="B117" s="3212"/>
      <c r="C117" s="3212"/>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271.27999999999997</v>
      </c>
      <c r="C118" s="2551">
        <f>M19</f>
        <v>66.48</v>
      </c>
      <c r="D118" s="2551">
        <f ca="1">ROUND(IF(D32="总价",C34,E118*B118/10000),0)</f>
        <v>620</v>
      </c>
      <c r="E118" s="2551">
        <f ca="1">ROUND(IF(C33="自定义",IF(D32="楼面单价",C34,D118*10000/B118),I118-G118),0)</f>
        <v>22855</v>
      </c>
      <c r="F118" s="2551">
        <f ca="1">ROUND(IF(D32="总价",C35,G118*B118/10000),0)</f>
        <v>231</v>
      </c>
      <c r="G118" s="2551">
        <f ca="1">ROUND(IF(D32="楼面单价",C35,F118*10000/B118),0)</f>
        <v>8515</v>
      </c>
      <c r="H118" s="2551">
        <f ca="1">ROUND(IF(D32="总价",C32,I118*B118/10000),0)</f>
        <v>851</v>
      </c>
      <c r="I118" s="2551">
        <f ca="1">ROUND(IF(D32="楼面单价",C32,H118*10000/B118),0)</f>
        <v>31370</v>
      </c>
    </row>
    <row r="119" spans="1:27" ht="18.75" customHeight="1">
      <c r="A119" s="3207" t="s">
        <v>2138</v>
      </c>
      <c r="B119" s="3207"/>
      <c r="C119" s="3207"/>
      <c r="D119" s="3213" t="str">
        <f ca="1">NUMBERSTRING(INT(D118*10000),2)&amp;"元整"</f>
        <v>陆佰贰拾万元整</v>
      </c>
      <c r="E119" s="3214"/>
      <c r="F119" s="3213" t="str">
        <f ca="1">NUMBERSTRING(INT(F118*10000),2)&amp;"元整"</f>
        <v>贰佰叁拾壹万元整</v>
      </c>
      <c r="G119" s="3214"/>
      <c r="H119" s="3213" t="str">
        <f ca="1">NUMBERSTRING(INT(H118*10000),2)&amp;"元整"</f>
        <v>捌佰伍拾壹万元整</v>
      </c>
      <c r="I119" s="3214"/>
    </row>
    <row r="120" spans="1:27" ht="18.75" customHeight="1">
      <c r="A120" s="3208" t="str">
        <f>IF(项目基本情况!B9="房地产市场价值","",MID(E103,3,LEN(E103)-2))</f>
        <v>估价师知悉的法定优先受偿款</v>
      </c>
      <c r="B120" s="3209"/>
      <c r="C120" s="3210"/>
      <c r="D120" s="3208">
        <f>H103</f>
        <v>0</v>
      </c>
      <c r="E120" s="3209"/>
      <c r="F120" s="3209"/>
      <c r="G120" s="3209"/>
      <c r="H120" s="3209"/>
      <c r="I120" s="3210"/>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0" t="s">
        <v>2138</v>
      </c>
      <c r="B121" s="3251"/>
      <c r="C121" s="3252"/>
      <c r="D121" s="3213" t="str">
        <f>IF(D120=0,"零元整",NUMBERSTRING(INT(D120*10000),2)&amp;"元整")</f>
        <v>零元整</v>
      </c>
      <c r="E121" s="3215"/>
      <c r="F121" s="3215"/>
      <c r="G121" s="3215"/>
      <c r="H121" s="3215"/>
      <c r="I121" s="3214"/>
      <c r="AA121" s="734"/>
    </row>
    <row r="122" spans="1:27" ht="18.75" customHeight="1">
      <c r="A122" s="3219" t="str">
        <f>IF(项目基本情况!B9="房地产市场价值","",MID(E107,3,LEN(E107)-2))</f>
        <v>房地产抵押价值</v>
      </c>
      <c r="B122" s="3219"/>
      <c r="C122" s="3219"/>
      <c r="D122" s="3208">
        <f ca="1">H107</f>
        <v>851</v>
      </c>
      <c r="E122" s="3209"/>
      <c r="F122" s="3209"/>
      <c r="G122" s="3209"/>
      <c r="H122" s="3209"/>
      <c r="I122" s="3210"/>
      <c r="AA122" s="734"/>
    </row>
    <row r="123" spans="1:27" ht="18.75" customHeight="1">
      <c r="A123" s="3207" t="s">
        <v>2138</v>
      </c>
      <c r="B123" s="3207"/>
      <c r="C123" s="3207"/>
      <c r="D123" s="3213" t="str">
        <f ca="1">NUMBERSTRING(INT(D122*10000),2)&amp;"元整"</f>
        <v>捌佰伍拾壹万元整</v>
      </c>
      <c r="E123" s="3215"/>
      <c r="F123" s="3215"/>
      <c r="G123" s="3215"/>
      <c r="H123" s="3215"/>
      <c r="I123" s="3214"/>
      <c r="AA123" s="734"/>
    </row>
    <row r="124" spans="1:27" ht="18.75" customHeight="1">
      <c r="A124" s="3219" t="str">
        <f>IF(项目基本情况!B9="房地产市场价值","",MID(E109,3,LEN(E109)-2))</f>
        <v/>
      </c>
      <c r="B124" s="3219"/>
      <c r="C124" s="3219"/>
      <c r="D124" s="3208" t="str">
        <f>H109</f>
        <v>——</v>
      </c>
      <c r="E124" s="3209"/>
      <c r="F124" s="3209"/>
      <c r="G124" s="3209"/>
      <c r="H124" s="3209"/>
      <c r="I124" s="3210"/>
      <c r="AA124" s="734"/>
    </row>
    <row r="125" spans="1:27" ht="18.75" customHeight="1">
      <c r="A125" s="3207" t="s">
        <v>2138</v>
      </c>
      <c r="B125" s="3207"/>
      <c r="C125" s="3207"/>
      <c r="D125" s="3213" t="e">
        <f>NUMBERSTRING(INT(D124*10000),2)&amp;"元整"</f>
        <v>#VALUE!</v>
      </c>
      <c r="E125" s="3215"/>
      <c r="F125" s="3215"/>
      <c r="G125" s="3215"/>
      <c r="H125" s="3215"/>
      <c r="I125" s="3214"/>
      <c r="AA125" s="734"/>
    </row>
    <row r="126" spans="1:27" ht="18.75" customHeight="1">
      <c r="A126" s="3219" t="str">
        <f>IF(项目基本情况!B9="房地产市场价值","",MID(E111,3,LEN(E111)-2))</f>
        <v/>
      </c>
      <c r="B126" s="3219"/>
      <c r="C126" s="3219"/>
      <c r="D126" s="3208" t="str">
        <f>H111</f>
        <v>——</v>
      </c>
      <c r="E126" s="3209"/>
      <c r="F126" s="3209"/>
      <c r="G126" s="3209"/>
      <c r="H126" s="3209"/>
      <c r="I126" s="3210"/>
      <c r="AA126" s="734"/>
    </row>
    <row r="127" spans="1:27" ht="18.75" customHeight="1">
      <c r="A127" s="3207" t="s">
        <v>2138</v>
      </c>
      <c r="B127" s="3207"/>
      <c r="C127" s="3207"/>
      <c r="D127" s="3213" t="e">
        <f>NUMBERSTRING(INT(D126*10000),2)&amp;"元整"</f>
        <v>#VALUE!</v>
      </c>
      <c r="E127" s="3215"/>
      <c r="F127" s="3215"/>
      <c r="G127" s="3215"/>
      <c r="H127" s="3215"/>
      <c r="I127" s="3214"/>
      <c r="AA127" s="734"/>
    </row>
    <row r="128" spans="1:27" ht="21.75" customHeight="1">
      <c r="A128" s="3216" t="s">
        <v>2139</v>
      </c>
      <c r="B128" s="3216"/>
      <c r="C128" s="3216"/>
      <c r="D128" s="3216"/>
      <c r="E128" s="3216"/>
      <c r="F128" s="3216"/>
      <c r="G128" s="3216"/>
      <c r="H128" s="3216"/>
      <c r="I128" s="3216"/>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10</v>
      </c>
    </row>
    <row r="2" spans="1:9" s="206" customFormat="1" ht="18" customHeight="1">
      <c r="A2" s="207" t="s">
        <v>2148</v>
      </c>
      <c r="B2" s="208">
        <f ca="1">IF(D2="——",C52,C52-E2)</f>
        <v>1229</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5122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c r="H9" s="1299"/>
      <c r="I9" s="2043" t="s">
        <v>2165</v>
      </c>
    </row>
    <row r="10" spans="1:9" s="220" customFormat="1" ht="13.5" customHeight="1">
      <c r="A10" s="887" t="s">
        <v>801</v>
      </c>
      <c r="B10" s="230" t="s">
        <v>2166</v>
      </c>
      <c r="C10" s="231">
        <f ca="1">ROUND(D10*E10/10000,0)</f>
        <v>48</v>
      </c>
      <c r="D10" s="954">
        <f ca="1">IF(B1="",'数据-汇总表'!E6,IF(INDIRECT("'数据-取费表'!c"&amp;$G$1)="住宅",INDIRECT("'数据-取费表'!s"&amp;$G$1),INDIRECT("'数据-取费表'!k"&amp;$G$1)+INDIRECT("'数据-取费表'!s"&amp;$G$1)))</f>
        <v>2399.3100000000004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48</v>
      </c>
      <c r="D19" s="958">
        <f ca="1">D9+D10</f>
        <v>2399.3100000000004</v>
      </c>
      <c r="E19" s="217">
        <f>'数据-取费表'!B31</f>
        <v>200</v>
      </c>
      <c r="F19" s="237"/>
      <c r="G19" s="2041"/>
    </row>
    <row r="20" spans="1:7" s="220" customFormat="1" ht="13.5" customHeight="1">
      <c r="A20" s="261" t="s">
        <v>2179</v>
      </c>
      <c r="B20" s="216" t="s">
        <v>2180</v>
      </c>
      <c r="C20" s="238">
        <f ca="1">ROUND((C5+C19)*F20,0)</f>
        <v>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4</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7</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7</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1176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1080</v>
      </c>
      <c r="D34" s="223"/>
      <c r="E34" s="226"/>
      <c r="F34" s="263">
        <f ca="1">IF('数据-取费表'!B24=0,1,IF(B1="",'数据-取费表'!N16,INDIRECT("'数据-取费表'!n"&amp;$G$1)))</f>
        <v>1</v>
      </c>
      <c r="G34" s="225" t="s">
        <v>2212</v>
      </c>
    </row>
    <row r="35" spans="1:7" ht="13.5" customHeight="1">
      <c r="A35" s="888" t="s">
        <v>796</v>
      </c>
      <c r="B35" s="221" t="s">
        <v>2213</v>
      </c>
      <c r="C35" s="226">
        <f ca="1">ROUND(C34*F35,0)</f>
        <v>32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48</v>
      </c>
      <c r="D37" s="223">
        <f ca="1">D19</f>
        <v>2399.3100000000004</v>
      </c>
      <c r="E37" s="255">
        <f>'数据-取费表'!B35</f>
        <v>200</v>
      </c>
      <c r="F37" s="265"/>
      <c r="G37" s="267" t="s">
        <v>2218</v>
      </c>
    </row>
    <row r="38" spans="1:7" ht="13.5" customHeight="1">
      <c r="A38" s="888" t="s">
        <v>799</v>
      </c>
      <c r="B38" s="221" t="s">
        <v>2219</v>
      </c>
      <c r="C38" s="226">
        <f ca="1">ROUND(C34*F38,0)</f>
        <v>16</v>
      </c>
      <c r="D38" s="226"/>
      <c r="E38" s="226"/>
      <c r="F38" s="265">
        <f>'数据-取费表'!B36</f>
        <v>1.4999999999999999E-2</v>
      </c>
      <c r="G38" s="225" t="s">
        <v>2214</v>
      </c>
    </row>
    <row r="39" spans="1:7" s="220" customFormat="1" ht="13.5" customHeight="1">
      <c r="A39" s="261" t="s">
        <v>2220</v>
      </c>
      <c r="B39" s="216" t="s">
        <v>2221</v>
      </c>
      <c r="C39" s="238">
        <f ca="1">ROUND(C33*F20,0)</f>
        <v>24</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52</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51</v>
      </c>
      <c r="D42" s="244"/>
      <c r="E42" s="244"/>
      <c r="F42" s="245"/>
      <c r="G42" s="3289" t="s">
        <v>2230</v>
      </c>
    </row>
    <row r="43" spans="1:7" ht="13.5" customHeight="1">
      <c r="A43" s="888" t="s">
        <v>792</v>
      </c>
      <c r="B43" s="221" t="s">
        <v>2231</v>
      </c>
      <c r="C43" s="244">
        <f ca="1">ROUND(IF('数据-取费表'!B22&lt;=1,C39*F22*'数据-取费表'!B21/2,C39*(POWER((1+F22),'数据-取费表'!B21/2)-1)),0)</f>
        <v>1</v>
      </c>
      <c r="D43" s="244"/>
      <c r="E43" s="244"/>
      <c r="F43" s="245"/>
      <c r="G43" s="3290"/>
    </row>
    <row r="44" spans="1:7" ht="13.5" customHeight="1">
      <c r="A44" s="888" t="s">
        <v>793</v>
      </c>
      <c r="B44" s="221" t="s">
        <v>2232</v>
      </c>
      <c r="C44" s="244">
        <f ca="1">ROUND(IF('数据-取费表'!B22&lt;=1,C40*F22*'数据-取费表'!B21/2,C40*(POWER((1+F22),'数据-取费表'!B21/2)-1)),4)</f>
        <v>8.9999999999999998E-4</v>
      </c>
      <c r="D44" s="244"/>
      <c r="E44" s="244"/>
      <c r="F44" s="245"/>
      <c r="G44" s="3291"/>
    </row>
    <row r="45" spans="1:7" s="220" customFormat="1" ht="13.5" customHeight="1">
      <c r="A45" s="261" t="s">
        <v>2233</v>
      </c>
      <c r="B45" s="250" t="s">
        <v>2199</v>
      </c>
      <c r="C45" s="251">
        <f ca="1">C46</f>
        <v>180</v>
      </c>
      <c r="D45" s="241">
        <f ca="1">C47</f>
        <v>3.0000000000000001E-3</v>
      </c>
      <c r="E45" s="242" t="s">
        <v>2225</v>
      </c>
      <c r="F45" s="2536">
        <f ca="1">F27</f>
        <v>0.15</v>
      </c>
      <c r="G45" s="253" t="s">
        <v>2234</v>
      </c>
    </row>
    <row r="46" spans="1:7" s="220" customFormat="1" ht="13.5" customHeight="1">
      <c r="A46" s="888" t="s">
        <v>791</v>
      </c>
      <c r="B46" s="254" t="s">
        <v>2235</v>
      </c>
      <c r="C46" s="255">
        <f ca="1">ROUND((C33+C39)*F27,0)</f>
        <v>180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1552</v>
      </c>
      <c r="D49" s="238"/>
      <c r="E49" s="238"/>
      <c r="F49" s="270"/>
      <c r="G49" s="240" t="s">
        <v>2240</v>
      </c>
    </row>
    <row r="50" spans="1:7" s="264" customFormat="1" ht="24">
      <c r="A50" s="261" t="s">
        <v>2241</v>
      </c>
      <c r="B50" s="216" t="s">
        <v>2242</v>
      </c>
      <c r="C50" s="238"/>
      <c r="D50" s="238"/>
      <c r="E50" s="238"/>
      <c r="F50" s="270">
        <f>IF('数据-取费表'!B24=0,'数据-取费表'!N16,1)</f>
        <v>0.75</v>
      </c>
      <c r="G50" s="253" t="s">
        <v>2243</v>
      </c>
    </row>
    <row r="51" spans="1:7" ht="16.5" customHeight="1">
      <c r="A51" s="261" t="s">
        <v>2244</v>
      </c>
      <c r="B51" s="216" t="s">
        <v>2245</v>
      </c>
      <c r="C51" s="238">
        <f ca="1">ROUND(C49*F50,0)</f>
        <v>1164</v>
      </c>
      <c r="D51" s="238"/>
      <c r="E51" s="238"/>
      <c r="F51" s="270"/>
      <c r="G51" s="240" t="s">
        <v>2246</v>
      </c>
    </row>
    <row r="52" spans="1:7" s="214" customFormat="1" ht="16.5" thickBot="1">
      <c r="A52" s="271" t="s">
        <v>2247</v>
      </c>
      <c r="B52" s="272"/>
      <c r="C52" s="273">
        <f ca="1">C31+C51</f>
        <v>1229</v>
      </c>
      <c r="D52" s="272"/>
      <c r="E52" s="272"/>
      <c r="F52" s="272"/>
      <c r="G52" s="274"/>
    </row>
    <row r="55" spans="1:7" ht="15">
      <c r="B55" s="276" t="s">
        <v>2248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0" t="str">
        <f>项目基本情况!B1</f>
        <v>北京市房地产抵押价值预评估</v>
      </c>
      <c r="C37" s="3100"/>
      <c r="D37" s="3100"/>
      <c r="E37" s="3100"/>
      <c r="F37" s="3100"/>
      <c r="G37" s="3100"/>
      <c r="H37" s="3100"/>
      <c r="I37" s="310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10</v>
      </c>
    </row>
    <row r="2" spans="1:33" ht="18" customHeight="1">
      <c r="A2" s="207" t="s">
        <v>2148</v>
      </c>
      <c r="B2" s="210">
        <f ca="1">C32</f>
        <v>-54</v>
      </c>
      <c r="C2" s="282" t="s">
        <v>2281</v>
      </c>
      <c r="D2" s="282"/>
      <c r="E2" s="3036"/>
      <c r="F2" s="3036"/>
      <c r="G2" s="3036"/>
      <c r="H2" s="3036"/>
      <c r="I2" s="3036"/>
      <c r="J2" s="3036"/>
      <c r="K2" s="3036"/>
    </row>
    <row r="3" spans="1:33" ht="18" customHeight="1" thickBot="1">
      <c r="A3" s="209" t="s">
        <v>2150</v>
      </c>
      <c r="B3" s="210">
        <f ca="1">ROUND(B2*10000/IF(C1="",'数据-汇总表'!E3,INDIRECT("'数据-取费表'!K"&amp;$K$1)),0)</f>
        <v>-225</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2399.3100000000004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2399.3100000000004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48</v>
      </c>
      <c r="D18" s="955"/>
      <c r="E18" s="24"/>
      <c r="F18" s="913"/>
      <c r="G18" s="2047"/>
      <c r="H18" s="1349"/>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48</v>
      </c>
      <c r="D20" s="955">
        <f ca="1">IF(C1="",'数据-汇总表'!E6,IF(INDIRECT("'数据-取费表'!c"&amp;$K$1)="住宅",INDIRECT("'数据-取费表'!s"&amp;$K$1),INDIRECT("'数据-取费表'!k"&amp;$K$1)+INDIRECT("'数据-取费表'!s"&amp;$K$1)))</f>
        <v>2399.3100000000004</v>
      </c>
      <c r="E20" s="24">
        <f>'数据-取费表'!B28</f>
        <v>200</v>
      </c>
      <c r="F20" s="913"/>
      <c r="G20" s="15"/>
      <c r="H20" s="918"/>
      <c r="I20" s="918"/>
      <c r="J20" s="918"/>
      <c r="K20" s="919"/>
    </row>
    <row r="21" spans="1:33" s="912" customFormat="1" ht="13.5" customHeight="1">
      <c r="A21" s="898" t="s">
        <v>802</v>
      </c>
      <c r="B21" s="922" t="s">
        <v>2317</v>
      </c>
      <c r="C21" s="923">
        <f ca="1">C16+C17+C18</f>
        <v>48</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7</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7</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-54</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10</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4"/>
      <c r="H2" s="2923"/>
      <c r="I2" s="2923"/>
      <c r="J2" s="2923"/>
      <c r="K2" s="2924"/>
      <c r="L2" s="2923"/>
      <c r="M2" s="2923"/>
    </row>
    <row r="3" spans="1:37" ht="18" customHeight="1" thickBot="1">
      <c r="A3" s="1574" t="s">
        <v>1482</v>
      </c>
      <c r="B3" s="1575">
        <f ca="1">IF(ISERROR(B2*10000/F43),0,ROUND(B2*10000/F43,0))</f>
        <v>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94" t="s">
        <v>1368</v>
      </c>
      <c r="C6" s="1206">
        <f ca="1">ROUND(F6*F8*F7*(1-F9)/10000,0)</f>
        <v>0</v>
      </c>
      <c r="D6" s="160" t="s">
        <v>2848</v>
      </c>
      <c r="E6" s="308" t="s">
        <v>1370</v>
      </c>
      <c r="F6" s="309">
        <f ca="1">INDIRECT("'数据-取费表'!u"&amp;$G$1)</f>
        <v>0</v>
      </c>
      <c r="G6" s="1568"/>
      <c r="H6" s="1201" t="s">
        <v>1003</v>
      </c>
      <c r="I6" s="3294" t="s">
        <v>1368</v>
      </c>
      <c r="J6" s="307">
        <f ca="1">ROUND(M6*M8*M7*(1-M9)/10000,0)</f>
        <v>0</v>
      </c>
      <c r="K6" s="160" t="s">
        <v>2847</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0</v>
      </c>
      <c r="G7" s="1568"/>
      <c r="H7" s="310"/>
      <c r="I7" s="3295"/>
      <c r="J7" s="312"/>
      <c r="K7" s="313"/>
      <c r="L7" s="308" t="s">
        <v>1371</v>
      </c>
      <c r="M7" s="309">
        <f ca="1">F7</f>
        <v>0</v>
      </c>
    </row>
    <row r="8" spans="1:37" ht="18" customHeight="1">
      <c r="A8" s="310"/>
      <c r="B8" s="3295"/>
      <c r="C8" s="312"/>
      <c r="D8" s="313"/>
      <c r="E8" s="308" t="s">
        <v>1372</v>
      </c>
      <c r="F8" s="309">
        <f ca="1">INDIRECT("'数据-取费表'!ai"&amp;$G$1)</f>
        <v>0</v>
      </c>
      <c r="G8" s="1568"/>
      <c r="H8" s="310"/>
      <c r="I8" s="3295"/>
      <c r="J8" s="312"/>
      <c r="K8" s="313"/>
      <c r="L8" s="308" t="s">
        <v>1372</v>
      </c>
      <c r="M8" s="309">
        <f ca="1">INDIRECT("'数据-取费表'!ai"&amp;$G$1)</f>
        <v>0</v>
      </c>
    </row>
    <row r="9" spans="1:37" ht="18" customHeight="1">
      <c r="A9" s="310"/>
      <c r="B9" s="3296"/>
      <c r="C9" s="312"/>
      <c r="D9" s="313"/>
      <c r="E9" s="308" t="s">
        <v>1373</v>
      </c>
      <c r="F9" s="318">
        <f ca="1">INDIRECT("'数据-取费表'!w"&amp;$G$1)</f>
        <v>0</v>
      </c>
      <c r="G9" s="1568"/>
      <c r="H9" s="310"/>
      <c r="I9" s="329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ROUND(C13*F37,1)</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5">
        <f ca="1">IF(M47="住宅",IF(D1="——",MAX(J51,L48),MAX(J51,L48-'数据-取费表'!B24)),IF(D1="——",MIN(J51,L48),MIN(J51,L48-'数据-取费表'!B24)))</f>
        <v>0</v>
      </c>
      <c r="K53" s="3292" t="s">
        <v>1513</v>
      </c>
      <c r="L53" s="3293"/>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M33" sqref="M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2" t="s">
        <v>2507</v>
      </c>
      <c r="C1" s="1392" t="s">
        <v>2351</v>
      </c>
      <c r="D1" s="1393" t="s">
        <v>27</v>
      </c>
      <c r="E1" s="1402"/>
      <c r="F1" s="2064" t="s">
        <v>3101</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845</v>
      </c>
      <c r="C2" s="2066" t="s">
        <v>70</v>
      </c>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31165</v>
      </c>
      <c r="C3" s="360" t="s">
        <v>2465</v>
      </c>
      <c r="D3" s="359">
        <f>IF(D1="",'数据-汇总表'!E3,SUMIF('数据-汇总表'!$C19:$C33,D1,'数据-汇总表'!$E19:$E33))</f>
        <v>271.27999999999997</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18" t="s">
        <v>2467</v>
      </c>
      <c r="D4" s="3319"/>
      <c r="E4" s="3320" t="s">
        <v>2468</v>
      </c>
      <c r="F4" s="3321"/>
      <c r="G4" s="3318" t="s">
        <v>2469</v>
      </c>
      <c r="H4" s="3319"/>
      <c r="I4" s="3318" t="s">
        <v>2470</v>
      </c>
      <c r="J4" s="3319"/>
      <c r="K4" s="567" t="s">
        <v>2471</v>
      </c>
      <c r="L4" s="2943"/>
      <c r="M4" s="2944"/>
      <c r="N4" s="2944"/>
      <c r="O4" s="2944"/>
      <c r="P4" s="3322" t="s">
        <v>2472</v>
      </c>
      <c r="Q4" s="3323"/>
      <c r="R4" s="3302" t="s">
        <v>2468</v>
      </c>
      <c r="S4" s="3303"/>
      <c r="T4" s="3302" t="s">
        <v>2469</v>
      </c>
      <c r="U4" s="3303"/>
      <c r="V4" s="3330" t="s">
        <v>2470</v>
      </c>
      <c r="W4" s="3330"/>
      <c r="X4" s="2143"/>
      <c r="Y4" s="3302" t="s">
        <v>2472</v>
      </c>
      <c r="Z4" s="3303"/>
      <c r="AA4" s="3297" t="s">
        <v>2468</v>
      </c>
      <c r="AB4" s="3297" t="s">
        <v>2469</v>
      </c>
      <c r="AC4" s="3315" t="s">
        <v>2470</v>
      </c>
    </row>
    <row r="5" spans="1:29" ht="15">
      <c r="A5" s="364"/>
      <c r="B5" s="365"/>
      <c r="C5" s="3308" t="s">
        <v>2363</v>
      </c>
      <c r="D5" s="3309"/>
      <c r="E5" s="3306" t="s">
        <v>2364</v>
      </c>
      <c r="F5" s="3307"/>
      <c r="G5" s="3308" t="s">
        <v>2365</v>
      </c>
      <c r="H5" s="3309"/>
      <c r="I5" s="3308" t="s">
        <v>2366</v>
      </c>
      <c r="J5" s="3309"/>
      <c r="K5" s="567"/>
      <c r="L5" s="2943"/>
      <c r="M5" s="2944"/>
      <c r="N5" s="2944"/>
      <c r="O5" s="2944"/>
      <c r="P5" s="3324"/>
      <c r="Q5" s="3325"/>
      <c r="R5" s="3304"/>
      <c r="S5" s="3305"/>
      <c r="T5" s="3304"/>
      <c r="U5" s="3305"/>
      <c r="V5" s="3331"/>
      <c r="W5" s="3331"/>
      <c r="X5" s="1539"/>
      <c r="Y5" s="3304"/>
      <c r="Z5" s="3305"/>
      <c r="AA5" s="3298"/>
      <c r="AB5" s="3298"/>
      <c r="AC5" s="3316"/>
    </row>
    <row r="6" spans="1:29" ht="15.75" thickBot="1">
      <c r="A6" s="366"/>
      <c r="B6" s="367"/>
      <c r="C6" s="3310" t="s">
        <v>2367</v>
      </c>
      <c r="D6" s="3311"/>
      <c r="E6" s="3312" t="s">
        <v>2367</v>
      </c>
      <c r="F6" s="3313"/>
      <c r="G6" s="3310" t="s">
        <v>2367</v>
      </c>
      <c r="H6" s="3311"/>
      <c r="I6" s="3310" t="s">
        <v>2367</v>
      </c>
      <c r="J6" s="3311"/>
      <c r="K6" s="567" t="s">
        <v>2368</v>
      </c>
      <c r="L6" s="2943"/>
      <c r="M6" s="2944"/>
      <c r="N6" s="2944"/>
      <c r="O6" s="2944"/>
      <c r="P6" s="3326"/>
      <c r="Q6" s="3327"/>
      <c r="R6" s="3304"/>
      <c r="S6" s="3305"/>
      <c r="T6" s="3328"/>
      <c r="U6" s="3329"/>
      <c r="V6" s="3331"/>
      <c r="W6" s="3331"/>
      <c r="X6" s="1539"/>
      <c r="Y6" s="3328"/>
      <c r="Z6" s="3329"/>
      <c r="AA6" s="3299"/>
      <c r="AB6" s="3299"/>
      <c r="AC6" s="3317"/>
    </row>
    <row r="7" spans="1:29" s="113" customFormat="1" ht="15.75" thickBot="1">
      <c r="A7" s="368" t="s">
        <v>2369</v>
      </c>
      <c r="B7" s="369"/>
      <c r="C7" s="370">
        <f>'数据-取费表'!B2</f>
        <v>44442</v>
      </c>
      <c r="D7" s="371">
        <v>100</v>
      </c>
      <c r="E7" s="372">
        <v>44440</v>
      </c>
      <c r="F7" s="373">
        <f>SUMIF(59:59,YEAR(E7)&amp;"-"&amp;MONTH(E7),60:60)</f>
        <v>100</v>
      </c>
      <c r="G7" s="372">
        <v>44440</v>
      </c>
      <c r="H7" s="371">
        <f>SUMIF(59:59,YEAR(G7)&amp;"-"&amp;MONTH(G7),60:60)</f>
        <v>100</v>
      </c>
      <c r="I7" s="372">
        <v>44440</v>
      </c>
      <c r="J7" s="371">
        <f>SUMIF(59:59,YEAR(I7)&amp;"-"&amp;MONTH(I7),60:60)</f>
        <v>100</v>
      </c>
      <c r="K7" s="568"/>
      <c r="L7" s="2945"/>
      <c r="M7" s="2946"/>
      <c r="N7" s="2946"/>
      <c r="O7" s="2946"/>
      <c r="P7" s="3332" t="s">
        <v>2370</v>
      </c>
      <c r="Q7" s="3333"/>
      <c r="R7" s="710" t="s">
        <v>17</v>
      </c>
      <c r="S7" s="711">
        <f t="shared" ref="S7:S15" si="0">F7</f>
        <v>100</v>
      </c>
      <c r="T7" s="710" t="s">
        <v>17</v>
      </c>
      <c r="U7" s="711">
        <f t="shared" ref="U7:U15" si="1">H7</f>
        <v>100</v>
      </c>
      <c r="V7" s="710" t="s">
        <v>17</v>
      </c>
      <c r="W7" s="711">
        <f t="shared" ref="W7:W15" si="2">J7</f>
        <v>100</v>
      </c>
      <c r="X7" s="712"/>
      <c r="Y7" s="3300" t="s">
        <v>2370</v>
      </c>
      <c r="Z7" s="3301"/>
      <c r="AA7" s="713">
        <f>D7/F7</f>
        <v>1</v>
      </c>
      <c r="AB7" s="713">
        <f>D7/H7</f>
        <v>1</v>
      </c>
      <c r="AC7" s="2144">
        <f>D7/J7</f>
        <v>1</v>
      </c>
    </row>
    <row r="8" spans="1:29" s="113" customFormat="1" ht="15.75" thickBot="1">
      <c r="A8" s="368" t="s">
        <v>2371</v>
      </c>
      <c r="B8" s="369"/>
      <c r="C8" s="374" t="s">
        <v>2473</v>
      </c>
      <c r="D8" s="371">
        <v>100</v>
      </c>
      <c r="E8" s="3089" t="s">
        <v>3102</v>
      </c>
      <c r="F8" s="373">
        <f>SUMIF(62:62,E8,63:63)-SUMIF(62:62,C8,63:63)+100</f>
        <v>100</v>
      </c>
      <c r="G8" s="3089" t="s">
        <v>3102</v>
      </c>
      <c r="H8" s="371">
        <f>SUMIF(62:62,G8,63:63)-SUMIF(62:62,C8,63:63)+100</f>
        <v>100</v>
      </c>
      <c r="I8" s="3089" t="s">
        <v>3102</v>
      </c>
      <c r="J8" s="371">
        <f>SUMIF(62:62,I8,63:63)-SUMIF(62:62,C8,63:63)+100</f>
        <v>100</v>
      </c>
      <c r="K8" s="568"/>
      <c r="L8" s="2945"/>
      <c r="M8" s="2946"/>
      <c r="N8" s="2946"/>
      <c r="O8" s="2946"/>
      <c r="P8" s="3332" t="s">
        <v>2373</v>
      </c>
      <c r="Q8" s="3301"/>
      <c r="R8" s="710" t="s">
        <v>17</v>
      </c>
      <c r="S8" s="711">
        <f t="shared" si="0"/>
        <v>100</v>
      </c>
      <c r="T8" s="710" t="s">
        <v>17</v>
      </c>
      <c r="U8" s="711">
        <f t="shared" si="1"/>
        <v>100</v>
      </c>
      <c r="V8" s="710" t="s">
        <v>17</v>
      </c>
      <c r="W8" s="711">
        <f t="shared" si="2"/>
        <v>100</v>
      </c>
      <c r="X8" s="712"/>
      <c r="Y8" s="3300" t="s">
        <v>2373</v>
      </c>
      <c r="Z8" s="3301"/>
      <c r="AA8" s="713">
        <f t="shared" ref="AA8:AA47" si="3">D8/F8</f>
        <v>1</v>
      </c>
      <c r="AB8" s="713">
        <f t="shared" ref="AB8:AB47" si="4">D8/H8</f>
        <v>1</v>
      </c>
      <c r="AC8" s="2144">
        <f t="shared" ref="AC8:AC47" si="5">D8/J8</f>
        <v>1</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14" t="s">
        <v>2376</v>
      </c>
      <c r="Q9" s="1527" t="str">
        <f t="shared" ref="Q9:Q15" si="6">B9</f>
        <v>用途</v>
      </c>
      <c r="R9" s="710" t="s">
        <v>17</v>
      </c>
      <c r="S9" s="711">
        <f t="shared" si="0"/>
        <v>100</v>
      </c>
      <c r="T9" s="710" t="s">
        <v>17</v>
      </c>
      <c r="U9" s="711">
        <f t="shared" si="1"/>
        <v>100</v>
      </c>
      <c r="V9" s="710" t="s">
        <v>17</v>
      </c>
      <c r="W9" s="711">
        <f t="shared" si="2"/>
        <v>100</v>
      </c>
      <c r="X9" s="712"/>
      <c r="Y9" s="3265"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14"/>
      <c r="Q10" s="1527" t="str">
        <f t="shared" si="6"/>
        <v>土地使用年限（年）</v>
      </c>
      <c r="R10" s="710" t="s">
        <v>17</v>
      </c>
      <c r="S10" s="711">
        <f t="shared" si="0"/>
        <v>100</v>
      </c>
      <c r="T10" s="710" t="s">
        <v>17</v>
      </c>
      <c r="U10" s="711">
        <f t="shared" si="1"/>
        <v>100</v>
      </c>
      <c r="V10" s="710" t="s">
        <v>17</v>
      </c>
      <c r="W10" s="711">
        <f t="shared" si="2"/>
        <v>100</v>
      </c>
      <c r="X10" s="712"/>
      <c r="Y10" s="3265"/>
      <c r="Z10" s="55" t="str">
        <f t="shared" si="7"/>
        <v>土地使用年限（年）</v>
      </c>
      <c r="AA10" s="713">
        <f t="shared" si="3"/>
        <v>1</v>
      </c>
      <c r="AB10" s="713">
        <f t="shared" si="4"/>
        <v>1</v>
      </c>
      <c r="AC10" s="2144">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9"/>
      <c r="M11" s="2944"/>
      <c r="N11" s="2944"/>
      <c r="O11" s="2944"/>
      <c r="P11" s="3314"/>
      <c r="Q11" s="1527" t="str">
        <f t="shared" si="6"/>
        <v>容积率</v>
      </c>
      <c r="R11" s="710" t="s">
        <v>17</v>
      </c>
      <c r="S11" s="711">
        <f t="shared" si="0"/>
        <v>100</v>
      </c>
      <c r="T11" s="710" t="s">
        <v>17</v>
      </c>
      <c r="U11" s="711">
        <f t="shared" si="1"/>
        <v>100</v>
      </c>
      <c r="V11" s="710" t="s">
        <v>17</v>
      </c>
      <c r="W11" s="711">
        <f t="shared" si="2"/>
        <v>100</v>
      </c>
      <c r="X11" s="712"/>
      <c r="Y11" s="3265"/>
      <c r="Z11" s="55" t="str">
        <f t="shared" si="7"/>
        <v>容积率</v>
      </c>
      <c r="AA11" s="713">
        <f t="shared" si="3"/>
        <v>1</v>
      </c>
      <c r="AB11" s="713">
        <f t="shared" si="4"/>
        <v>1</v>
      </c>
      <c r="AC11" s="2144">
        <f t="shared" si="5"/>
        <v>1</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14"/>
      <c r="Q12" s="1527">
        <f t="shared" si="6"/>
        <v>111</v>
      </c>
      <c r="R12" s="710" t="s">
        <v>17</v>
      </c>
      <c r="S12" s="711">
        <f t="shared" si="0"/>
        <v>100</v>
      </c>
      <c r="T12" s="710" t="s">
        <v>17</v>
      </c>
      <c r="U12" s="711">
        <f t="shared" si="1"/>
        <v>100</v>
      </c>
      <c r="V12" s="710" t="s">
        <v>17</v>
      </c>
      <c r="W12" s="711">
        <f t="shared" si="2"/>
        <v>100</v>
      </c>
      <c r="X12" s="712"/>
      <c r="Y12" s="3265"/>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14"/>
      <c r="Q13" s="1527">
        <f t="shared" si="6"/>
        <v>111</v>
      </c>
      <c r="R13" s="710" t="s">
        <v>17</v>
      </c>
      <c r="S13" s="711">
        <f t="shared" si="0"/>
        <v>100</v>
      </c>
      <c r="T13" s="710" t="s">
        <v>17</v>
      </c>
      <c r="U13" s="711">
        <f t="shared" si="1"/>
        <v>100</v>
      </c>
      <c r="V13" s="710" t="s">
        <v>17</v>
      </c>
      <c r="W13" s="711">
        <f t="shared" si="2"/>
        <v>100</v>
      </c>
      <c r="X13" s="712"/>
      <c r="Y13" s="3265"/>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14"/>
      <c r="Q14" s="1527">
        <f t="shared" si="6"/>
        <v>111</v>
      </c>
      <c r="R14" s="710" t="s">
        <v>17</v>
      </c>
      <c r="S14" s="711">
        <f t="shared" si="0"/>
        <v>100</v>
      </c>
      <c r="T14" s="710" t="s">
        <v>17</v>
      </c>
      <c r="U14" s="711">
        <f t="shared" si="1"/>
        <v>100</v>
      </c>
      <c r="V14" s="710" t="s">
        <v>17</v>
      </c>
      <c r="W14" s="711">
        <f t="shared" si="2"/>
        <v>100</v>
      </c>
      <c r="X14" s="712"/>
      <c r="Y14" s="3265"/>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34" t="s">
        <v>2381</v>
      </c>
      <c r="Q15" s="1536" t="str">
        <f t="shared" si="6"/>
        <v>办公集聚程度</v>
      </c>
      <c r="R15" s="714" t="s">
        <v>17</v>
      </c>
      <c r="S15" s="715">
        <f t="shared" si="0"/>
        <v>100</v>
      </c>
      <c r="T15" s="714" t="s">
        <v>17</v>
      </c>
      <c r="U15" s="715">
        <f t="shared" si="1"/>
        <v>100</v>
      </c>
      <c r="V15" s="714" t="s">
        <v>17</v>
      </c>
      <c r="W15" s="715">
        <f t="shared" si="2"/>
        <v>100</v>
      </c>
      <c r="X15" s="1539"/>
      <c r="Y15" s="3336" t="s">
        <v>2381</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35"/>
      <c r="Q16" s="1536"/>
      <c r="R16" s="714"/>
      <c r="S16" s="715"/>
      <c r="T16" s="714"/>
      <c r="U16" s="715"/>
      <c r="V16" s="714"/>
      <c r="W16" s="715"/>
      <c r="X16" s="1539"/>
      <c r="Y16" s="3337"/>
      <c r="Z16" s="1540"/>
      <c r="AA16" s="1537">
        <v>1</v>
      </c>
      <c r="AB16" s="1537">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35"/>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35"/>
      <c r="Q18" s="1536"/>
      <c r="R18" s="714"/>
      <c r="S18" s="715"/>
      <c r="T18" s="714"/>
      <c r="U18" s="715"/>
      <c r="V18" s="714"/>
      <c r="W18" s="715"/>
      <c r="X18" s="1539"/>
      <c r="Y18" s="3337"/>
      <c r="Z18" s="1540"/>
      <c r="AA18" s="1537">
        <v>1</v>
      </c>
      <c r="AB18" s="1537">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35"/>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35"/>
      <c r="Q20" s="1536"/>
      <c r="R20" s="714"/>
      <c r="S20" s="715"/>
      <c r="T20" s="714"/>
      <c r="U20" s="715"/>
      <c r="V20" s="714"/>
      <c r="W20" s="715"/>
      <c r="X20" s="1539"/>
      <c r="Y20" s="3337"/>
      <c r="Z20" s="1540"/>
      <c r="AA20" s="1537">
        <v>1</v>
      </c>
      <c r="AB20" s="1537">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35"/>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35"/>
      <c r="Q22" s="1536"/>
      <c r="R22" s="714"/>
      <c r="S22" s="715"/>
      <c r="T22" s="714"/>
      <c r="U22" s="715"/>
      <c r="V22" s="714"/>
      <c r="W22" s="715"/>
      <c r="X22" s="1539"/>
      <c r="Y22" s="3337"/>
      <c r="Z22" s="1540"/>
      <c r="AA22" s="1537">
        <v>1</v>
      </c>
      <c r="AB22" s="1537">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35"/>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35"/>
      <c r="Q24" s="1536"/>
      <c r="R24" s="714"/>
      <c r="S24" s="715"/>
      <c r="T24" s="714"/>
      <c r="U24" s="715"/>
      <c r="V24" s="714"/>
      <c r="W24" s="715"/>
      <c r="X24" s="1539"/>
      <c r="Y24" s="3337"/>
      <c r="Z24" s="1540"/>
      <c r="AA24" s="1537">
        <v>1</v>
      </c>
      <c r="AB24" s="1537">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35"/>
      <c r="Q25" s="1536" t="str">
        <f>B25</f>
        <v>毗邻道路的类型与等级</v>
      </c>
      <c r="R25" s="714" t="s">
        <v>17</v>
      </c>
      <c r="S25" s="715">
        <f>F25</f>
        <v>100</v>
      </c>
      <c r="T25" s="714" t="s">
        <v>17</v>
      </c>
      <c r="U25" s="715">
        <f>H25</f>
        <v>100</v>
      </c>
      <c r="V25" s="714" t="s">
        <v>17</v>
      </c>
      <c r="W25" s="715">
        <f>J25</f>
        <v>100</v>
      </c>
      <c r="X25" s="1539"/>
      <c r="Y25" s="3337"/>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35"/>
      <c r="Q26" s="1536"/>
      <c r="R26" s="714"/>
      <c r="S26" s="715"/>
      <c r="T26" s="714"/>
      <c r="U26" s="715"/>
      <c r="V26" s="714"/>
      <c r="W26" s="715"/>
      <c r="X26" s="1539"/>
      <c r="Y26" s="3337"/>
      <c r="Z26" s="1540"/>
      <c r="AA26" s="1537">
        <v>1</v>
      </c>
      <c r="AB26" s="1537">
        <v>1</v>
      </c>
      <c r="AC26" s="2147">
        <v>1</v>
      </c>
    </row>
    <row r="27" spans="1:29" ht="15">
      <c r="A27" s="387"/>
      <c r="B27" s="588" t="s">
        <v>2480</v>
      </c>
      <c r="C27" s="3090" t="s">
        <v>3103</v>
      </c>
      <c r="D27" s="394">
        <v>100</v>
      </c>
      <c r="E27" s="3445" t="s">
        <v>3105</v>
      </c>
      <c r="F27" s="394">
        <f>SUMIF(89:89,E27,90:90)-SUMIF(89:89,C27,90:90)+100</f>
        <v>103</v>
      </c>
      <c r="G27" s="3090" t="s">
        <v>3104</v>
      </c>
      <c r="H27" s="394">
        <f>SUMIF(89:89,G27,90:90)-SUMIF(89:89,C27,90:90)+100</f>
        <v>106</v>
      </c>
      <c r="I27" s="3091" t="s">
        <v>3104</v>
      </c>
      <c r="J27" s="394">
        <f>SUMIF(89:89,I27,90:90)-SUMIF(89:89,C27,90:90)+100</f>
        <v>106</v>
      </c>
      <c r="K27" s="569">
        <v>3</v>
      </c>
      <c r="L27" s="2950"/>
      <c r="M27" s="2944"/>
      <c r="N27" s="2944"/>
      <c r="O27" s="2944"/>
      <c r="P27" s="3335"/>
      <c r="Q27" s="1536" t="str">
        <f t="shared" ref="Q27:Q47" si="11">B27</f>
        <v>楼层</v>
      </c>
      <c r="R27" s="714" t="s">
        <v>17</v>
      </c>
      <c r="S27" s="715">
        <f>F27</f>
        <v>103</v>
      </c>
      <c r="T27" s="714" t="s">
        <v>17</v>
      </c>
      <c r="U27" s="715">
        <f>H27</f>
        <v>106</v>
      </c>
      <c r="V27" s="714" t="s">
        <v>17</v>
      </c>
      <c r="W27" s="715">
        <f>J27</f>
        <v>106</v>
      </c>
      <c r="X27" s="1539"/>
      <c r="Y27" s="3337"/>
      <c r="Z27" s="1540" t="str">
        <f>Q27</f>
        <v>楼层</v>
      </c>
      <c r="AA27" s="1537">
        <f t="shared" si="3"/>
        <v>0.970873786407767</v>
      </c>
      <c r="AB27" s="1537">
        <f t="shared" si="4"/>
        <v>0.94339622641509435</v>
      </c>
      <c r="AC27" s="2147">
        <f t="shared" si="5"/>
        <v>0.94339622641509435</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35"/>
      <c r="Q28" s="1527" t="str">
        <f t="shared" si="11"/>
        <v>朝向</v>
      </c>
      <c r="R28" s="710" t="s">
        <v>17</v>
      </c>
      <c r="S28" s="711">
        <f>F28</f>
        <v>100</v>
      </c>
      <c r="T28" s="710" t="s">
        <v>17</v>
      </c>
      <c r="U28" s="711">
        <f>H28</f>
        <v>100</v>
      </c>
      <c r="V28" s="710" t="s">
        <v>17</v>
      </c>
      <c r="W28" s="711">
        <f>J28</f>
        <v>100</v>
      </c>
      <c r="X28" s="712"/>
      <c r="Y28" s="3337"/>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35"/>
      <c r="Q29" s="1536">
        <f t="shared" si="11"/>
        <v>111</v>
      </c>
      <c r="R29" s="714" t="s">
        <v>17</v>
      </c>
      <c r="S29" s="715">
        <f t="shared" ref="S29:S47" si="12">F29</f>
        <v>100</v>
      </c>
      <c r="T29" s="714" t="s">
        <v>17</v>
      </c>
      <c r="U29" s="715">
        <f t="shared" ref="U29:U47" si="13">H29</f>
        <v>100</v>
      </c>
      <c r="V29" s="714" t="s">
        <v>17</v>
      </c>
      <c r="W29" s="715">
        <f t="shared" ref="W29:W47" si="14">J29</f>
        <v>100</v>
      </c>
      <c r="X29" s="1539"/>
      <c r="Y29" s="3337"/>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35"/>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35"/>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35"/>
      <c r="Q32" s="1536">
        <f t="shared" si="11"/>
        <v>111</v>
      </c>
      <c r="R32" s="714" t="s">
        <v>17</v>
      </c>
      <c r="S32" s="715">
        <f t="shared" si="12"/>
        <v>100</v>
      </c>
      <c r="T32" s="714" t="s">
        <v>17</v>
      </c>
      <c r="U32" s="715">
        <f t="shared" si="13"/>
        <v>100</v>
      </c>
      <c r="V32" s="714" t="s">
        <v>17</v>
      </c>
      <c r="W32" s="715">
        <f t="shared" si="14"/>
        <v>100</v>
      </c>
      <c r="X32" s="1539"/>
      <c r="Y32" s="3337"/>
      <c r="Z32" s="1540">
        <f t="shared" si="15"/>
        <v>111</v>
      </c>
      <c r="AA32" s="1537">
        <f t="shared" si="3"/>
        <v>1</v>
      </c>
      <c r="AB32" s="1537">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38" t="s">
        <v>2386</v>
      </c>
      <c r="Q33" s="1536" t="str">
        <f t="shared" si="11"/>
        <v>建筑类型</v>
      </c>
      <c r="R33" s="714" t="s">
        <v>17</v>
      </c>
      <c r="S33" s="715">
        <f t="shared" si="12"/>
        <v>100</v>
      </c>
      <c r="T33" s="714" t="s">
        <v>17</v>
      </c>
      <c r="U33" s="715">
        <f t="shared" si="13"/>
        <v>100</v>
      </c>
      <c r="V33" s="714" t="s">
        <v>17</v>
      </c>
      <c r="W33" s="715">
        <f t="shared" si="14"/>
        <v>100</v>
      </c>
      <c r="X33" s="1539"/>
      <c r="Y33" s="3341" t="s">
        <v>2386</v>
      </c>
      <c r="Z33" s="1540" t="str">
        <f t="shared" si="15"/>
        <v>建筑类型</v>
      </c>
      <c r="AA33" s="1537">
        <f t="shared" si="3"/>
        <v>1</v>
      </c>
      <c r="AB33" s="1537">
        <f t="shared" si="4"/>
        <v>1</v>
      </c>
      <c r="AC33" s="2147">
        <f t="shared" si="5"/>
        <v>1</v>
      </c>
    </row>
    <row r="34" spans="1:29" s="430" customFormat="1" ht="15">
      <c r="A34" s="427"/>
      <c r="B34" s="381" t="s">
        <v>2387</v>
      </c>
      <c r="C34" s="428">
        <f>D3</f>
        <v>271.27999999999997</v>
      </c>
      <c r="D34" s="132">
        <v>100</v>
      </c>
      <c r="E34" s="389">
        <v>2238</v>
      </c>
      <c r="F34" s="384">
        <f>LOOKUP(E34,104:104,105:105)-LOOKUP(C34,104:104,105:105)+100</f>
        <v>97</v>
      </c>
      <c r="G34" s="388">
        <v>2328.9</v>
      </c>
      <c r="H34" s="132">
        <f>LOOKUP(G34,104:104,105:105)-LOOKUP(C34,104:104,105:105)+100</f>
        <v>97</v>
      </c>
      <c r="I34" s="388">
        <v>2260</v>
      </c>
      <c r="J34" s="132">
        <f>LOOKUP(I34,104:104,105:105)-LOOKUP(C34,104:104,105:105)+100</f>
        <v>97</v>
      </c>
      <c r="K34" s="570"/>
      <c r="L34" s="2949"/>
      <c r="M34" s="2951"/>
      <c r="N34" s="2951"/>
      <c r="O34" s="2951"/>
      <c r="P34" s="3339"/>
      <c r="Q34" s="716" t="str">
        <f t="shared" si="11"/>
        <v>项目建筑规模</v>
      </c>
      <c r="R34" s="717" t="s">
        <v>17</v>
      </c>
      <c r="S34" s="718">
        <f t="shared" si="12"/>
        <v>97</v>
      </c>
      <c r="T34" s="717" t="s">
        <v>17</v>
      </c>
      <c r="U34" s="718">
        <f t="shared" si="13"/>
        <v>97</v>
      </c>
      <c r="V34" s="717" t="s">
        <v>17</v>
      </c>
      <c r="W34" s="718">
        <f t="shared" si="14"/>
        <v>97</v>
      </c>
      <c r="X34" s="719"/>
      <c r="Y34" s="3341"/>
      <c r="Z34" s="720" t="str">
        <f t="shared" si="15"/>
        <v>项目建筑规模</v>
      </c>
      <c r="AA34" s="1537">
        <f t="shared" si="3"/>
        <v>1.0309278350515463</v>
      </c>
      <c r="AB34" s="1537">
        <f t="shared" si="4"/>
        <v>1.0309278350515463</v>
      </c>
      <c r="AC34" s="2147">
        <f t="shared" si="5"/>
        <v>1.0309278350515463</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39"/>
      <c r="Q35" s="1536" t="str">
        <f t="shared" si="11"/>
        <v>建筑结构</v>
      </c>
      <c r="R35" s="714" t="s">
        <v>17</v>
      </c>
      <c r="S35" s="715">
        <f t="shared" si="12"/>
        <v>100</v>
      </c>
      <c r="T35" s="714" t="s">
        <v>17</v>
      </c>
      <c r="U35" s="715">
        <f t="shared" si="13"/>
        <v>100</v>
      </c>
      <c r="V35" s="714" t="s">
        <v>17</v>
      </c>
      <c r="W35" s="715">
        <f t="shared" si="14"/>
        <v>100</v>
      </c>
      <c r="X35" s="1539"/>
      <c r="Y35" s="3341"/>
      <c r="Z35" s="1540" t="str">
        <f t="shared" si="15"/>
        <v>建筑结构</v>
      </c>
      <c r="AA35" s="1537">
        <f t="shared" si="3"/>
        <v>1</v>
      </c>
      <c r="AB35" s="1537">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39"/>
      <c r="Q36" s="1536" t="str">
        <f t="shared" si="11"/>
        <v>公共部分装修</v>
      </c>
      <c r="R36" s="714" t="s">
        <v>17</v>
      </c>
      <c r="S36" s="715">
        <f t="shared" si="12"/>
        <v>100</v>
      </c>
      <c r="T36" s="714" t="s">
        <v>17</v>
      </c>
      <c r="U36" s="715">
        <f t="shared" si="13"/>
        <v>100</v>
      </c>
      <c r="V36" s="714" t="s">
        <v>17</v>
      </c>
      <c r="W36" s="715">
        <f t="shared" si="14"/>
        <v>100</v>
      </c>
      <c r="X36" s="1539"/>
      <c r="Y36" s="3341"/>
      <c r="Z36" s="1540" t="str">
        <f t="shared" si="15"/>
        <v>公共部分装修</v>
      </c>
      <c r="AA36" s="1537">
        <f t="shared" si="3"/>
        <v>1</v>
      </c>
      <c r="AB36" s="1537">
        <f t="shared" si="4"/>
        <v>1</v>
      </c>
      <c r="AC36" s="2147">
        <f t="shared" si="5"/>
        <v>1</v>
      </c>
    </row>
    <row r="37" spans="1:29" ht="15">
      <c r="A37" s="431"/>
      <c r="B37" s="381" t="s">
        <v>2483</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c r="L37" s="2950"/>
      <c r="M37" s="2944"/>
      <c r="N37" s="2944"/>
      <c r="O37" s="2944"/>
      <c r="P37" s="3339"/>
      <c r="Q37" s="1536" t="str">
        <f t="shared" si="11"/>
        <v>成新度</v>
      </c>
      <c r="R37" s="714" t="s">
        <v>17</v>
      </c>
      <c r="S37" s="715">
        <f t="shared" si="12"/>
        <v>100</v>
      </c>
      <c r="T37" s="714" t="s">
        <v>17</v>
      </c>
      <c r="U37" s="715">
        <f t="shared" si="13"/>
        <v>100</v>
      </c>
      <c r="V37" s="714" t="s">
        <v>17</v>
      </c>
      <c r="W37" s="715">
        <f t="shared" si="14"/>
        <v>100</v>
      </c>
      <c r="X37" s="1539"/>
      <c r="Y37" s="3341"/>
      <c r="Z37" s="1540" t="str">
        <f t="shared" si="15"/>
        <v>成新度</v>
      </c>
      <c r="AA37" s="1537">
        <f t="shared" si="3"/>
        <v>1</v>
      </c>
      <c r="AB37" s="1537">
        <f t="shared" si="4"/>
        <v>1</v>
      </c>
      <c r="AC37" s="2147">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39"/>
      <c r="Q38" s="1527" t="str">
        <f t="shared" si="11"/>
        <v>写字楼等级</v>
      </c>
      <c r="R38" s="710" t="s">
        <v>17</v>
      </c>
      <c r="S38" s="711">
        <f t="shared" si="12"/>
        <v>100</v>
      </c>
      <c r="T38" s="710" t="s">
        <v>17</v>
      </c>
      <c r="U38" s="711">
        <f t="shared" si="13"/>
        <v>100</v>
      </c>
      <c r="V38" s="710" t="s">
        <v>17</v>
      </c>
      <c r="W38" s="711">
        <f t="shared" si="14"/>
        <v>100</v>
      </c>
      <c r="X38" s="712"/>
      <c r="Y38" s="3341"/>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39" t="s">
        <v>2386</v>
      </c>
      <c r="Q39" s="1536" t="str">
        <f t="shared" si="11"/>
        <v>物业管理</v>
      </c>
      <c r="R39" s="714" t="s">
        <v>17</v>
      </c>
      <c r="S39" s="715">
        <f t="shared" si="12"/>
        <v>100</v>
      </c>
      <c r="T39" s="714" t="s">
        <v>17</v>
      </c>
      <c r="U39" s="715">
        <f t="shared" si="13"/>
        <v>100</v>
      </c>
      <c r="V39" s="714" t="s">
        <v>17</v>
      </c>
      <c r="W39" s="715">
        <f t="shared" si="14"/>
        <v>100</v>
      </c>
      <c r="X39" s="1539"/>
      <c r="Y39" s="3341" t="s">
        <v>2386</v>
      </c>
      <c r="Z39" s="1540" t="str">
        <f t="shared" si="15"/>
        <v>物业管理</v>
      </c>
      <c r="AA39" s="1537">
        <f t="shared" si="3"/>
        <v>1</v>
      </c>
      <c r="AB39" s="1537">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39"/>
      <c r="Q40" s="1536" t="str">
        <f t="shared" si="11"/>
        <v>市政基础设施</v>
      </c>
      <c r="R40" s="714" t="s">
        <v>17</v>
      </c>
      <c r="S40" s="715">
        <f t="shared" si="12"/>
        <v>100</v>
      </c>
      <c r="T40" s="714" t="s">
        <v>17</v>
      </c>
      <c r="U40" s="715">
        <f t="shared" si="13"/>
        <v>100</v>
      </c>
      <c r="V40" s="714" t="s">
        <v>17</v>
      </c>
      <c r="W40" s="715">
        <f t="shared" si="14"/>
        <v>100</v>
      </c>
      <c r="X40" s="1539"/>
      <c r="Y40" s="3341"/>
      <c r="Z40" s="1540" t="str">
        <f t="shared" si="15"/>
        <v>市政基础设施</v>
      </c>
      <c r="AA40" s="1537">
        <f t="shared" si="3"/>
        <v>1</v>
      </c>
      <c r="AB40" s="1537">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39"/>
      <c r="Q41" s="1536" t="str">
        <f t="shared" si="11"/>
        <v>层高</v>
      </c>
      <c r="R41" s="714" t="s">
        <v>17</v>
      </c>
      <c r="S41" s="715">
        <f t="shared" si="12"/>
        <v>100</v>
      </c>
      <c r="T41" s="714" t="s">
        <v>17</v>
      </c>
      <c r="U41" s="715">
        <f t="shared" si="13"/>
        <v>100</v>
      </c>
      <c r="V41" s="714" t="s">
        <v>17</v>
      </c>
      <c r="W41" s="715">
        <f t="shared" si="14"/>
        <v>100</v>
      </c>
      <c r="X41" s="1539"/>
      <c r="Y41" s="3341"/>
      <c r="Z41" s="1540" t="str">
        <f t="shared" si="15"/>
        <v>层高</v>
      </c>
      <c r="AA41" s="1537">
        <f t="shared" si="3"/>
        <v>1</v>
      </c>
      <c r="AB41" s="1537">
        <f t="shared" si="4"/>
        <v>1</v>
      </c>
      <c r="AC41" s="2147">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39"/>
      <c r="Q42" s="716" t="str">
        <f t="shared" si="11"/>
        <v>单套建筑面积</v>
      </c>
      <c r="R42" s="717" t="s">
        <v>17</v>
      </c>
      <c r="S42" s="718">
        <f t="shared" si="12"/>
        <v>100</v>
      </c>
      <c r="T42" s="717" t="s">
        <v>17</v>
      </c>
      <c r="U42" s="718">
        <f t="shared" si="13"/>
        <v>100</v>
      </c>
      <c r="V42" s="717" t="s">
        <v>17</v>
      </c>
      <c r="W42" s="718">
        <f t="shared" si="14"/>
        <v>100</v>
      </c>
      <c r="X42" s="719"/>
      <c r="Y42" s="3341"/>
      <c r="Z42" s="720" t="str">
        <f t="shared" si="15"/>
        <v>单套建筑面积</v>
      </c>
      <c r="AA42" s="1537">
        <f t="shared" si="3"/>
        <v>1</v>
      </c>
      <c r="AB42" s="1537">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39"/>
      <c r="Q43" s="1536" t="str">
        <f t="shared" si="11"/>
        <v>内部装修</v>
      </c>
      <c r="R43" s="714" t="s">
        <v>17</v>
      </c>
      <c r="S43" s="715">
        <f t="shared" si="12"/>
        <v>100</v>
      </c>
      <c r="T43" s="714" t="s">
        <v>17</v>
      </c>
      <c r="U43" s="715">
        <f t="shared" si="13"/>
        <v>100</v>
      </c>
      <c r="V43" s="714" t="s">
        <v>17</v>
      </c>
      <c r="W43" s="715">
        <f t="shared" si="14"/>
        <v>100</v>
      </c>
      <c r="X43" s="1539"/>
      <c r="Y43" s="3341"/>
      <c r="Z43" s="1540" t="str">
        <f t="shared" si="15"/>
        <v>内部装修</v>
      </c>
      <c r="AA43" s="1537">
        <f t="shared" si="3"/>
        <v>1</v>
      </c>
      <c r="AB43" s="1537">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39"/>
      <c r="Q44" s="1536" t="str">
        <f t="shared" si="11"/>
        <v>内部装修维护情况</v>
      </c>
      <c r="R44" s="714" t="s">
        <v>17</v>
      </c>
      <c r="S44" s="715">
        <f t="shared" si="12"/>
        <v>100</v>
      </c>
      <c r="T44" s="714" t="s">
        <v>17</v>
      </c>
      <c r="U44" s="715">
        <f t="shared" si="13"/>
        <v>100</v>
      </c>
      <c r="V44" s="714" t="s">
        <v>17</v>
      </c>
      <c r="W44" s="715">
        <f t="shared" si="14"/>
        <v>100</v>
      </c>
      <c r="X44" s="1539"/>
      <c r="Y44" s="3341"/>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39"/>
      <c r="Q45" s="1527">
        <f t="shared" si="11"/>
        <v>111</v>
      </c>
      <c r="R45" s="710" t="s">
        <v>17</v>
      </c>
      <c r="S45" s="711">
        <f t="shared" si="12"/>
        <v>100</v>
      </c>
      <c r="T45" s="710" t="s">
        <v>17</v>
      </c>
      <c r="U45" s="711">
        <f t="shared" si="13"/>
        <v>100</v>
      </c>
      <c r="V45" s="710" t="s">
        <v>17</v>
      </c>
      <c r="W45" s="711">
        <f t="shared" si="14"/>
        <v>100</v>
      </c>
      <c r="X45" s="712"/>
      <c r="Y45" s="3341"/>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39"/>
      <c r="Q46" s="1536">
        <f t="shared" si="11"/>
        <v>111</v>
      </c>
      <c r="R46" s="714" t="s">
        <v>17</v>
      </c>
      <c r="S46" s="715">
        <f t="shared" si="12"/>
        <v>100</v>
      </c>
      <c r="T46" s="714" t="s">
        <v>17</v>
      </c>
      <c r="U46" s="715">
        <f t="shared" si="13"/>
        <v>100</v>
      </c>
      <c r="V46" s="714" t="s">
        <v>17</v>
      </c>
      <c r="W46" s="715">
        <f t="shared" si="14"/>
        <v>100</v>
      </c>
      <c r="X46" s="1539"/>
      <c r="Y46" s="3341"/>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0"/>
      <c r="Q47" s="1536">
        <f t="shared" si="11"/>
        <v>111</v>
      </c>
      <c r="R47" s="714" t="s">
        <v>17</v>
      </c>
      <c r="S47" s="715">
        <f t="shared" si="12"/>
        <v>100</v>
      </c>
      <c r="T47" s="714" t="s">
        <v>17</v>
      </c>
      <c r="U47" s="715">
        <f t="shared" si="13"/>
        <v>100</v>
      </c>
      <c r="V47" s="714" t="s">
        <v>17</v>
      </c>
      <c r="W47" s="715">
        <f t="shared" si="14"/>
        <v>100</v>
      </c>
      <c r="X47" s="1539"/>
      <c r="Y47" s="3342"/>
      <c r="Z47" s="1540">
        <f t="shared" si="15"/>
        <v>111</v>
      </c>
      <c r="AA47" s="1537">
        <f t="shared" si="3"/>
        <v>1</v>
      </c>
      <c r="AB47" s="1537">
        <f t="shared" si="4"/>
        <v>1</v>
      </c>
      <c r="AC47" s="2147">
        <f t="shared" si="5"/>
        <v>1</v>
      </c>
    </row>
    <row r="48" spans="1:29" ht="15">
      <c r="A48" s="438" t="s">
        <v>2398</v>
      </c>
      <c r="B48" s="439"/>
      <c r="C48" s="1316" t="s">
        <v>1</v>
      </c>
      <c r="D48" s="1317"/>
      <c r="E48" s="1318">
        <v>32002</v>
      </c>
      <c r="F48" s="1319"/>
      <c r="G48" s="1320">
        <v>30997</v>
      </c>
      <c r="H48" s="1321"/>
      <c r="I48" s="1318">
        <v>32200</v>
      </c>
      <c r="J48" s="444"/>
      <c r="K48" s="723"/>
      <c r="L48" s="2952"/>
      <c r="M48" s="2944"/>
      <c r="N48" s="2944"/>
      <c r="O48" s="2944"/>
      <c r="P48" s="3314" t="str">
        <f>A48</f>
        <v>成交单价（元/平方米）</v>
      </c>
      <c r="Q48" s="3343"/>
      <c r="R48" s="3344">
        <f>E48</f>
        <v>32002</v>
      </c>
      <c r="S48" s="3344"/>
      <c r="T48" s="3344">
        <f>G48</f>
        <v>30997</v>
      </c>
      <c r="U48" s="3344"/>
      <c r="V48" s="3344">
        <f>I48</f>
        <v>32200</v>
      </c>
      <c r="W48" s="3344"/>
      <c r="X48" s="405"/>
      <c r="Y48" s="721"/>
      <c r="Z48" s="405"/>
      <c r="AA48" s="405"/>
      <c r="AB48" s="405"/>
      <c r="AC48" s="586"/>
    </row>
    <row r="49" spans="1:29" ht="15.75" thickBot="1">
      <c r="A49" s="445" t="s">
        <v>2490</v>
      </c>
      <c r="B49" s="446"/>
      <c r="C49" s="1322">
        <f>R50</f>
        <v>31165</v>
      </c>
      <c r="D49" s="2537" t="s">
        <v>2878</v>
      </c>
      <c r="E49" s="1323">
        <f>R49</f>
        <v>32031</v>
      </c>
      <c r="F49" s="2538"/>
      <c r="G49" s="1322">
        <f>T49</f>
        <v>30147</v>
      </c>
      <c r="H49" s="2538"/>
      <c r="I49" s="1323">
        <f>V49</f>
        <v>31317</v>
      </c>
      <c r="J49" s="2538"/>
      <c r="K49" s="2540">
        <f>F49+H49+J49</f>
        <v>0</v>
      </c>
      <c r="L49" s="2952"/>
      <c r="M49" s="2944"/>
      <c r="N49" s="2944"/>
      <c r="O49" s="2944"/>
      <c r="P49" s="3314" t="str">
        <f>A49</f>
        <v>比较价值（元/平方米）</v>
      </c>
      <c r="Q49" s="3343"/>
      <c r="R49" s="3344">
        <f>IF(F1="售价",ROUND(PRODUCT(R48,AA7:AA47),0),ROUND(PRODUCT(R48,AA7:AA47),1))</f>
        <v>32031</v>
      </c>
      <c r="S49" s="3344"/>
      <c r="T49" s="3344">
        <f>IF(F1="售价",ROUND(PRODUCT(T48,AB7:AB47),0),ROUND(PRODUCT(T48,AB7:AB47),1))</f>
        <v>30147</v>
      </c>
      <c r="U49" s="3344"/>
      <c r="V49" s="3344">
        <f>IF(F1="售价",ROUND(PRODUCT(V48,AC7:AC47),0),ROUND(PRODUCT(V48,AC7:AC47),1))</f>
        <v>31317</v>
      </c>
      <c r="W49" s="3344"/>
      <c r="X49" s="405"/>
      <c r="Y49" s="405"/>
      <c r="Z49" s="405"/>
      <c r="AA49" s="405"/>
      <c r="AB49" s="405"/>
      <c r="AC49" s="586"/>
    </row>
    <row r="50" spans="1:29" ht="15.75" thickBot="1">
      <c r="A50" s="449" t="s">
        <v>2491</v>
      </c>
      <c r="B50" s="450"/>
      <c r="C50" s="1325">
        <f>R50</f>
        <v>31165</v>
      </c>
      <c r="D50" s="1325"/>
      <c r="E50" s="1325"/>
      <c r="F50" s="1325"/>
      <c r="G50" s="1325"/>
      <c r="H50" s="1325"/>
      <c r="I50" s="1325"/>
      <c r="J50" s="451"/>
      <c r="K50" s="724"/>
      <c r="L50" s="2952"/>
      <c r="M50" s="2944"/>
      <c r="N50" s="2944"/>
      <c r="O50" s="2944"/>
      <c r="P50" s="3345" t="str">
        <f>A50</f>
        <v>估价对象XX用房的比较价值（楼面单价，元/平方米）</v>
      </c>
      <c r="Q50" s="3346"/>
      <c r="R50" s="3347">
        <f>IF(F1="售价",ROUND(IF(D49="简单平均",AVERAGE(R49:V49),R49*F49+T49*H49+V49*J49),0),ROUND(IF(D49="简单平均",AVERAGE(R49:V49),R49*F49+T49*H49+V49*J49),1))</f>
        <v>31165</v>
      </c>
      <c r="S50" s="3347"/>
      <c r="T50" s="3347"/>
      <c r="U50" s="3347"/>
      <c r="V50" s="3347"/>
      <c r="W50" s="3347"/>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f>IF(E48&lt;E49,E49/E48-1,E48/E49-1)</f>
        <v>9.0619336291486441E-4</v>
      </c>
      <c r="F53" s="457" t="str">
        <f>IF(OR(E53&gt;=0.3,E53&lt;=-0.3),"超过30%","")</f>
        <v/>
      </c>
      <c r="G53" s="456">
        <f>IF(G48&lt;G49,G49/G48-1,G48/G49-1)</f>
        <v>2.8195176966198998E-2</v>
      </c>
      <c r="H53" s="457" t="str">
        <f>IF(OR(G53&gt;=0.3,G53&lt;=-0.3),"超过30%","")</f>
        <v/>
      </c>
      <c r="I53" s="456">
        <f>IF(I48&lt;I49,I49/I48-1,I48/I49-1)</f>
        <v>2.8195548743493948E-2</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f>IF(E49&lt;G49,G49/E49-1,E49/G49-1)</f>
        <v>6.2493780475669114E-2</v>
      </c>
      <c r="F54" s="457" t="str">
        <f>IF(OR(E54&gt;=0.2,E54&lt;=-0.2),"超过20%","")</f>
        <v/>
      </c>
      <c r="G54" s="456">
        <f>IF(G49&lt;I49,I49/G49-1,G49/I49-1)</f>
        <v>3.8809831824062169E-2</v>
      </c>
      <c r="H54" s="457" t="str">
        <f>IF(OR(G54&gt;=0.2,G54&lt;=-0.2),"超过20%","")</f>
        <v/>
      </c>
      <c r="I54" s="456">
        <f>IF(I49&lt;E49,E49/I49-1,I49/E49-1)</f>
        <v>2.2799118689529552E-2</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f>IF(E48&lt;G48,G48/E48-1,E48/G48-1)</f>
        <v>3.2422492499274203E-2</v>
      </c>
      <c r="F55" s="457" t="str">
        <f>IF(OR(E55&gt;=0.3,E55&lt;=-0.3),"超过30%","")</f>
        <v/>
      </c>
      <c r="G55" s="456">
        <f>IF(G48&lt;I48,I48/G48-1,G48/I48-1)</f>
        <v>3.8810207439429645E-2</v>
      </c>
      <c r="H55" s="457" t="str">
        <f>IF(OR(G55&gt;=0.3,G55&lt;=-0.3),"超过30%","")</f>
        <v/>
      </c>
      <c r="I55" s="456">
        <f>IF(I48&lt;E48,E48/I48-1,I48/E48-1)</f>
        <v>6.1871133054183236E-3</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v>2</v>
      </c>
      <c r="F69" s="506">
        <v>3</v>
      </c>
      <c r="G69" s="506">
        <v>4</v>
      </c>
      <c r="H69" s="506">
        <v>5</v>
      </c>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92" t="s">
        <v>3104</v>
      </c>
      <c r="D89" s="3092" t="s">
        <v>3105</v>
      </c>
      <c r="E89" s="3092" t="s">
        <v>3106</v>
      </c>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29.25" thickTop="1">
      <c r="A103" s="491"/>
      <c r="B103" s="495" t="s">
        <v>2434</v>
      </c>
      <c r="C103" s="535" t="str">
        <f>C104&amp;"(含)"&amp;"-"&amp;D104</f>
        <v>0(含)-200</v>
      </c>
      <c r="D103" s="535" t="str">
        <f t="shared" ref="D103:L103" si="23">D104&amp;"(含)"&amp;"-"&amp;E104</f>
        <v>200(含)-500</v>
      </c>
      <c r="E103" s="535" t="str">
        <f t="shared" si="23"/>
        <v>500(含)-1000</v>
      </c>
      <c r="F103" s="535" t="str">
        <f t="shared" si="23"/>
        <v>1000(含)-2000</v>
      </c>
      <c r="G103" s="535" t="str">
        <f t="shared" si="23"/>
        <v>2000(含)-3000</v>
      </c>
      <c r="H103" s="535" t="str">
        <f t="shared" si="23"/>
        <v>3000(含)-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200</v>
      </c>
      <c r="E104" s="552">
        <v>500</v>
      </c>
      <c r="F104" s="552">
        <v>1000</v>
      </c>
      <c r="G104" s="552">
        <v>2000</v>
      </c>
      <c r="H104" s="552">
        <v>3000</v>
      </c>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99</v>
      </c>
      <c r="D105" s="493">
        <v>100</v>
      </c>
      <c r="E105" s="493">
        <v>99</v>
      </c>
      <c r="F105" s="493">
        <v>98</v>
      </c>
      <c r="G105" s="493">
        <v>97</v>
      </c>
      <c r="H105" s="493">
        <v>96</v>
      </c>
      <c r="I105" s="493">
        <v>95</v>
      </c>
      <c r="J105" s="493">
        <v>94</v>
      </c>
      <c r="K105" s="493">
        <v>93</v>
      </c>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28" zoomScale="80" zoomScaleNormal="70" zoomScaleSheetLayoutView="80" workbookViewId="0">
      <selection activeCell="D32" sqref="D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30.64</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857</v>
      </c>
      <c r="C2" s="1571" t="s">
        <v>1556</v>
      </c>
      <c r="D2" s="1655">
        <f ca="1">C40+J29+L46</f>
        <v>8573980</v>
      </c>
      <c r="E2" s="1572" t="s">
        <v>1557</v>
      </c>
      <c r="F2" s="1573"/>
      <c r="G2" s="2934"/>
      <c r="H2" s="2923"/>
      <c r="I2" s="2923"/>
      <c r="J2" s="2923"/>
      <c r="K2" s="2924"/>
      <c r="L2" s="2923"/>
      <c r="M2" s="2923"/>
    </row>
    <row r="3" spans="1:37" ht="18" customHeight="1" thickBot="1">
      <c r="A3" s="1574" t="s">
        <v>1558</v>
      </c>
      <c r="B3" s="1575">
        <f ca="1">IF(ISERROR(D2/F43),0,ROUND(D2/F43,0))</f>
        <v>31606</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535361</v>
      </c>
      <c r="D5" s="1548" t="s">
        <v>1566</v>
      </c>
      <c r="E5" s="1203"/>
      <c r="F5" s="1204"/>
      <c r="G5" s="1568"/>
      <c r="H5" s="305">
        <v>1</v>
      </c>
      <c r="I5" s="306" t="s">
        <v>1565</v>
      </c>
      <c r="J5" s="1202">
        <f ca="1">J6+J10+J12</f>
        <v>0</v>
      </c>
      <c r="K5" s="1548" t="s">
        <v>1566</v>
      </c>
      <c r="L5" s="1203"/>
      <c r="M5" s="1204"/>
    </row>
    <row r="6" spans="1:37" ht="18" customHeight="1">
      <c r="A6" s="1201" t="s">
        <v>1003</v>
      </c>
      <c r="B6" s="3294" t="s">
        <v>1368</v>
      </c>
      <c r="C6" s="1206">
        <f ca="1">ROUND(F6*F8*F7*(1-F9),0)</f>
        <v>534693</v>
      </c>
      <c r="D6" s="160" t="s">
        <v>2845</v>
      </c>
      <c r="E6" s="308" t="s">
        <v>1370</v>
      </c>
      <c r="F6" s="309">
        <f ca="1">INDIRECT("'数据-取费表'!u"&amp;$G$1)</f>
        <v>6</v>
      </c>
      <c r="G6" s="1568"/>
      <c r="H6" s="1201" t="s">
        <v>1003</v>
      </c>
      <c r="I6" s="3294" t="s">
        <v>1368</v>
      </c>
      <c r="J6" s="307">
        <f ca="1">ROUND(M6*M8*M7*(1-M9),0)</f>
        <v>0</v>
      </c>
      <c r="K6" s="1560" t="s">
        <v>2846</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271.27999999999997</v>
      </c>
      <c r="G7" s="1568"/>
      <c r="H7" s="310"/>
      <c r="I7" s="3295"/>
      <c r="J7" s="312"/>
      <c r="K7" s="313"/>
      <c r="L7" s="308" t="s">
        <v>1371</v>
      </c>
      <c r="M7" s="309">
        <f ca="1">F7</f>
        <v>271.27999999999997</v>
      </c>
    </row>
    <row r="8" spans="1:37" ht="18" customHeight="1">
      <c r="A8" s="310"/>
      <c r="B8" s="3295"/>
      <c r="C8" s="312"/>
      <c r="D8" s="313"/>
      <c r="E8" s="308" t="s">
        <v>1372</v>
      </c>
      <c r="F8" s="309">
        <f ca="1">INDIRECT("'数据-取费表'!ai"&amp;$G$1)</f>
        <v>365</v>
      </c>
      <c r="G8" s="1568"/>
      <c r="H8" s="310"/>
      <c r="I8" s="3295"/>
      <c r="J8" s="312"/>
      <c r="K8" s="313"/>
      <c r="L8" s="308" t="s">
        <v>1372</v>
      </c>
      <c r="M8" s="309">
        <f ca="1">INDIRECT("'数据-取费表'!ai"&amp;$G$1)</f>
        <v>365</v>
      </c>
    </row>
    <row r="9" spans="1:37" ht="18" customHeight="1">
      <c r="A9" s="310"/>
      <c r="B9" s="3296"/>
      <c r="C9" s="312"/>
      <c r="D9" s="313"/>
      <c r="E9" s="308" t="s">
        <v>1373</v>
      </c>
      <c r="F9" s="318">
        <f ca="1">INDIRECT("'数据-取费表'!w"&amp;$G$1)</f>
        <v>0.1</v>
      </c>
      <c r="G9" s="1568"/>
      <c r="H9" s="310"/>
      <c r="I9" s="3296"/>
      <c r="J9" s="312"/>
      <c r="K9" s="313"/>
      <c r="L9" s="319" t="s">
        <v>1373</v>
      </c>
      <c r="M9" s="320">
        <f ca="1">INDIRECT("'数据-取费表'!ab"&amp;$G$1)</f>
        <v>0</v>
      </c>
    </row>
    <row r="10" spans="1:37" ht="18" customHeight="1">
      <c r="A10" s="1201" t="s">
        <v>1007</v>
      </c>
      <c r="B10" s="1549" t="s">
        <v>1374</v>
      </c>
      <c r="C10" s="322">
        <f ca="1">ROUND(IF(F10="押一",C6/12*F11,IF(F10="押二",C6/12*2*F11,IF(F10="押三",C6/12*3*F11,C11*F11))),0)</f>
        <v>668</v>
      </c>
      <c r="D10" s="1550" t="s">
        <v>2855</v>
      </c>
      <c r="E10" s="319" t="s">
        <v>1375</v>
      </c>
      <c r="F10" s="1276" t="s">
        <v>3093</v>
      </c>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1315865</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1220760</v>
      </c>
      <c r="D14" s="1529" t="s">
        <v>1383</v>
      </c>
      <c r="E14" s="1526"/>
      <c r="F14" s="325"/>
      <c r="G14" s="1568"/>
      <c r="H14" s="1113" t="s">
        <v>1003</v>
      </c>
      <c r="I14" s="308" t="s">
        <v>1384</v>
      </c>
      <c r="J14" s="24">
        <f ca="1">C29</f>
        <v>1754487</v>
      </c>
      <c r="K14" s="15"/>
      <c r="L14" s="916"/>
      <c r="M14" s="917"/>
    </row>
    <row r="15" spans="1:37" s="1581" customFormat="1" ht="18" customHeight="1" thickBot="1">
      <c r="A15" s="1113" t="s">
        <v>1004</v>
      </c>
      <c r="B15" s="308" t="s">
        <v>1385</v>
      </c>
      <c r="C15" s="24">
        <f ca="1">ROUND(C14*F15,0)</f>
        <v>36623</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41254</v>
      </c>
      <c r="K16" s="1247" t="s">
        <v>1390</v>
      </c>
      <c r="L16" s="1248"/>
      <c r="M16" s="1204"/>
    </row>
    <row r="17" spans="1:37" s="1581" customFormat="1" ht="18" customHeight="1">
      <c r="A17" s="1113" t="s">
        <v>1355</v>
      </c>
      <c r="B17" s="308" t="s">
        <v>1391</v>
      </c>
      <c r="C17" s="24">
        <f ca="1">ROUND(F17*(F43+INDIRECT("'数据-取费表'!S"&amp;$G$1)),0)</f>
        <v>54256</v>
      </c>
      <c r="D17" s="308" t="s">
        <v>1392</v>
      </c>
      <c r="E17" s="308" t="s">
        <v>1393</v>
      </c>
      <c r="F17" s="26">
        <f>'数据-取费表'!B35</f>
        <v>200</v>
      </c>
      <c r="G17" s="1580"/>
      <c r="H17" s="1113" t="s">
        <v>1003</v>
      </c>
      <c r="I17" s="308" t="s">
        <v>1394</v>
      </c>
      <c r="J17" s="2533">
        <f ca="1">ROUND(IF(AND(项目基本情况!B11="自然人",项目基本情况!B10="北京市"),J6*M17/(1+'数据-取费表'!C42),J18+J19+J20),0)</f>
        <v>14937</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18311</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1329950</v>
      </c>
      <c r="D19" s="136" t="s">
        <v>1401</v>
      </c>
      <c r="E19" s="1544"/>
      <c r="F19" s="26"/>
      <c r="G19" s="1568"/>
      <c r="H19" s="1113" t="s">
        <v>1004</v>
      </c>
      <c r="I19" s="308" t="s">
        <v>1402</v>
      </c>
      <c r="J19" s="24">
        <f ca="1">IF(K19="按租金收入计税",ROUND(J6*M19/(1+'数据-取费表'!C42),0),ROUND(C29*M19*0.7,0))</f>
        <v>14738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26599</v>
      </c>
      <c r="D20" s="329" t="s">
        <v>1405</v>
      </c>
      <c r="E20" s="308" t="s">
        <v>1387</v>
      </c>
      <c r="F20" s="328">
        <f>'数据-取费表'!B37</f>
        <v>0.02</v>
      </c>
      <c r="G20" s="1580"/>
      <c r="H20" s="1113" t="s">
        <v>1354</v>
      </c>
      <c r="I20" s="160" t="s">
        <v>1406</v>
      </c>
      <c r="J20" s="25">
        <f ca="1">ROUND(M20*M21,0)</f>
        <v>199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66.48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26317</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59010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-41254</v>
      </c>
      <c r="K25" s="1255" t="s">
        <v>1429</v>
      </c>
      <c r="L25" s="1256"/>
      <c r="M25" s="1257"/>
    </row>
    <row r="26" spans="1:37" ht="18" customHeight="1">
      <c r="A26" s="1113" t="s">
        <v>1002</v>
      </c>
      <c r="B26" s="308" t="s">
        <v>1430</v>
      </c>
      <c r="C26" s="24">
        <f ca="1">ROUND((C19+C20)*F26,0)</f>
        <v>203482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1754487</v>
      </c>
      <c r="D29" s="1252"/>
      <c r="E29" s="1250"/>
      <c r="F29" s="1253"/>
      <c r="G29" s="1580"/>
      <c r="H29" s="340" t="s">
        <v>1001</v>
      </c>
      <c r="I29" s="341" t="s">
        <v>1444</v>
      </c>
      <c r="J29" s="342">
        <f ca="1">ROUND(J26/(1+F40)^F41,0)</f>
        <v>0</v>
      </c>
      <c r="K29" s="343" t="s">
        <v>1445</v>
      </c>
      <c r="L29" s="344"/>
      <c r="M29" s="345">
        <f ca="1">INDIRECT("'数据-取费表'!k"&amp;$G$1)</f>
        <v>271.27999999999997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123469</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89824</v>
      </c>
      <c r="D31" s="1529" t="s">
        <v>1395</v>
      </c>
      <c r="E31" s="1528"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IF(项目基本情况!B11="自然人","——",ROUND(C6*F32/(1+'数据-取费表'!C42),0))</f>
        <v>28517</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61108</v>
      </c>
      <c r="D33" s="1554" t="s">
        <v>3094</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f>
        <v>199</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66.48</v>
      </c>
      <c r="G35" s="1568"/>
      <c r="H35" s="2925"/>
      <c r="I35" s="1582"/>
      <c r="J35" s="1583"/>
      <c r="K35" s="2929"/>
      <c r="L35" s="2928"/>
      <c r="M35" s="2928"/>
    </row>
    <row r="36" spans="1:18" ht="18" customHeight="1">
      <c r="A36" s="1262" t="s">
        <v>1007</v>
      </c>
      <c r="B36" s="308" t="s">
        <v>1414</v>
      </c>
      <c r="C36" s="24">
        <f ca="1">ROUND(C29*F36,0)</f>
        <v>26317</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ROUND(C13*F37,0)</f>
        <v>1974</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5353.6</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411892</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8573980</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30.64</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ROUND(C40/F43,0)</f>
        <v>31606</v>
      </c>
      <c r="D43" s="343" t="s">
        <v>1453</v>
      </c>
      <c r="E43" s="344" t="s">
        <v>1454</v>
      </c>
      <c r="F43" s="345">
        <f ca="1">INDIRECT("'数据-取费表'!k"&amp;$G$1)</f>
        <v>271.27999999999997</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-12234843</v>
      </c>
      <c r="D45" s="1657" t="s">
        <v>1569</v>
      </c>
      <c r="E45" s="1584"/>
      <c r="F45" s="1584"/>
      <c r="O45" s="1587" t="s">
        <v>1484</v>
      </c>
      <c r="P45" s="1645"/>
      <c r="Q45" s="1645"/>
      <c r="R45" s="1645"/>
    </row>
    <row r="46" spans="1:18" s="1568" customFormat="1" ht="13.5" thickBot="1">
      <c r="A46" s="1588" t="s">
        <v>1485</v>
      </c>
      <c r="C46" s="1589">
        <f ca="1">ROUND(C45/10000,0)</f>
        <v>-1223</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3095</v>
      </c>
      <c r="K47" s="1600" t="s">
        <v>1492</v>
      </c>
      <c r="L47" s="1601">
        <f ca="1">INDIRECT("'数据-取费表'!d"&amp;$G$1)</f>
        <v>50</v>
      </c>
      <c r="M47" s="1564" t="str">
        <f>IF(ISNUMBER(FIND("住宅",C1)),"住宅","非住宅")</f>
        <v>非住宅</v>
      </c>
      <c r="O47" s="1602" t="s">
        <v>1008</v>
      </c>
      <c r="P47" s="1603" t="s">
        <v>1493</v>
      </c>
      <c r="Q47" s="1604">
        <f ca="1">C40+J29</f>
        <v>8573980</v>
      </c>
      <c r="R47" s="1604" t="s">
        <v>1494</v>
      </c>
    </row>
    <row r="48" spans="1:18" s="1568" customFormat="1" ht="28.5" thickBot="1">
      <c r="A48" s="1270" t="s">
        <v>1103</v>
      </c>
      <c r="B48" s="306" t="s">
        <v>1366</v>
      </c>
      <c r="C48" s="1543">
        <f ca="1">C49+C53+C55</f>
        <v>0</v>
      </c>
      <c r="D48" s="1272"/>
      <c r="E48" s="1273"/>
      <c r="F48" s="1093"/>
      <c r="G48" s="731"/>
      <c r="H48" s="732"/>
      <c r="I48" s="1605" t="s">
        <v>1495</v>
      </c>
      <c r="J48" s="1606" t="s">
        <v>3096</v>
      </c>
      <c r="K48" s="1607" t="s">
        <v>1496</v>
      </c>
      <c r="L48" s="1608">
        <f ca="1">INDIRECT("'数据-取费表'!f"&amp;$G$1)</f>
        <v>30.64</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2003</v>
      </c>
      <c r="K49" s="1607" t="s">
        <v>1500</v>
      </c>
      <c r="L49" s="1611"/>
      <c r="O49" s="1612" t="s">
        <v>1010</v>
      </c>
      <c r="P49" s="1603" t="s">
        <v>1501</v>
      </c>
      <c r="Q49" s="1604">
        <f ca="1">C29</f>
        <v>1754487</v>
      </c>
      <c r="R49" s="1604" t="s">
        <v>1494</v>
      </c>
    </row>
    <row r="50" spans="1:18" s="1568" customFormat="1" ht="13.5" thickBot="1">
      <c r="A50" s="1107"/>
      <c r="B50" s="1110"/>
      <c r="C50" s="1111"/>
      <c r="D50" s="1084"/>
      <c r="E50" s="1187" t="s">
        <v>1371</v>
      </c>
      <c r="F50" s="1188">
        <f ca="1">F7</f>
        <v>271.27999999999997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42</v>
      </c>
      <c r="K51" s="1618" t="s">
        <v>1506</v>
      </c>
      <c r="L51" s="1619">
        <f ca="1">ROUND(-PV(INDIRECT("'数据-取费表'!h"&amp;$G$1),J51,(C39-C13*C76),0),0)</f>
        <v>5227720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30.64</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5">
        <f ca="1">IF(M47="住宅",IF(D1="——",MAX(J51,L48),MAX(J51,L48-'数据-取费表'!B24)),IF(D1="——",MIN(J51,L48),MIN(J51,L48-'数据-取费表'!B24)))</f>
        <v>30.64</v>
      </c>
      <c r="K53" s="3292" t="s">
        <v>1513</v>
      </c>
      <c r="L53" s="3293"/>
      <c r="O53" s="1602" t="s">
        <v>1014</v>
      </c>
      <c r="P53" s="1603" t="s">
        <v>1514</v>
      </c>
      <c r="Q53" s="1604">
        <f ca="1">Q47+Q48</f>
        <v>8573980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1315865</v>
      </c>
      <c r="D56" s="1631"/>
      <c r="E56" s="1632"/>
      <c r="F56" s="1624"/>
      <c r="I56" s="1633" t="s">
        <v>1519</v>
      </c>
      <c r="J56" s="1634" t="s">
        <v>3077</v>
      </c>
      <c r="K56" s="1605" t="s">
        <v>1520</v>
      </c>
      <c r="L56" s="1608" t="str">
        <f ca="1">IF(L48&lt;J51,"——",L48-J51)</f>
        <v>——</v>
      </c>
      <c r="O56" s="1602" t="s">
        <v>1008</v>
      </c>
      <c r="P56" s="1603" t="s">
        <v>1493</v>
      </c>
      <c r="Q56" s="1604">
        <f ca="1">C40+J29</f>
        <v>8573980</v>
      </c>
      <c r="R56" s="1604" t="s">
        <v>1494</v>
      </c>
    </row>
    <row r="57" spans="1:18" s="1568" customFormat="1" ht="24.75" thickBot="1">
      <c r="A57" s="1635"/>
      <c r="B57" s="1081" t="s">
        <v>1443</v>
      </c>
      <c r="C57" s="244">
        <f ca="1">C29</f>
        <v>1754487</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175867</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147576</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147377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199</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8573980</v>
      </c>
      <c r="R62" s="1604" t="s">
        <v>1015</v>
      </c>
    </row>
    <row r="63" spans="1:18" s="1568" customFormat="1" ht="13.5" thickBot="1">
      <c r="A63" s="332"/>
      <c r="B63" s="1087"/>
      <c r="C63" s="29"/>
      <c r="D63" s="1097"/>
      <c r="E63" s="1081" t="s">
        <v>1464</v>
      </c>
      <c r="F63" s="309">
        <f t="shared" ca="1" si="0"/>
        <v>66.48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26317</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1974</v>
      </c>
      <c r="D65" s="1095" t="s">
        <v>1419</v>
      </c>
      <c r="E65" s="1081" t="s">
        <v>1420</v>
      </c>
      <c r="F65" s="336">
        <f t="shared" ca="1" si="0"/>
        <v>1.5E-3</v>
      </c>
      <c r="I65" s="1646" t="s">
        <v>1544</v>
      </c>
      <c r="J65" s="1647">
        <v>40</v>
      </c>
      <c r="K65" s="1647">
        <v>30</v>
      </c>
      <c r="L65" s="1647">
        <v>50</v>
      </c>
      <c r="M65" s="1649">
        <v>0.02</v>
      </c>
      <c r="O65" s="1602" t="s">
        <v>1008</v>
      </c>
      <c r="P65" s="1603" t="s">
        <v>1545</v>
      </c>
      <c r="Q65" s="1604">
        <f ca="1">C40+J29</f>
        <v>8573980</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-175867</v>
      </c>
      <c r="D67" s="1094" t="s">
        <v>1429</v>
      </c>
      <c r="E67" s="1099"/>
      <c r="F67" s="1100"/>
      <c r="O67" s="1612" t="s">
        <v>1010</v>
      </c>
      <c r="P67" s="1603" t="s">
        <v>1527</v>
      </c>
      <c r="Q67" s="1650">
        <f ca="1">L51</f>
        <v>5227720</v>
      </c>
      <c r="R67" s="1604" t="s">
        <v>1547</v>
      </c>
    </row>
    <row r="68" spans="1:18" s="1568" customFormat="1" ht="16.5" thickBot="1">
      <c r="A68" s="1078" t="s">
        <v>1000</v>
      </c>
      <c r="B68" s="1079" t="s">
        <v>1450</v>
      </c>
      <c r="C68" s="307">
        <f ca="1">ROUND(C67*(1-((1+F70)/(1+F68))^F69)/(F68-F70),0)</f>
        <v>-3660863</v>
      </c>
      <c r="D68" s="1096" t="s">
        <v>1434</v>
      </c>
      <c r="E68" s="1081" t="s">
        <v>1435</v>
      </c>
      <c r="F68" s="318">
        <f ca="1">F40</f>
        <v>5.5E-2</v>
      </c>
      <c r="O68" s="1612" t="s">
        <v>1011</v>
      </c>
      <c r="P68" s="1651" t="s">
        <v>1548</v>
      </c>
      <c r="Q68" s="1604">
        <f ca="1">ROUND(Q69-Q70*Q71,0)</f>
        <v>300043</v>
      </c>
      <c r="R68" s="1604" t="s">
        <v>1019</v>
      </c>
    </row>
    <row r="69" spans="1:18" s="1568" customFormat="1" ht="13.5" thickBot="1">
      <c r="A69" s="1082"/>
      <c r="B69" s="1083"/>
      <c r="C69" s="312"/>
      <c r="D69" s="1101" t="s">
        <v>1438</v>
      </c>
      <c r="E69" s="1081" t="s">
        <v>1439</v>
      </c>
      <c r="F69" s="339">
        <f ca="1">F41</f>
        <v>30.64</v>
      </c>
      <c r="O69" s="1612" t="s">
        <v>1016</v>
      </c>
      <c r="P69" s="1651" t="s">
        <v>1549</v>
      </c>
      <c r="Q69" s="1604">
        <f ca="1">C39</f>
        <v>411892</v>
      </c>
      <c r="R69" s="1604" t="s">
        <v>1494</v>
      </c>
    </row>
    <row r="70" spans="1:18" s="1568" customFormat="1" ht="13.5" thickBot="1">
      <c r="A70" s="1085"/>
      <c r="B70" s="1086"/>
      <c r="C70" s="316"/>
      <c r="D70" s="1097"/>
      <c r="E70" s="1081" t="s">
        <v>1442</v>
      </c>
      <c r="F70" s="1185">
        <f ca="1">F42</f>
        <v>0.03</v>
      </c>
      <c r="O70" s="1612" t="s">
        <v>1017</v>
      </c>
      <c r="P70" s="1651" t="s">
        <v>1550</v>
      </c>
      <c r="Q70" s="1604">
        <f ca="1">C13</f>
        <v>1315865</v>
      </c>
      <c r="R70" s="1604" t="s">
        <v>1494</v>
      </c>
    </row>
    <row r="71" spans="1:18" s="1568" customFormat="1" ht="13.5" thickBot="1">
      <c r="A71" s="1102" t="s">
        <v>1001</v>
      </c>
      <c r="B71" s="1103" t="s">
        <v>1452</v>
      </c>
      <c r="C71" s="342">
        <f ca="1">ROUND(C68/F71,0)</f>
        <v>-13495</v>
      </c>
      <c r="D71" s="1104" t="s">
        <v>1453</v>
      </c>
      <c r="E71" s="1105" t="s">
        <v>1454</v>
      </c>
      <c r="F71" s="345">
        <f ca="1">F43</f>
        <v>271.27999999999997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111849</v>
      </c>
      <c r="D75" s="1568"/>
      <c r="E75" s="1568"/>
      <c r="F75" s="1568"/>
      <c r="K75" s="1586"/>
      <c r="L75" s="1568"/>
      <c r="O75" s="1602" t="s">
        <v>1014</v>
      </c>
      <c r="P75" s="1603" t="s">
        <v>1514</v>
      </c>
      <c r="Q75" s="1604">
        <f ca="1">Q65+Q66</f>
        <v>8573980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0.72799999999999998</v>
      </c>
    </row>
    <row r="80" spans="1:18">
      <c r="B80" s="346" t="s">
        <v>1476</v>
      </c>
      <c r="C80" s="280">
        <f ca="1">ROUND(C75/C39,3)</f>
        <v>0.27200000000000002</v>
      </c>
    </row>
    <row r="81" spans="2:3">
      <c r="B81" s="276" t="s">
        <v>1477</v>
      </c>
      <c r="C81" s="244"/>
    </row>
    <row r="82" spans="2:3">
      <c r="B82" s="279" t="s">
        <v>1478</v>
      </c>
      <c r="C82" s="281">
        <f ca="1">1-C83</f>
        <v>0.84699999999999998</v>
      </c>
    </row>
    <row r="83" spans="2:3">
      <c r="B83" s="279" t="s">
        <v>1479</v>
      </c>
      <c r="C83" s="280">
        <f ca="1">ROUND(C13/C40,3)</f>
        <v>0.153</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2347</v>
      </c>
      <c r="B1" s="2053"/>
      <c r="C1" s="2053"/>
      <c r="D1" s="2053"/>
      <c r="E1" s="2054"/>
      <c r="F1" s="2935"/>
      <c r="G1" s="1674"/>
      <c r="H1" s="1674"/>
      <c r="I1" s="1674"/>
      <c r="J1" s="1674"/>
      <c r="K1" s="1674"/>
      <c r="L1" s="1674"/>
      <c r="M1" s="1674"/>
      <c r="N1" s="1674"/>
      <c r="O1" s="1674"/>
      <c r="P1" s="1674"/>
      <c r="Q1" s="1674"/>
      <c r="R1" s="1674"/>
      <c r="S1" s="1674"/>
    </row>
    <row r="2" spans="1:22" ht="15.75">
      <c r="A2" s="2055" t="s">
        <v>2148</v>
      </c>
      <c r="B2" s="2056">
        <f ca="1">SUMIF(B6:B13,"&lt;&gt;#ref!",B6:B13)</f>
        <v>871</v>
      </c>
      <c r="C2" s="2057" t="s">
        <v>2340</v>
      </c>
      <c r="D2" s="2058" t="s">
        <v>2341</v>
      </c>
      <c r="E2" s="2832">
        <f>SUM(E6:E13)</f>
        <v>271.27999999999997</v>
      </c>
      <c r="F2" s="2935"/>
      <c r="G2" s="1674"/>
      <c r="H2" s="1674"/>
      <c r="I2" s="1674"/>
      <c r="J2" s="1674"/>
      <c r="K2" s="1674"/>
      <c r="L2" s="1674"/>
      <c r="M2" s="1674"/>
      <c r="N2" s="1674"/>
      <c r="O2" s="1674"/>
      <c r="P2" s="1674"/>
      <c r="Q2" s="1674"/>
      <c r="R2" s="1674"/>
      <c r="S2" s="1674"/>
    </row>
    <row r="3" spans="1:22" ht="15.75">
      <c r="A3" s="2055" t="s">
        <v>1360</v>
      </c>
      <c r="B3" s="2826">
        <f ca="1">ROUND(B2*10000/E2,0)</f>
        <v>32107</v>
      </c>
      <c r="C3" s="2057"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348" t="s">
        <v>2343</v>
      </c>
      <c r="C5" s="3349"/>
      <c r="D5" s="2936"/>
      <c r="E5" s="2059" t="s">
        <v>2344</v>
      </c>
      <c r="F5" s="2060" t="s">
        <v>2345</v>
      </c>
      <c r="G5" s="1674"/>
      <c r="H5" s="1674"/>
      <c r="I5" s="1674"/>
      <c r="J5" s="1674"/>
      <c r="K5" s="1674"/>
      <c r="L5" s="1674"/>
      <c r="M5" s="1674"/>
      <c r="N5" s="1674"/>
      <c r="O5" s="1674"/>
      <c r="P5" s="1674"/>
      <c r="Q5" s="1674"/>
      <c r="R5" s="1674"/>
      <c r="S5" s="1674"/>
    </row>
    <row r="6" spans="1:22">
      <c r="A6" s="2829" t="str">
        <f>'数据-取费表'!AN6</f>
        <v>收益法 (元)</v>
      </c>
      <c r="B6" s="2827">
        <f ca="1">IF(F6="是",'数据-取费表'!AO6,0)</f>
        <v>857</v>
      </c>
      <c r="C6" s="2057" t="s">
        <v>2340</v>
      </c>
      <c r="D6" s="2937"/>
      <c r="E6" s="2831">
        <f>IF(OR(A6=0,F6="否"),0,'数据-取费表'!K6+'数据-取费表'!S6)</f>
        <v>271.27999999999997</v>
      </c>
      <c r="F6" s="2061" t="s">
        <v>2346</v>
      </c>
      <c r="G6" s="1674"/>
      <c r="H6" s="1674"/>
      <c r="I6" s="1674"/>
      <c r="J6" s="1674"/>
      <c r="K6" s="1674"/>
      <c r="L6" s="1674"/>
      <c r="M6" s="1674"/>
      <c r="N6" s="1674"/>
      <c r="O6" s="1674"/>
      <c r="P6" s="1674"/>
      <c r="Q6" s="1674"/>
      <c r="R6" s="1674"/>
      <c r="S6" s="1674"/>
    </row>
    <row r="7" spans="1:22">
      <c r="A7" s="2829" t="str">
        <f>'数据-取费表'!AN7</f>
        <v>收益法 (元)-车库</v>
      </c>
      <c r="B7" s="2827">
        <f ca="1">IF(F7="是",'数据-取费表'!AO7,0)</f>
        <v>14</v>
      </c>
      <c r="C7" s="2057" t="s">
        <v>2340</v>
      </c>
      <c r="D7" s="2937"/>
      <c r="E7" s="2831">
        <f>IF(OR(A7=0,F7="否"),0,'数据-取费表'!K7+'数据-取费表'!S7)</f>
        <v>0</v>
      </c>
      <c r="F7" s="2061"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7" t="s">
        <v>2340</v>
      </c>
      <c r="D8" s="2937"/>
      <c r="E8" s="2831">
        <f>IF(OR(A8=0,F8="否"),0,'数据-取费表'!K8+'数据-取费表'!S8)</f>
        <v>0</v>
      </c>
      <c r="F8" s="2061"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7" t="s">
        <v>2340</v>
      </c>
      <c r="D9" s="2937"/>
      <c r="E9" s="2831">
        <f>IF(OR(A9=0,F9="否"),0,'数据-取费表'!K9+'数据-取费表'!S9)</f>
        <v>0</v>
      </c>
      <c r="F9" s="2061"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2340</v>
      </c>
      <c r="D10" s="2937"/>
      <c r="E10" s="2831">
        <f>IF(OR(A10=0,F10="否"),0,'数据-取费表'!K10+'数据-取费表'!S10)</f>
        <v>0</v>
      </c>
      <c r="F10" s="2061"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2340</v>
      </c>
      <c r="D11" s="2937"/>
      <c r="E11" s="2831">
        <f>IF(OR(A11=0,F11="否"),0,'数据-取费表'!K11+'数据-取费表'!S11)</f>
        <v>0</v>
      </c>
      <c r="F11" s="2061"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2340</v>
      </c>
      <c r="D12" s="2937"/>
      <c r="E12" s="2831">
        <f>IF(OR(A12=0,F12="否"),0,'数据-取费表'!K12+'数据-取费表'!S12)</f>
        <v>0</v>
      </c>
      <c r="F12" s="2061"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0" t="s">
        <v>1044</v>
      </c>
      <c r="B1" s="3351"/>
      <c r="C1" s="3352"/>
      <c r="D1" s="3353">
        <f>SUM(I10,I15,I20,I21,I23)</f>
        <v>0</v>
      </c>
      <c r="E1" s="3353"/>
      <c r="F1" s="3353"/>
      <c r="G1" s="3353"/>
      <c r="H1" s="3353"/>
      <c r="I1" s="3354"/>
    </row>
    <row r="2" spans="1:9">
      <c r="A2" s="3355" t="s">
        <v>1045</v>
      </c>
      <c r="B2" s="3356" t="s">
        <v>1046</v>
      </c>
      <c r="C2" s="3356"/>
      <c r="D2" s="1211" t="s">
        <v>1047</v>
      </c>
      <c r="E2" s="1211" t="s">
        <v>1048</v>
      </c>
      <c r="F2" s="1211" t="s">
        <v>1049</v>
      </c>
      <c r="G2" s="1211" t="s">
        <v>1050</v>
      </c>
      <c r="H2" s="1211" t="s">
        <v>1051</v>
      </c>
      <c r="I2" s="1212" t="s">
        <v>1052</v>
      </c>
    </row>
    <row r="3" spans="1:9">
      <c r="A3" s="3355"/>
      <c r="B3" s="3356" t="s">
        <v>1053</v>
      </c>
      <c r="C3" s="3356"/>
      <c r="D3" s="1213"/>
      <c r="E3" s="1211"/>
      <c r="F3" s="1214"/>
      <c r="G3" s="1214"/>
      <c r="H3" s="1215"/>
      <c r="I3" s="1216">
        <f>ROUND(D3*E3*F3*G3*H3/10000,0)</f>
        <v>0</v>
      </c>
    </row>
    <row r="4" spans="1:9">
      <c r="A4" s="3355"/>
      <c r="B4" s="3356" t="s">
        <v>1054</v>
      </c>
      <c r="C4" s="3356"/>
      <c r="D4" s="1213"/>
      <c r="E4" s="1211"/>
      <c r="F4" s="1214"/>
      <c r="G4" s="1214"/>
      <c r="H4" s="1215"/>
      <c r="I4" s="1216">
        <f t="shared" ref="I4:I9" si="0">ROUND(D4*E4*F4*G4*H4/10000,0)</f>
        <v>0</v>
      </c>
    </row>
    <row r="5" spans="1:9">
      <c r="A5" s="3355"/>
      <c r="B5" s="3356" t="s">
        <v>1055</v>
      </c>
      <c r="C5" s="3356"/>
      <c r="D5" s="1213"/>
      <c r="E5" s="1211"/>
      <c r="F5" s="1214"/>
      <c r="G5" s="1214"/>
      <c r="H5" s="1215"/>
      <c r="I5" s="1216">
        <f t="shared" si="0"/>
        <v>0</v>
      </c>
    </row>
    <row r="6" spans="1:9">
      <c r="A6" s="3355"/>
      <c r="B6" s="3356" t="s">
        <v>1056</v>
      </c>
      <c r="C6" s="3356"/>
      <c r="D6" s="1213"/>
      <c r="E6" s="1211"/>
      <c r="F6" s="1214"/>
      <c r="G6" s="1214"/>
      <c r="H6" s="1215"/>
      <c r="I6" s="1216">
        <f t="shared" si="0"/>
        <v>0</v>
      </c>
    </row>
    <row r="7" spans="1:9">
      <c r="A7" s="3355"/>
      <c r="B7" s="3356" t="s">
        <v>1057</v>
      </c>
      <c r="C7" s="3356"/>
      <c r="D7" s="1213"/>
      <c r="E7" s="1211"/>
      <c r="F7" s="1214"/>
      <c r="G7" s="1214"/>
      <c r="H7" s="1215"/>
      <c r="I7" s="1216">
        <f t="shared" si="0"/>
        <v>0</v>
      </c>
    </row>
    <row r="8" spans="1:9">
      <c r="A8" s="3355"/>
      <c r="B8" s="3356" t="s">
        <v>1058</v>
      </c>
      <c r="C8" s="3356"/>
      <c r="D8" s="1213"/>
      <c r="E8" s="1211"/>
      <c r="F8" s="1214"/>
      <c r="G8" s="1214"/>
      <c r="H8" s="1215"/>
      <c r="I8" s="1216">
        <f t="shared" si="0"/>
        <v>0</v>
      </c>
    </row>
    <row r="9" spans="1:9">
      <c r="A9" s="3355"/>
      <c r="B9" s="3356" t="s">
        <v>1059</v>
      </c>
      <c r="C9" s="3356"/>
      <c r="D9" s="1213"/>
      <c r="E9" s="1211"/>
      <c r="F9" s="1214"/>
      <c r="G9" s="1214"/>
      <c r="H9" s="1215"/>
      <c r="I9" s="1216">
        <f t="shared" si="0"/>
        <v>0</v>
      </c>
    </row>
    <row r="10" spans="1:9">
      <c r="A10" s="3355"/>
      <c r="B10" s="3357" t="s">
        <v>1060</v>
      </c>
      <c r="C10" s="3357"/>
      <c r="D10" s="1217"/>
      <c r="E10" s="1217" t="e">
        <f>ROUND(D1*10000/D10/H9,0)</f>
        <v>#DIV/0!</v>
      </c>
      <c r="F10" s="1218"/>
      <c r="G10" s="1218"/>
      <c r="H10" s="1219"/>
      <c r="I10" s="1220">
        <f>SUM(I3:I9)</f>
        <v>0</v>
      </c>
    </row>
    <row r="11" spans="1:9" ht="14.25">
      <c r="A11" s="3355" t="s">
        <v>1061</v>
      </c>
      <c r="B11" s="3356" t="s">
        <v>1062</v>
      </c>
      <c r="C11" s="3356"/>
      <c r="D11" s="1213" t="s">
        <v>1063</v>
      </c>
      <c r="E11" s="1213" t="s">
        <v>1064</v>
      </c>
      <c r="F11" s="1214" t="s">
        <v>1065</v>
      </c>
      <c r="G11" s="1214" t="s">
        <v>1051</v>
      </c>
      <c r="H11" s="1221" t="s">
        <v>1066</v>
      </c>
      <c r="I11" s="1212" t="s">
        <v>1052</v>
      </c>
    </row>
    <row r="12" spans="1:9">
      <c r="A12" s="3355"/>
      <c r="B12" s="3356" t="s">
        <v>1067</v>
      </c>
      <c r="C12" s="3356"/>
      <c r="D12" s="1213"/>
      <c r="E12" s="1213"/>
      <c r="F12" s="1214"/>
      <c r="G12" s="1215"/>
      <c r="H12" s="1222"/>
      <c r="I12" s="1212">
        <f>ROUND(D12*E12*F12*G12/10000,0)</f>
        <v>0</v>
      </c>
    </row>
    <row r="13" spans="1:9">
      <c r="A13" s="3355"/>
      <c r="B13" s="3356" t="s">
        <v>1068</v>
      </c>
      <c r="C13" s="3356"/>
      <c r="D13" s="1213"/>
      <c r="E13" s="1213"/>
      <c r="F13" s="1214"/>
      <c r="G13" s="1215"/>
      <c r="H13" s="1222"/>
      <c r="I13" s="1212">
        <f>ROUND(D13*E13*F13*G13/10000,0)</f>
        <v>0</v>
      </c>
    </row>
    <row r="14" spans="1:9">
      <c r="A14" s="3355"/>
      <c r="B14" s="3356" t="s">
        <v>1069</v>
      </c>
      <c r="C14" s="3356"/>
      <c r="D14" s="1213"/>
      <c r="E14" s="1213"/>
      <c r="F14" s="1214"/>
      <c r="G14" s="1215"/>
      <c r="H14" s="1222"/>
      <c r="I14" s="1212">
        <f>ROUND(D14*E14*F14*G14/10000,0)</f>
        <v>0</v>
      </c>
    </row>
    <row r="15" spans="1:9">
      <c r="A15" s="3355"/>
      <c r="B15" s="3357" t="s">
        <v>1060</v>
      </c>
      <c r="C15" s="3357"/>
      <c r="D15" s="1217"/>
      <c r="E15" s="1217">
        <f>SUM(E12:E14)</f>
        <v>0</v>
      </c>
      <c r="F15" s="1218"/>
      <c r="G15" s="1215"/>
      <c r="H15" s="1222"/>
      <c r="I15" s="1223">
        <f>SUM(I12:I14)</f>
        <v>0</v>
      </c>
    </row>
    <row r="16" spans="1:9" ht="24">
      <c r="A16" s="3355" t="s">
        <v>1070</v>
      </c>
      <c r="B16" s="3356" t="s">
        <v>1071</v>
      </c>
      <c r="C16" s="3356"/>
      <c r="D16" s="1213" t="s">
        <v>1047</v>
      </c>
      <c r="E16" s="1224" t="s">
        <v>1072</v>
      </c>
      <c r="F16" s="1214" t="s">
        <v>1073</v>
      </c>
      <c r="G16" s="1215" t="s">
        <v>1051</v>
      </c>
      <c r="H16" s="1221" t="s">
        <v>1066</v>
      </c>
      <c r="I16" s="1212" t="s">
        <v>1052</v>
      </c>
    </row>
    <row r="17" spans="1:9" ht="14.25">
      <c r="A17" s="3355"/>
      <c r="B17" s="3356" t="s">
        <v>1074</v>
      </c>
      <c r="C17" s="3356"/>
      <c r="D17" s="1213"/>
      <c r="E17" s="1213"/>
      <c r="F17" s="1214"/>
      <c r="G17" s="1215"/>
      <c r="H17" s="1225"/>
      <c r="I17" s="1226">
        <f>ROUND(D17*E17*F17*G17/10000,0)</f>
        <v>0</v>
      </c>
    </row>
    <row r="18" spans="1:9" ht="14.25">
      <c r="A18" s="3355"/>
      <c r="B18" s="3356" t="s">
        <v>1075</v>
      </c>
      <c r="C18" s="3356"/>
      <c r="D18" s="1213"/>
      <c r="E18" s="1213"/>
      <c r="F18" s="1214"/>
      <c r="G18" s="1215"/>
      <c r="H18" s="1225"/>
      <c r="I18" s="1226">
        <f>ROUND(D18*E18*F18*G18/10000,0)</f>
        <v>0</v>
      </c>
    </row>
    <row r="19" spans="1:9" ht="14.25">
      <c r="A19" s="3355"/>
      <c r="B19" s="3356" t="s">
        <v>1076</v>
      </c>
      <c r="C19" s="3356"/>
      <c r="D19" s="1213"/>
      <c r="E19" s="1213"/>
      <c r="F19" s="1214"/>
      <c r="G19" s="1215"/>
      <c r="H19" s="1225"/>
      <c r="I19" s="1226">
        <f>ROUND(D19*E19*F19*G19/10000,0)</f>
        <v>0</v>
      </c>
    </row>
    <row r="20" spans="1:9">
      <c r="A20" s="3355"/>
      <c r="B20" s="3357" t="s">
        <v>1060</v>
      </c>
      <c r="C20" s="3357"/>
      <c r="D20" s="1217">
        <f>SUM(D17:D19)</f>
        <v>0</v>
      </c>
      <c r="E20" s="1217"/>
      <c r="F20" s="1218"/>
      <c r="G20" s="1215"/>
      <c r="H20" s="1222"/>
      <c r="I20" s="1223">
        <f>SUM(I17:I19)</f>
        <v>0</v>
      </c>
    </row>
    <row r="21" spans="1:9">
      <c r="A21" s="3355" t="s">
        <v>1077</v>
      </c>
      <c r="B21" s="3359"/>
      <c r="C21" s="3359"/>
      <c r="D21" s="3359"/>
      <c r="E21" s="3359"/>
      <c r="F21" s="3359"/>
      <c r="G21" s="3359"/>
      <c r="H21" s="1502">
        <v>0.1</v>
      </c>
      <c r="I21" s="1220">
        <f>ROUND(I10*H21,0)</f>
        <v>0</v>
      </c>
    </row>
    <row r="22" spans="1:9" ht="14.25">
      <c r="A22" s="3360" t="s">
        <v>1078</v>
      </c>
      <c r="B22" s="3361"/>
      <c r="C22" s="3362"/>
      <c r="D22" s="1227" t="s">
        <v>1079</v>
      </c>
      <c r="E22" s="1227" t="s">
        <v>1080</v>
      </c>
      <c r="F22" s="1228" t="s">
        <v>1081</v>
      </c>
      <c r="G22" s="1228" t="s">
        <v>1082</v>
      </c>
      <c r="H22" s="1221" t="s">
        <v>1083</v>
      </c>
      <c r="I22" s="1212" t="s">
        <v>1084</v>
      </c>
    </row>
    <row r="23" spans="1:9" ht="14.25" thickBot="1">
      <c r="A23" s="3363"/>
      <c r="B23" s="3364"/>
      <c r="C23" s="3365"/>
      <c r="D23" s="1229"/>
      <c r="E23" s="1229"/>
      <c r="F23" s="1229"/>
      <c r="G23" s="1230"/>
      <c r="H23" s="1231"/>
      <c r="I23" s="1232">
        <f>ROUND(E23*D23*F23*(1-G23)/10000,0)</f>
        <v>0</v>
      </c>
    </row>
    <row r="26" spans="1:9">
      <c r="A26" s="1233" t="s">
        <v>1085</v>
      </c>
      <c r="B26" s="1233"/>
      <c r="C26" s="1233"/>
      <c r="D26" s="1233"/>
      <c r="E26" s="3366">
        <f>C27-C30-C31-C32</f>
        <v>0</v>
      </c>
      <c r="F26" s="3366"/>
      <c r="G26" s="3366"/>
      <c r="H26" s="1499" t="s">
        <v>1306</v>
      </c>
    </row>
    <row r="27" spans="1:9">
      <c r="A27" s="1234">
        <v>1</v>
      </c>
      <c r="B27" s="1235" t="s">
        <v>1086</v>
      </c>
      <c r="C27" s="1235">
        <f>C28+C29</f>
        <v>0</v>
      </c>
      <c r="D27" s="1235"/>
      <c r="E27" s="3367"/>
      <c r="F27" s="3367"/>
      <c r="G27" s="3367"/>
    </row>
    <row r="28" spans="1:9">
      <c r="A28" s="1236" t="s">
        <v>1087</v>
      </c>
      <c r="B28" s="1235" t="s">
        <v>1088</v>
      </c>
      <c r="C28" s="1235"/>
      <c r="D28" s="1235"/>
      <c r="E28" s="3367"/>
      <c r="F28" s="3367"/>
      <c r="G28" s="336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8"/>
      <c r="F32" s="3358"/>
      <c r="G32" s="3358"/>
    </row>
    <row r="33" spans="1:7" hidden="1">
      <c r="A33" s="3368" t="s">
        <v>1097</v>
      </c>
      <c r="B33" s="3369"/>
      <c r="C33" s="3369"/>
      <c r="D33" s="3370"/>
      <c r="E33" s="3366"/>
      <c r="F33" s="3366"/>
      <c r="G33" s="3366"/>
    </row>
    <row r="34" spans="1:7" hidden="1">
      <c r="A34" s="1238">
        <v>1</v>
      </c>
      <c r="B34" s="1235" t="s">
        <v>1098</v>
      </c>
      <c r="C34" s="1235"/>
      <c r="D34" s="1235"/>
      <c r="E34" s="3367"/>
      <c r="F34" s="3367"/>
      <c r="G34" s="3367"/>
    </row>
    <row r="35" spans="1:7" hidden="1">
      <c r="A35" s="1238">
        <v>2</v>
      </c>
      <c r="B35" s="1235" t="s">
        <v>1099</v>
      </c>
      <c r="C35" s="1235"/>
      <c r="D35" s="1235"/>
      <c r="E35" s="3367"/>
      <c r="F35" s="3367"/>
      <c r="G35" s="3367"/>
    </row>
    <row r="36" spans="1:7" hidden="1">
      <c r="A36" s="1238">
        <v>3</v>
      </c>
      <c r="B36" s="1235" t="s">
        <v>1100</v>
      </c>
      <c r="C36" s="1235"/>
      <c r="D36" s="1235"/>
      <c r="E36" s="3367"/>
      <c r="F36" s="3367"/>
      <c r="G36" s="3367"/>
    </row>
    <row r="37" spans="1:7" hidden="1">
      <c r="A37" s="1238">
        <v>4</v>
      </c>
      <c r="B37" s="1235" t="s">
        <v>1101</v>
      </c>
      <c r="C37" s="1235"/>
      <c r="D37" s="1235"/>
      <c r="E37" s="3367"/>
      <c r="F37" s="3367"/>
      <c r="G37" s="3367"/>
    </row>
    <row r="38" spans="1:7" hidden="1">
      <c r="A38" s="3368" t="s">
        <v>1102</v>
      </c>
      <c r="B38" s="3369"/>
      <c r="C38" s="3369"/>
      <c r="D38" s="3370"/>
      <c r="E38" s="3366"/>
      <c r="F38" s="3366"/>
      <c r="G38" s="33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3" t="s">
        <v>2350</v>
      </c>
      <c r="C1" s="1406" t="s">
        <v>2351</v>
      </c>
      <c r="D1" s="1393"/>
      <c r="E1" s="2543"/>
      <c r="F1" s="2064" t="s">
        <v>2352</v>
      </c>
      <c r="G1" s="1403" t="s">
        <v>2353</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2399.3100000000004</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318" t="s">
        <v>2357</v>
      </c>
      <c r="D4" s="3319"/>
      <c r="E4" s="3320" t="s">
        <v>2358</v>
      </c>
      <c r="F4" s="3321"/>
      <c r="G4" s="3318" t="s">
        <v>2359</v>
      </c>
      <c r="H4" s="3319"/>
      <c r="I4" s="3318" t="s">
        <v>2360</v>
      </c>
      <c r="J4" s="3319"/>
      <c r="K4" s="2074" t="s">
        <v>2361</v>
      </c>
      <c r="L4" s="2943"/>
      <c r="M4" s="2944"/>
      <c r="N4" s="2944"/>
      <c r="O4" s="2944"/>
      <c r="P4" s="3374" t="s">
        <v>2362</v>
      </c>
      <c r="Q4" s="3375"/>
      <c r="R4" s="3372" t="s">
        <v>2358</v>
      </c>
      <c r="S4" s="3373"/>
      <c r="T4" s="3372" t="s">
        <v>2359</v>
      </c>
      <c r="U4" s="3373"/>
      <c r="V4" s="3331" t="s">
        <v>2360</v>
      </c>
      <c r="W4" s="3331"/>
      <c r="X4" s="1539"/>
      <c r="Y4" s="3372" t="s">
        <v>2362</v>
      </c>
      <c r="Z4" s="3373"/>
      <c r="AA4" s="3371" t="s">
        <v>2358</v>
      </c>
      <c r="AB4" s="3371" t="s">
        <v>2359</v>
      </c>
      <c r="AC4" s="3371" t="s">
        <v>2360</v>
      </c>
    </row>
    <row r="5" spans="1:29" ht="15">
      <c r="A5" s="364"/>
      <c r="B5" s="365"/>
      <c r="C5" s="3308" t="s">
        <v>2363</v>
      </c>
      <c r="D5" s="3309"/>
      <c r="E5" s="3306" t="s">
        <v>2364</v>
      </c>
      <c r="F5" s="3307"/>
      <c r="G5" s="3308" t="s">
        <v>2365</v>
      </c>
      <c r="H5" s="3309"/>
      <c r="I5" s="3308" t="s">
        <v>2366</v>
      </c>
      <c r="J5" s="3309"/>
      <c r="K5" s="2075"/>
      <c r="L5" s="2943"/>
      <c r="M5" s="2944"/>
      <c r="N5" s="2944"/>
      <c r="O5" s="2944"/>
      <c r="P5" s="3376"/>
      <c r="Q5" s="3325"/>
      <c r="R5" s="3304"/>
      <c r="S5" s="3305"/>
      <c r="T5" s="3304"/>
      <c r="U5" s="3305"/>
      <c r="V5" s="3331"/>
      <c r="W5" s="3331"/>
      <c r="X5" s="1539"/>
      <c r="Y5" s="3304"/>
      <c r="Z5" s="3305"/>
      <c r="AA5" s="3298"/>
      <c r="AB5" s="3298"/>
      <c r="AC5" s="3298"/>
    </row>
    <row r="6" spans="1:29" ht="15.75" thickBot="1">
      <c r="A6" s="366"/>
      <c r="B6" s="367"/>
      <c r="C6" s="3310" t="s">
        <v>2367</v>
      </c>
      <c r="D6" s="3311"/>
      <c r="E6" s="3312" t="s">
        <v>2367</v>
      </c>
      <c r="F6" s="3313"/>
      <c r="G6" s="3310" t="s">
        <v>2367</v>
      </c>
      <c r="H6" s="3311"/>
      <c r="I6" s="3310" t="s">
        <v>2367</v>
      </c>
      <c r="J6" s="3311"/>
      <c r="K6" s="2075" t="s">
        <v>2368</v>
      </c>
      <c r="L6" s="2943"/>
      <c r="M6" s="2944"/>
      <c r="N6" s="2944"/>
      <c r="O6" s="2944"/>
      <c r="P6" s="3377"/>
      <c r="Q6" s="3327"/>
      <c r="R6" s="3304"/>
      <c r="S6" s="3305"/>
      <c r="T6" s="3328"/>
      <c r="U6" s="3329"/>
      <c r="V6" s="3331"/>
      <c r="W6" s="3331"/>
      <c r="X6" s="1539"/>
      <c r="Y6" s="3328"/>
      <c r="Z6" s="3329"/>
      <c r="AA6" s="3299"/>
      <c r="AB6" s="3299"/>
      <c r="AC6" s="3299"/>
    </row>
    <row r="7" spans="1:29" s="113" customFormat="1" ht="15.75" thickBot="1">
      <c r="A7" s="368" t="s">
        <v>2369</v>
      </c>
      <c r="B7" s="369"/>
      <c r="C7" s="370">
        <f>'数据-取费表'!B2</f>
        <v>44442</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00" t="s">
        <v>2370</v>
      </c>
      <c r="Q7" s="3333"/>
      <c r="R7" s="710" t="s">
        <v>23</v>
      </c>
      <c r="S7" s="711">
        <f t="shared" ref="S7:S15" si="0">F7</f>
        <v>0</v>
      </c>
      <c r="T7" s="710" t="s">
        <v>23</v>
      </c>
      <c r="U7" s="711">
        <f t="shared" ref="U7:U15" si="1">H7</f>
        <v>0</v>
      </c>
      <c r="V7" s="710" t="s">
        <v>23</v>
      </c>
      <c r="W7" s="711">
        <f t="shared" ref="W7:W15" si="2">J7</f>
        <v>0</v>
      </c>
      <c r="X7" s="712"/>
      <c r="Y7" s="3300" t="s">
        <v>2370</v>
      </c>
      <c r="Z7" s="3301"/>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00" t="s">
        <v>2373</v>
      </c>
      <c r="Q8" s="3301"/>
      <c r="R8" s="710" t="s">
        <v>23</v>
      </c>
      <c r="S8" s="711">
        <f t="shared" si="0"/>
        <v>0</v>
      </c>
      <c r="T8" s="710" t="s">
        <v>23</v>
      </c>
      <c r="U8" s="711">
        <f t="shared" si="1"/>
        <v>0</v>
      </c>
      <c r="V8" s="710" t="s">
        <v>23</v>
      </c>
      <c r="W8" s="711">
        <f t="shared" si="2"/>
        <v>0</v>
      </c>
      <c r="X8" s="712"/>
      <c r="Y8" s="3300" t="s">
        <v>2373</v>
      </c>
      <c r="Z8" s="330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14" t="s">
        <v>2376</v>
      </c>
      <c r="Q9" s="1527" t="str">
        <f t="shared" ref="Q9:Q15" si="6">B9</f>
        <v>用途</v>
      </c>
      <c r="R9" s="710" t="s">
        <v>17</v>
      </c>
      <c r="S9" s="711">
        <f t="shared" si="0"/>
        <v>100</v>
      </c>
      <c r="T9" s="710" t="s">
        <v>17</v>
      </c>
      <c r="U9" s="711">
        <f t="shared" si="1"/>
        <v>100</v>
      </c>
      <c r="V9" s="710" t="s">
        <v>17</v>
      </c>
      <c r="W9" s="711">
        <f t="shared" si="2"/>
        <v>100</v>
      </c>
      <c r="X9" s="712"/>
      <c r="Y9" s="326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14"/>
      <c r="Q10" s="1527" t="str">
        <f t="shared" si="6"/>
        <v>土地使用年限（年）</v>
      </c>
      <c r="R10" s="710" t="s">
        <v>17</v>
      </c>
      <c r="S10" s="711">
        <f t="shared" si="0"/>
        <v>100</v>
      </c>
      <c r="T10" s="710" t="s">
        <v>17</v>
      </c>
      <c r="U10" s="711">
        <f t="shared" si="1"/>
        <v>100</v>
      </c>
      <c r="V10" s="710" t="s">
        <v>17</v>
      </c>
      <c r="W10" s="711">
        <f t="shared" si="2"/>
        <v>100</v>
      </c>
      <c r="X10" s="712"/>
      <c r="Y10" s="326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14"/>
      <c r="Q11" s="1527" t="str">
        <f t="shared" si="6"/>
        <v>容积率</v>
      </c>
      <c r="R11" s="710" t="s">
        <v>21</v>
      </c>
      <c r="S11" s="711" t="e">
        <f t="shared" si="0"/>
        <v>#N/A</v>
      </c>
      <c r="T11" s="710" t="s">
        <v>21</v>
      </c>
      <c r="U11" s="711" t="e">
        <f t="shared" si="1"/>
        <v>#N/A</v>
      </c>
      <c r="V11" s="710" t="s">
        <v>21</v>
      </c>
      <c r="W11" s="711" t="e">
        <f t="shared" si="2"/>
        <v>#N/A</v>
      </c>
      <c r="X11" s="712"/>
      <c r="Y11" s="3265"/>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14"/>
      <c r="Q12" s="1527">
        <f t="shared" si="6"/>
        <v>111</v>
      </c>
      <c r="R12" s="710" t="s">
        <v>21</v>
      </c>
      <c r="S12" s="711">
        <f t="shared" si="0"/>
        <v>100</v>
      </c>
      <c r="T12" s="710" t="s">
        <v>21</v>
      </c>
      <c r="U12" s="711">
        <f t="shared" si="1"/>
        <v>100</v>
      </c>
      <c r="V12" s="710" t="s">
        <v>21</v>
      </c>
      <c r="W12" s="711">
        <f t="shared" si="2"/>
        <v>100</v>
      </c>
      <c r="X12" s="712"/>
      <c r="Y12" s="3265"/>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14"/>
      <c r="Q13" s="1527">
        <f t="shared" si="6"/>
        <v>111</v>
      </c>
      <c r="R13" s="710" t="s">
        <v>21</v>
      </c>
      <c r="S13" s="711">
        <f t="shared" si="0"/>
        <v>100</v>
      </c>
      <c r="T13" s="710" t="s">
        <v>21</v>
      </c>
      <c r="U13" s="711">
        <f t="shared" si="1"/>
        <v>100</v>
      </c>
      <c r="V13" s="710" t="s">
        <v>21</v>
      </c>
      <c r="W13" s="711">
        <f t="shared" si="2"/>
        <v>100</v>
      </c>
      <c r="X13" s="712"/>
      <c r="Y13" s="3265"/>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14"/>
      <c r="Q14" s="1527">
        <f t="shared" si="6"/>
        <v>111</v>
      </c>
      <c r="R14" s="710" t="s">
        <v>21</v>
      </c>
      <c r="S14" s="711">
        <f t="shared" si="0"/>
        <v>100</v>
      </c>
      <c r="T14" s="710" t="s">
        <v>21</v>
      </c>
      <c r="U14" s="711">
        <f t="shared" si="1"/>
        <v>100</v>
      </c>
      <c r="V14" s="710" t="s">
        <v>21</v>
      </c>
      <c r="W14" s="711">
        <f t="shared" si="2"/>
        <v>100</v>
      </c>
      <c r="X14" s="712"/>
      <c r="Y14" s="3265"/>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34" t="s">
        <v>2381</v>
      </c>
      <c r="Q15" s="1536" t="str">
        <f t="shared" si="6"/>
        <v>居住社区成熟度</v>
      </c>
      <c r="R15" s="714" t="s">
        <v>21</v>
      </c>
      <c r="S15" s="715">
        <f t="shared" si="0"/>
        <v>100</v>
      </c>
      <c r="T15" s="714" t="s">
        <v>21</v>
      </c>
      <c r="U15" s="715">
        <f t="shared" si="1"/>
        <v>100</v>
      </c>
      <c r="V15" s="714" t="s">
        <v>21</v>
      </c>
      <c r="W15" s="715">
        <f t="shared" si="2"/>
        <v>100</v>
      </c>
      <c r="X15" s="1539"/>
      <c r="Y15" s="3336" t="s">
        <v>2381</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50"/>
      <c r="M16" s="2944"/>
      <c r="N16" s="2944"/>
      <c r="O16" s="2944"/>
      <c r="P16" s="3335"/>
      <c r="Q16" s="1536"/>
      <c r="R16" s="714"/>
      <c r="S16" s="715"/>
      <c r="T16" s="714"/>
      <c r="U16" s="715"/>
      <c r="V16" s="714"/>
      <c r="W16" s="715"/>
      <c r="X16" s="1539"/>
      <c r="Y16" s="3337"/>
      <c r="Z16" s="1540"/>
      <c r="AA16" s="1537">
        <v>1</v>
      </c>
      <c r="AB16" s="1537">
        <v>1</v>
      </c>
      <c r="AC16" s="1537">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5"/>
      <c r="Q17" s="1536" t="str">
        <f>B17</f>
        <v>交通便捷度</v>
      </c>
      <c r="R17" s="714" t="s">
        <v>21</v>
      </c>
      <c r="S17" s="715">
        <f>F17</f>
        <v>100</v>
      </c>
      <c r="T17" s="714" t="s">
        <v>21</v>
      </c>
      <c r="U17" s="715">
        <f>H17</f>
        <v>100</v>
      </c>
      <c r="V17" s="714" t="s">
        <v>21</v>
      </c>
      <c r="W17" s="715">
        <f>J17</f>
        <v>100</v>
      </c>
      <c r="X17" s="1539"/>
      <c r="Y17" s="3337"/>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50"/>
      <c r="M18" s="2944"/>
      <c r="N18" s="2944"/>
      <c r="O18" s="2944"/>
      <c r="P18" s="3335"/>
      <c r="Q18" s="1536"/>
      <c r="R18" s="714"/>
      <c r="S18" s="715"/>
      <c r="T18" s="714"/>
      <c r="U18" s="715"/>
      <c r="V18" s="714"/>
      <c r="W18" s="715"/>
      <c r="X18" s="1539"/>
      <c r="Y18" s="3337"/>
      <c r="Z18" s="1540"/>
      <c r="AA18" s="1537">
        <v>1</v>
      </c>
      <c r="AB18" s="1537">
        <v>1</v>
      </c>
      <c r="AC18" s="1537">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5"/>
      <c r="Q19" s="1536" t="str">
        <f>B19</f>
        <v>公共配套设施</v>
      </c>
      <c r="R19" s="714" t="s">
        <v>21</v>
      </c>
      <c r="S19" s="715">
        <f>F19</f>
        <v>100</v>
      </c>
      <c r="T19" s="714" t="s">
        <v>21</v>
      </c>
      <c r="U19" s="715">
        <f>H19</f>
        <v>100</v>
      </c>
      <c r="V19" s="714" t="s">
        <v>21</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50"/>
      <c r="M20" s="2944"/>
      <c r="N20" s="2944"/>
      <c r="O20" s="2944"/>
      <c r="P20" s="3335"/>
      <c r="Q20" s="1536"/>
      <c r="R20" s="714"/>
      <c r="S20" s="715"/>
      <c r="T20" s="714"/>
      <c r="U20" s="715"/>
      <c r="V20" s="714"/>
      <c r="W20" s="715"/>
      <c r="X20" s="1539"/>
      <c r="Y20" s="3337"/>
      <c r="Z20" s="1540"/>
      <c r="AA20" s="1537">
        <v>1</v>
      </c>
      <c r="AB20" s="1537">
        <v>1</v>
      </c>
      <c r="AC20" s="1537">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5"/>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50"/>
      <c r="M22" s="2944"/>
      <c r="N22" s="2944"/>
      <c r="O22" s="2944"/>
      <c r="P22" s="3335"/>
      <c r="Q22" s="1536"/>
      <c r="R22" s="714"/>
      <c r="S22" s="715"/>
      <c r="T22" s="714"/>
      <c r="U22" s="715"/>
      <c r="V22" s="714"/>
      <c r="W22" s="715"/>
      <c r="X22" s="1539"/>
      <c r="Y22" s="3337"/>
      <c r="Z22" s="1540"/>
      <c r="AA22" s="1537">
        <v>1</v>
      </c>
      <c r="AB22" s="1537">
        <v>1</v>
      </c>
      <c r="AC22" s="1537">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5"/>
      <c r="Q23" s="1536" t="str">
        <f>B23</f>
        <v>自然及人文环境</v>
      </c>
      <c r="R23" s="714" t="s">
        <v>21</v>
      </c>
      <c r="S23" s="715">
        <f>F23</f>
        <v>100</v>
      </c>
      <c r="T23" s="714" t="s">
        <v>21</v>
      </c>
      <c r="U23" s="715">
        <f>H23</f>
        <v>100</v>
      </c>
      <c r="V23" s="714" t="s">
        <v>21</v>
      </c>
      <c r="W23" s="715">
        <f>J23</f>
        <v>100</v>
      </c>
      <c r="X23" s="1539"/>
      <c r="Y23" s="3337"/>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50"/>
      <c r="M24" s="2944"/>
      <c r="N24" s="2944"/>
      <c r="O24" s="2944"/>
      <c r="P24" s="3335"/>
      <c r="Q24" s="1536"/>
      <c r="R24" s="714"/>
      <c r="S24" s="715"/>
      <c r="T24" s="714"/>
      <c r="U24" s="715"/>
      <c r="V24" s="714"/>
      <c r="W24" s="715"/>
      <c r="X24" s="1539"/>
      <c r="Y24" s="3337"/>
      <c r="Z24" s="1540"/>
      <c r="AA24" s="1537">
        <v>1</v>
      </c>
      <c r="AB24" s="1537">
        <v>1</v>
      </c>
      <c r="AC24" s="1537">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3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35"/>
      <c r="Q26" s="1536" t="str">
        <f t="shared" si="11"/>
        <v>朝向</v>
      </c>
      <c r="R26" s="714" t="s">
        <v>21</v>
      </c>
      <c r="S26" s="715">
        <f t="shared" si="12"/>
        <v>100</v>
      </c>
      <c r="T26" s="714" t="s">
        <v>21</v>
      </c>
      <c r="U26" s="715">
        <f t="shared" si="13"/>
        <v>100</v>
      </c>
      <c r="V26" s="714" t="s">
        <v>21</v>
      </c>
      <c r="W26" s="715">
        <f t="shared" si="14"/>
        <v>100</v>
      </c>
      <c r="X26" s="1539"/>
      <c r="Y26" s="333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35"/>
      <c r="Q27" s="1527">
        <f t="shared" si="11"/>
        <v>111</v>
      </c>
      <c r="R27" s="710" t="s">
        <v>21</v>
      </c>
      <c r="S27" s="711">
        <f t="shared" si="12"/>
        <v>100</v>
      </c>
      <c r="T27" s="710" t="s">
        <v>21</v>
      </c>
      <c r="U27" s="711">
        <f t="shared" si="13"/>
        <v>100</v>
      </c>
      <c r="V27" s="710" t="s">
        <v>21</v>
      </c>
      <c r="W27" s="711">
        <f t="shared" si="14"/>
        <v>100</v>
      </c>
      <c r="X27" s="712"/>
      <c r="Y27" s="333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35"/>
      <c r="Q28" s="1536">
        <f t="shared" si="11"/>
        <v>111</v>
      </c>
      <c r="R28" s="714" t="s">
        <v>21</v>
      </c>
      <c r="S28" s="715">
        <f t="shared" si="12"/>
        <v>100</v>
      </c>
      <c r="T28" s="714" t="s">
        <v>21</v>
      </c>
      <c r="U28" s="715">
        <f t="shared" si="13"/>
        <v>100</v>
      </c>
      <c r="V28" s="714" t="s">
        <v>21</v>
      </c>
      <c r="W28" s="715">
        <f t="shared" si="14"/>
        <v>100</v>
      </c>
      <c r="X28" s="1539"/>
      <c r="Y28" s="333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35"/>
      <c r="Q29" s="1536">
        <f t="shared" si="11"/>
        <v>111</v>
      </c>
      <c r="R29" s="714" t="s">
        <v>21</v>
      </c>
      <c r="S29" s="715">
        <f t="shared" si="12"/>
        <v>100</v>
      </c>
      <c r="T29" s="714" t="s">
        <v>21</v>
      </c>
      <c r="U29" s="715">
        <f t="shared" si="13"/>
        <v>100</v>
      </c>
      <c r="V29" s="714" t="s">
        <v>21</v>
      </c>
      <c r="W29" s="715">
        <f t="shared" si="14"/>
        <v>100</v>
      </c>
      <c r="X29" s="1539"/>
      <c r="Y29" s="333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35"/>
      <c r="Q30" s="1536">
        <f t="shared" si="11"/>
        <v>111</v>
      </c>
      <c r="R30" s="714" t="s">
        <v>21</v>
      </c>
      <c r="S30" s="715">
        <f t="shared" si="12"/>
        <v>100</v>
      </c>
      <c r="T30" s="714" t="s">
        <v>21</v>
      </c>
      <c r="U30" s="715">
        <f t="shared" si="13"/>
        <v>100</v>
      </c>
      <c r="V30" s="714" t="s">
        <v>21</v>
      </c>
      <c r="W30" s="715">
        <f t="shared" si="14"/>
        <v>100</v>
      </c>
      <c r="X30" s="1539"/>
      <c r="Y30" s="333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35"/>
      <c r="Q31" s="1536">
        <f t="shared" si="11"/>
        <v>111</v>
      </c>
      <c r="R31" s="714" t="s">
        <v>21</v>
      </c>
      <c r="S31" s="715">
        <f t="shared" si="12"/>
        <v>100</v>
      </c>
      <c r="T31" s="714" t="s">
        <v>21</v>
      </c>
      <c r="U31" s="715">
        <f t="shared" si="13"/>
        <v>100</v>
      </c>
      <c r="V31" s="714" t="s">
        <v>21</v>
      </c>
      <c r="W31" s="715">
        <f t="shared" si="14"/>
        <v>100</v>
      </c>
      <c r="X31" s="1539"/>
      <c r="Y31" s="3337"/>
      <c r="Z31" s="1540">
        <f t="shared" si="18"/>
        <v>111</v>
      </c>
      <c r="AA31" s="1537">
        <f t="shared" si="15"/>
        <v>1</v>
      </c>
      <c r="AB31" s="1537">
        <f t="shared" si="16"/>
        <v>1</v>
      </c>
      <c r="AC31" s="1537">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38" t="s">
        <v>2386</v>
      </c>
      <c r="Q32" s="1536" t="str">
        <f t="shared" si="11"/>
        <v>建筑类型</v>
      </c>
      <c r="R32" s="714" t="s">
        <v>21</v>
      </c>
      <c r="S32" s="715">
        <f t="shared" si="12"/>
        <v>100</v>
      </c>
      <c r="T32" s="714" t="s">
        <v>21</v>
      </c>
      <c r="U32" s="715">
        <f t="shared" si="13"/>
        <v>100</v>
      </c>
      <c r="V32" s="714" t="s">
        <v>21</v>
      </c>
      <c r="W32" s="715">
        <f t="shared" si="14"/>
        <v>100</v>
      </c>
      <c r="X32" s="1539"/>
      <c r="Y32" s="334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39"/>
      <c r="Q33" s="716" t="str">
        <f t="shared" si="11"/>
        <v>项目建筑规模</v>
      </c>
      <c r="R33" s="717" t="s">
        <v>21</v>
      </c>
      <c r="S33" s="718" t="e">
        <f t="shared" si="12"/>
        <v>#N/A</v>
      </c>
      <c r="T33" s="717" t="s">
        <v>21</v>
      </c>
      <c r="U33" s="718" t="e">
        <f t="shared" si="13"/>
        <v>#N/A</v>
      </c>
      <c r="V33" s="717" t="s">
        <v>21</v>
      </c>
      <c r="W33" s="718" t="e">
        <f t="shared" si="14"/>
        <v>#N/A</v>
      </c>
      <c r="X33" s="719"/>
      <c r="Y33" s="3341"/>
      <c r="Z33" s="720" t="str">
        <f t="shared" si="18"/>
        <v>项目建筑规模</v>
      </c>
      <c r="AA33" s="1537" t="e">
        <f t="shared" si="15"/>
        <v>#N/A</v>
      </c>
      <c r="AB33" s="1537" t="e">
        <f t="shared" si="16"/>
        <v>#N/A</v>
      </c>
      <c r="AC33" s="1537"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39"/>
      <c r="Q34" s="1536" t="str">
        <f t="shared" si="11"/>
        <v>建筑结构</v>
      </c>
      <c r="R34" s="714" t="s">
        <v>21</v>
      </c>
      <c r="S34" s="715">
        <f t="shared" si="12"/>
        <v>100</v>
      </c>
      <c r="T34" s="714" t="s">
        <v>21</v>
      </c>
      <c r="U34" s="715">
        <f t="shared" si="13"/>
        <v>100</v>
      </c>
      <c r="V34" s="714" t="s">
        <v>21</v>
      </c>
      <c r="W34" s="715">
        <f t="shared" si="14"/>
        <v>100</v>
      </c>
      <c r="X34" s="1539"/>
      <c r="Y34" s="3341"/>
      <c r="Z34" s="1540" t="str">
        <f t="shared" si="18"/>
        <v>建筑结构</v>
      </c>
      <c r="AA34" s="1537">
        <f t="shared" si="15"/>
        <v>1</v>
      </c>
      <c r="AB34" s="1537">
        <f t="shared" si="16"/>
        <v>1</v>
      </c>
      <c r="AC34" s="1537">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39"/>
      <c r="Q35" s="1536" t="str">
        <f t="shared" si="11"/>
        <v>建筑品质</v>
      </c>
      <c r="R35" s="714" t="s">
        <v>21</v>
      </c>
      <c r="S35" s="715">
        <f t="shared" si="12"/>
        <v>100</v>
      </c>
      <c r="T35" s="714" t="s">
        <v>21</v>
      </c>
      <c r="U35" s="715">
        <f t="shared" si="13"/>
        <v>100</v>
      </c>
      <c r="V35" s="714" t="s">
        <v>21</v>
      </c>
      <c r="W35" s="715">
        <f t="shared" si="14"/>
        <v>100</v>
      </c>
      <c r="X35" s="1539"/>
      <c r="Y35" s="3341"/>
      <c r="Z35" s="1540" t="str">
        <f t="shared" si="18"/>
        <v>建筑品质</v>
      </c>
      <c r="AA35" s="1537">
        <f t="shared" si="15"/>
        <v>1</v>
      </c>
      <c r="AB35" s="1537">
        <f t="shared" si="16"/>
        <v>1</v>
      </c>
      <c r="AC35" s="1537">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39"/>
      <c r="Q36" s="1536" t="str">
        <f t="shared" si="11"/>
        <v>公共部分装修</v>
      </c>
      <c r="R36" s="714" t="s">
        <v>21</v>
      </c>
      <c r="S36" s="715">
        <f t="shared" si="12"/>
        <v>100</v>
      </c>
      <c r="T36" s="714" t="s">
        <v>21</v>
      </c>
      <c r="U36" s="715">
        <f t="shared" si="13"/>
        <v>100</v>
      </c>
      <c r="V36" s="714" t="s">
        <v>21</v>
      </c>
      <c r="W36" s="715">
        <f t="shared" si="14"/>
        <v>100</v>
      </c>
      <c r="X36" s="1539"/>
      <c r="Y36" s="334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39"/>
      <c r="Q37" s="1527" t="str">
        <f t="shared" si="11"/>
        <v>成新度</v>
      </c>
      <c r="R37" s="710" t="s">
        <v>21</v>
      </c>
      <c r="S37" s="711" t="e">
        <f t="shared" si="12"/>
        <v>#N/A</v>
      </c>
      <c r="T37" s="710" t="s">
        <v>21</v>
      </c>
      <c r="U37" s="711" t="e">
        <f t="shared" si="13"/>
        <v>#N/A</v>
      </c>
      <c r="V37" s="710" t="s">
        <v>21</v>
      </c>
      <c r="W37" s="711" t="e">
        <f t="shared" si="14"/>
        <v>#N/A</v>
      </c>
      <c r="X37" s="712"/>
      <c r="Y37" s="3341"/>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39" t="s">
        <v>2386</v>
      </c>
      <c r="Q38" s="1536" t="str">
        <f t="shared" si="11"/>
        <v>物业管理</v>
      </c>
      <c r="R38" s="714" t="s">
        <v>21</v>
      </c>
      <c r="S38" s="715">
        <f t="shared" si="12"/>
        <v>100</v>
      </c>
      <c r="T38" s="714" t="s">
        <v>21</v>
      </c>
      <c r="U38" s="715">
        <f t="shared" si="13"/>
        <v>100</v>
      </c>
      <c r="V38" s="714" t="s">
        <v>21</v>
      </c>
      <c r="W38" s="715">
        <f t="shared" si="14"/>
        <v>100</v>
      </c>
      <c r="X38" s="1539"/>
      <c r="Y38" s="3341" t="s">
        <v>2386</v>
      </c>
      <c r="Z38" s="1540" t="str">
        <f t="shared" si="18"/>
        <v>物业管理</v>
      </c>
      <c r="AA38" s="1537">
        <f t="shared" si="15"/>
        <v>1</v>
      </c>
      <c r="AB38" s="1537">
        <f t="shared" si="16"/>
        <v>1</v>
      </c>
      <c r="AC38" s="1537">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39"/>
      <c r="Q39" s="1536" t="str">
        <f t="shared" si="11"/>
        <v>市政基础设施</v>
      </c>
      <c r="R39" s="714" t="s">
        <v>21</v>
      </c>
      <c r="S39" s="715">
        <f t="shared" si="12"/>
        <v>100</v>
      </c>
      <c r="T39" s="714" t="s">
        <v>21</v>
      </c>
      <c r="U39" s="715">
        <f t="shared" si="13"/>
        <v>100</v>
      </c>
      <c r="V39" s="714" t="s">
        <v>21</v>
      </c>
      <c r="W39" s="715">
        <f t="shared" si="14"/>
        <v>100</v>
      </c>
      <c r="X39" s="1539"/>
      <c r="Y39" s="3341"/>
      <c r="Z39" s="1540" t="str">
        <f t="shared" si="18"/>
        <v>市政基础设施</v>
      </c>
      <c r="AA39" s="1537">
        <f t="shared" si="15"/>
        <v>1</v>
      </c>
      <c r="AB39" s="1537">
        <f t="shared" si="16"/>
        <v>1</v>
      </c>
      <c r="AC39" s="1537">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39"/>
      <c r="Q40" s="1536" t="str">
        <f t="shared" si="11"/>
        <v>房型</v>
      </c>
      <c r="R40" s="714" t="s">
        <v>21</v>
      </c>
      <c r="S40" s="715">
        <f t="shared" si="12"/>
        <v>100</v>
      </c>
      <c r="T40" s="714" t="s">
        <v>21</v>
      </c>
      <c r="U40" s="715">
        <f t="shared" si="13"/>
        <v>100</v>
      </c>
      <c r="V40" s="714" t="s">
        <v>21</v>
      </c>
      <c r="W40" s="715">
        <f t="shared" si="14"/>
        <v>100</v>
      </c>
      <c r="X40" s="1539"/>
      <c r="Y40" s="334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39"/>
      <c r="Q41" s="716" t="str">
        <f t="shared" si="11"/>
        <v>单套/主力户型建筑面积</v>
      </c>
      <c r="R41" s="717" t="s">
        <v>21</v>
      </c>
      <c r="S41" s="718">
        <f t="shared" si="12"/>
        <v>100</v>
      </c>
      <c r="T41" s="717" t="s">
        <v>21</v>
      </c>
      <c r="U41" s="718">
        <f t="shared" si="13"/>
        <v>100</v>
      </c>
      <c r="V41" s="717" t="s">
        <v>21</v>
      </c>
      <c r="W41" s="718">
        <f t="shared" si="14"/>
        <v>100</v>
      </c>
      <c r="X41" s="719"/>
      <c r="Y41" s="3341"/>
      <c r="Z41" s="720" t="str">
        <f t="shared" si="18"/>
        <v>单套/主力户型建筑面积</v>
      </c>
      <c r="AA41" s="1537">
        <f t="shared" si="15"/>
        <v>1</v>
      </c>
      <c r="AB41" s="1537">
        <f t="shared" si="16"/>
        <v>1</v>
      </c>
      <c r="AC41" s="1537">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39"/>
      <c r="Q42" s="1536" t="str">
        <f t="shared" si="11"/>
        <v>内部装修</v>
      </c>
      <c r="R42" s="714" t="s">
        <v>21</v>
      </c>
      <c r="S42" s="715">
        <f t="shared" si="12"/>
        <v>100</v>
      </c>
      <c r="T42" s="714" t="s">
        <v>21</v>
      </c>
      <c r="U42" s="715">
        <f t="shared" si="13"/>
        <v>100</v>
      </c>
      <c r="V42" s="714" t="s">
        <v>21</v>
      </c>
      <c r="W42" s="715">
        <f t="shared" si="14"/>
        <v>100</v>
      </c>
      <c r="X42" s="1539"/>
      <c r="Y42" s="3341"/>
      <c r="Z42" s="1540" t="str">
        <f t="shared" si="18"/>
        <v>内部装修</v>
      </c>
      <c r="AA42" s="1537">
        <f t="shared" si="15"/>
        <v>1</v>
      </c>
      <c r="AB42" s="1537">
        <f t="shared" si="16"/>
        <v>1</v>
      </c>
      <c r="AC42" s="1537">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39"/>
      <c r="Q43" s="1536" t="str">
        <f t="shared" si="11"/>
        <v>内部装修维护情况</v>
      </c>
      <c r="R43" s="714" t="s">
        <v>21</v>
      </c>
      <c r="S43" s="715">
        <f t="shared" si="12"/>
        <v>100</v>
      </c>
      <c r="T43" s="714" t="s">
        <v>21</v>
      </c>
      <c r="U43" s="715">
        <f t="shared" si="13"/>
        <v>100</v>
      </c>
      <c r="V43" s="714" t="s">
        <v>21</v>
      </c>
      <c r="W43" s="715">
        <f t="shared" si="14"/>
        <v>100</v>
      </c>
      <c r="X43" s="1539"/>
      <c r="Y43" s="334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39"/>
      <c r="Q44" s="1527">
        <f t="shared" si="11"/>
        <v>111</v>
      </c>
      <c r="R44" s="710" t="s">
        <v>21</v>
      </c>
      <c r="S44" s="711">
        <f t="shared" si="12"/>
        <v>100</v>
      </c>
      <c r="T44" s="710" t="s">
        <v>21</v>
      </c>
      <c r="U44" s="711">
        <f t="shared" si="13"/>
        <v>100</v>
      </c>
      <c r="V44" s="710" t="s">
        <v>21</v>
      </c>
      <c r="W44" s="711">
        <f t="shared" si="14"/>
        <v>100</v>
      </c>
      <c r="X44" s="712"/>
      <c r="Y44" s="334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39"/>
      <c r="Q45" s="1536">
        <f t="shared" si="11"/>
        <v>111</v>
      </c>
      <c r="R45" s="714" t="s">
        <v>21</v>
      </c>
      <c r="S45" s="715">
        <f t="shared" si="12"/>
        <v>100</v>
      </c>
      <c r="T45" s="714" t="s">
        <v>21</v>
      </c>
      <c r="U45" s="715">
        <f t="shared" si="13"/>
        <v>100</v>
      </c>
      <c r="V45" s="714" t="s">
        <v>21</v>
      </c>
      <c r="W45" s="715">
        <f t="shared" si="14"/>
        <v>100</v>
      </c>
      <c r="X45" s="1539"/>
      <c r="Y45" s="3341"/>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40"/>
      <c r="Q46" s="1536">
        <f t="shared" si="11"/>
        <v>111</v>
      </c>
      <c r="R46" s="714" t="s">
        <v>20</v>
      </c>
      <c r="S46" s="715">
        <f t="shared" si="12"/>
        <v>100</v>
      </c>
      <c r="T46" s="714" t="s">
        <v>20</v>
      </c>
      <c r="U46" s="715">
        <f t="shared" si="13"/>
        <v>100</v>
      </c>
      <c r="V46" s="714" t="s">
        <v>20</v>
      </c>
      <c r="W46" s="715">
        <f t="shared" si="14"/>
        <v>100</v>
      </c>
      <c r="X46" s="1539"/>
      <c r="Y46" s="334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099"/>
      <c r="L47" s="2952"/>
      <c r="M47" s="2953"/>
      <c r="N47" s="2944"/>
      <c r="O47" s="2953"/>
      <c r="P47" s="3343" t="str">
        <f>A47</f>
        <v>成交单价（元/平方米）</v>
      </c>
      <c r="Q47" s="3343"/>
      <c r="R47" s="3344">
        <f>E47</f>
        <v>0</v>
      </c>
      <c r="S47" s="3344"/>
      <c r="T47" s="3344">
        <f>G47</f>
        <v>0</v>
      </c>
      <c r="U47" s="3344"/>
      <c r="V47" s="3344">
        <f>I47</f>
        <v>0</v>
      </c>
      <c r="W47" s="3344"/>
      <c r="X47" s="699"/>
      <c r="Y47" s="721"/>
      <c r="Z47" s="699"/>
      <c r="AA47" s="699"/>
      <c r="AB47" s="699"/>
      <c r="AC47" s="699"/>
    </row>
    <row r="48" spans="1:29" ht="15.75" thickBot="1">
      <c r="A48" s="445" t="s">
        <v>2399</v>
      </c>
      <c r="B48" s="446"/>
      <c r="C48" s="1322" t="e">
        <f>R49</f>
        <v>#DIV/0!</v>
      </c>
      <c r="D48" s="2537" t="s">
        <v>2878</v>
      </c>
      <c r="E48" s="1323" t="e">
        <f>R48</f>
        <v>#DIV/0!</v>
      </c>
      <c r="F48" s="2538"/>
      <c r="G48" s="1322" t="e">
        <f>T48</f>
        <v>#DIV/0!</v>
      </c>
      <c r="H48" s="2538"/>
      <c r="I48" s="1323" t="e">
        <f>V48</f>
        <v>#DIV/0!</v>
      </c>
      <c r="J48" s="2538"/>
      <c r="K48" s="2539">
        <f>F48+H48+J48</f>
        <v>0</v>
      </c>
      <c r="L48" s="2952"/>
      <c r="M48" s="2953"/>
      <c r="N48" s="2953"/>
      <c r="O48" s="2953"/>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52"/>
      <c r="M49" s="2953"/>
      <c r="N49" s="2953"/>
      <c r="O49" s="2953"/>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3" t="s">
        <v>2463</v>
      </c>
      <c r="C1" s="1406" t="s">
        <v>2351</v>
      </c>
      <c r="D1" s="1393"/>
      <c r="E1" s="2542"/>
      <c r="F1" s="2064"/>
      <c r="G1" s="1403" t="s">
        <v>2464</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2399.3100000000004</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18" t="s">
        <v>2467</v>
      </c>
      <c r="D4" s="3319"/>
      <c r="E4" s="3320" t="s">
        <v>2468</v>
      </c>
      <c r="F4" s="3321"/>
      <c r="G4" s="3318" t="s">
        <v>2469</v>
      </c>
      <c r="H4" s="3319"/>
      <c r="I4" s="3318" t="s">
        <v>2470</v>
      </c>
      <c r="J4" s="3319"/>
      <c r="K4" s="567" t="s">
        <v>2471</v>
      </c>
      <c r="L4" s="2943"/>
      <c r="M4" s="2944"/>
      <c r="N4" s="2944"/>
      <c r="O4" s="2944"/>
      <c r="P4" s="3374" t="s">
        <v>2472</v>
      </c>
      <c r="Q4" s="3375"/>
      <c r="R4" s="3372" t="s">
        <v>2468</v>
      </c>
      <c r="S4" s="3373"/>
      <c r="T4" s="3372" t="s">
        <v>2469</v>
      </c>
      <c r="U4" s="3373"/>
      <c r="V4" s="3331" t="s">
        <v>2470</v>
      </c>
      <c r="W4" s="3331"/>
      <c r="X4" s="1539"/>
      <c r="Y4" s="3372" t="s">
        <v>2472</v>
      </c>
      <c r="Z4" s="3373"/>
      <c r="AA4" s="3371" t="s">
        <v>2468</v>
      </c>
      <c r="AB4" s="3331" t="s">
        <v>2469</v>
      </c>
      <c r="AC4" s="3371" t="s">
        <v>2470</v>
      </c>
    </row>
    <row r="5" spans="1:29" ht="15">
      <c r="A5" s="364"/>
      <c r="B5" s="365"/>
      <c r="C5" s="3308" t="s">
        <v>2363</v>
      </c>
      <c r="D5" s="3309"/>
      <c r="E5" s="3306" t="s">
        <v>2364</v>
      </c>
      <c r="F5" s="3307"/>
      <c r="G5" s="3308" t="s">
        <v>2365</v>
      </c>
      <c r="H5" s="3309"/>
      <c r="I5" s="3308" t="s">
        <v>2366</v>
      </c>
      <c r="J5" s="3309"/>
      <c r="K5" s="567"/>
      <c r="L5" s="2943"/>
      <c r="M5" s="2944"/>
      <c r="N5" s="2944"/>
      <c r="O5" s="2944"/>
      <c r="P5" s="3376"/>
      <c r="Q5" s="3325"/>
      <c r="R5" s="3304"/>
      <c r="S5" s="3305"/>
      <c r="T5" s="3304"/>
      <c r="U5" s="3305"/>
      <c r="V5" s="3331"/>
      <c r="W5" s="3331"/>
      <c r="X5" s="1539"/>
      <c r="Y5" s="3304"/>
      <c r="Z5" s="3305"/>
      <c r="AA5" s="3298"/>
      <c r="AB5" s="3331"/>
      <c r="AC5" s="3298"/>
    </row>
    <row r="6" spans="1:29" ht="15.75" thickBot="1">
      <c r="A6" s="366"/>
      <c r="B6" s="367"/>
      <c r="C6" s="3310" t="s">
        <v>2367</v>
      </c>
      <c r="D6" s="3311"/>
      <c r="E6" s="3312" t="s">
        <v>2367</v>
      </c>
      <c r="F6" s="3313"/>
      <c r="G6" s="3310" t="s">
        <v>2367</v>
      </c>
      <c r="H6" s="3311"/>
      <c r="I6" s="3310" t="s">
        <v>2367</v>
      </c>
      <c r="J6" s="3311"/>
      <c r="K6" s="567" t="s">
        <v>2368</v>
      </c>
      <c r="L6" s="2943"/>
      <c r="M6" s="2944"/>
      <c r="N6" s="2944"/>
      <c r="O6" s="2944"/>
      <c r="P6" s="3377"/>
      <c r="Q6" s="3327"/>
      <c r="R6" s="3304"/>
      <c r="S6" s="3305"/>
      <c r="T6" s="3328"/>
      <c r="U6" s="3329"/>
      <c r="V6" s="3331"/>
      <c r="W6" s="3331"/>
      <c r="X6" s="1539"/>
      <c r="Y6" s="3328"/>
      <c r="Z6" s="3329"/>
      <c r="AA6" s="3299"/>
      <c r="AB6" s="3331"/>
      <c r="AC6" s="3299"/>
    </row>
    <row r="7" spans="1:29" s="113" customFormat="1" ht="15.75" thickBot="1">
      <c r="A7" s="368" t="s">
        <v>2369</v>
      </c>
      <c r="B7" s="369"/>
      <c r="C7" s="370">
        <f>'数据-取费表'!B2</f>
        <v>44442</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0" t="s">
        <v>2370</v>
      </c>
      <c r="Q7" s="3333"/>
      <c r="R7" s="710" t="s">
        <v>17</v>
      </c>
      <c r="S7" s="711">
        <f t="shared" ref="S7:S15" si="0">F7</f>
        <v>0</v>
      </c>
      <c r="T7" s="710" t="s">
        <v>17</v>
      </c>
      <c r="U7" s="711">
        <f t="shared" ref="U7:U15" si="1">H7</f>
        <v>0</v>
      </c>
      <c r="V7" s="710" t="s">
        <v>17</v>
      </c>
      <c r="W7" s="711">
        <f t="shared" ref="W7:W15" si="2">J7</f>
        <v>0</v>
      </c>
      <c r="X7" s="712"/>
      <c r="Y7" s="3300" t="s">
        <v>2370</v>
      </c>
      <c r="Z7" s="330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0" t="s">
        <v>2373</v>
      </c>
      <c r="Q8" s="3301"/>
      <c r="R8" s="710" t="s">
        <v>17</v>
      </c>
      <c r="S8" s="711">
        <f t="shared" si="0"/>
        <v>0</v>
      </c>
      <c r="T8" s="710" t="s">
        <v>17</v>
      </c>
      <c r="U8" s="711">
        <f t="shared" si="1"/>
        <v>0</v>
      </c>
      <c r="V8" s="710" t="s">
        <v>17</v>
      </c>
      <c r="W8" s="711">
        <f t="shared" si="2"/>
        <v>0</v>
      </c>
      <c r="X8" s="712"/>
      <c r="Y8" s="3300" t="s">
        <v>2373</v>
      </c>
      <c r="Z8" s="330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14" t="s">
        <v>2376</v>
      </c>
      <c r="Q9" s="1527" t="str">
        <f t="shared" ref="Q9:Q15" si="6">B9</f>
        <v>用途</v>
      </c>
      <c r="R9" s="710" t="s">
        <v>17</v>
      </c>
      <c r="S9" s="711">
        <f t="shared" si="0"/>
        <v>100</v>
      </c>
      <c r="T9" s="710" t="s">
        <v>17</v>
      </c>
      <c r="U9" s="711">
        <f t="shared" si="1"/>
        <v>100</v>
      </c>
      <c r="V9" s="710" t="s">
        <v>17</v>
      </c>
      <c r="W9" s="711">
        <f t="shared" si="2"/>
        <v>100</v>
      </c>
      <c r="X9" s="712"/>
      <c r="Y9" s="326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14"/>
      <c r="Q10" s="1527" t="str">
        <f t="shared" si="6"/>
        <v>土地使用年限（年）</v>
      </c>
      <c r="R10" s="710" t="s">
        <v>17</v>
      </c>
      <c r="S10" s="711">
        <f t="shared" si="0"/>
        <v>100</v>
      </c>
      <c r="T10" s="710" t="s">
        <v>17</v>
      </c>
      <c r="U10" s="711">
        <f t="shared" si="1"/>
        <v>100</v>
      </c>
      <c r="V10" s="710" t="s">
        <v>17</v>
      </c>
      <c r="W10" s="711">
        <f t="shared" si="2"/>
        <v>100</v>
      </c>
      <c r="X10" s="712"/>
      <c r="Y10" s="326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14"/>
      <c r="Q11" s="1527" t="str">
        <f t="shared" si="6"/>
        <v>容积率</v>
      </c>
      <c r="R11" s="710" t="s">
        <v>17</v>
      </c>
      <c r="S11" s="711" t="e">
        <f t="shared" si="0"/>
        <v>#N/A</v>
      </c>
      <c r="T11" s="710" t="s">
        <v>17</v>
      </c>
      <c r="U11" s="711" t="e">
        <f t="shared" si="1"/>
        <v>#N/A</v>
      </c>
      <c r="V11" s="710" t="s">
        <v>17</v>
      </c>
      <c r="W11" s="711" t="e">
        <f t="shared" si="2"/>
        <v>#N/A</v>
      </c>
      <c r="X11" s="712"/>
      <c r="Y11" s="3265"/>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14"/>
      <c r="Q12" s="1527">
        <f t="shared" si="6"/>
        <v>111</v>
      </c>
      <c r="R12" s="710" t="s">
        <v>17</v>
      </c>
      <c r="S12" s="711">
        <f t="shared" si="0"/>
        <v>100</v>
      </c>
      <c r="T12" s="710" t="s">
        <v>17</v>
      </c>
      <c r="U12" s="711">
        <f t="shared" si="1"/>
        <v>100</v>
      </c>
      <c r="V12" s="710" t="s">
        <v>17</v>
      </c>
      <c r="W12" s="711">
        <f t="shared" si="2"/>
        <v>100</v>
      </c>
      <c r="X12" s="712"/>
      <c r="Y12" s="3265"/>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14"/>
      <c r="Q13" s="1527">
        <f t="shared" si="6"/>
        <v>111</v>
      </c>
      <c r="R13" s="710" t="s">
        <v>17</v>
      </c>
      <c r="S13" s="711">
        <f t="shared" si="0"/>
        <v>100</v>
      </c>
      <c r="T13" s="710" t="s">
        <v>17</v>
      </c>
      <c r="U13" s="711">
        <f t="shared" si="1"/>
        <v>100</v>
      </c>
      <c r="V13" s="710" t="s">
        <v>17</v>
      </c>
      <c r="W13" s="711">
        <f t="shared" si="2"/>
        <v>100</v>
      </c>
      <c r="X13" s="712"/>
      <c r="Y13" s="3265"/>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14"/>
      <c r="Q14" s="1527">
        <f t="shared" si="6"/>
        <v>111</v>
      </c>
      <c r="R14" s="710" t="s">
        <v>17</v>
      </c>
      <c r="S14" s="711">
        <f t="shared" si="0"/>
        <v>100</v>
      </c>
      <c r="T14" s="710" t="s">
        <v>17</v>
      </c>
      <c r="U14" s="711">
        <f t="shared" si="1"/>
        <v>100</v>
      </c>
      <c r="V14" s="710" t="s">
        <v>17</v>
      </c>
      <c r="W14" s="711">
        <f t="shared" si="2"/>
        <v>100</v>
      </c>
      <c r="X14" s="712"/>
      <c r="Y14" s="3265"/>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34" t="s">
        <v>2381</v>
      </c>
      <c r="Q15" s="1536" t="str">
        <f t="shared" si="6"/>
        <v>商业繁华度</v>
      </c>
      <c r="R15" s="714" t="s">
        <v>17</v>
      </c>
      <c r="S15" s="715">
        <f t="shared" si="0"/>
        <v>100</v>
      </c>
      <c r="T15" s="714" t="s">
        <v>17</v>
      </c>
      <c r="U15" s="715">
        <f t="shared" si="1"/>
        <v>100</v>
      </c>
      <c r="V15" s="714" t="s">
        <v>17</v>
      </c>
      <c r="W15" s="715">
        <f t="shared" si="2"/>
        <v>100</v>
      </c>
      <c r="X15" s="1539"/>
      <c r="Y15" s="333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35"/>
      <c r="Q16" s="1536"/>
      <c r="R16" s="714"/>
      <c r="S16" s="715"/>
      <c r="T16" s="714"/>
      <c r="U16" s="715"/>
      <c r="V16" s="714"/>
      <c r="W16" s="715"/>
      <c r="X16" s="1539"/>
      <c r="Y16" s="3337"/>
      <c r="Z16" s="1540"/>
      <c r="AA16" s="1537">
        <v>1</v>
      </c>
      <c r="AB16" s="1537">
        <v>1</v>
      </c>
      <c r="AC16" s="1537">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35"/>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35"/>
      <c r="Q18" s="1536"/>
      <c r="R18" s="714"/>
      <c r="S18" s="715"/>
      <c r="T18" s="714"/>
      <c r="U18" s="715"/>
      <c r="V18" s="714"/>
      <c r="W18" s="715"/>
      <c r="X18" s="1539"/>
      <c r="Y18" s="3337"/>
      <c r="Z18" s="1540"/>
      <c r="AA18" s="1537">
        <v>1</v>
      </c>
      <c r="AB18" s="1537">
        <v>1</v>
      </c>
      <c r="AC18" s="1537">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35"/>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35"/>
      <c r="Q20" s="1536"/>
      <c r="R20" s="714"/>
      <c r="S20" s="715"/>
      <c r="T20" s="714"/>
      <c r="U20" s="715"/>
      <c r="V20" s="714"/>
      <c r="W20" s="715"/>
      <c r="X20" s="1539"/>
      <c r="Y20" s="3337"/>
      <c r="Z20" s="1540"/>
      <c r="AA20" s="1537">
        <v>1</v>
      </c>
      <c r="AB20" s="1537">
        <v>1</v>
      </c>
      <c r="AC20" s="1537">
        <v>1</v>
      </c>
    </row>
    <row r="21" spans="1:29" ht="28.5">
      <c r="A21" s="387"/>
      <c r="B21" s="1293"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35"/>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35"/>
      <c r="Q22" s="1536"/>
      <c r="R22" s="714"/>
      <c r="S22" s="715"/>
      <c r="T22" s="714"/>
      <c r="U22" s="715"/>
      <c r="V22" s="714"/>
      <c r="W22" s="715"/>
      <c r="X22" s="1539"/>
      <c r="Y22" s="3337"/>
      <c r="Z22" s="1540"/>
      <c r="AA22" s="1537">
        <v>1</v>
      </c>
      <c r="AB22" s="1537">
        <v>1</v>
      </c>
      <c r="AC22" s="1537">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35"/>
      <c r="Q23" s="1536" t="str">
        <f>B23</f>
        <v>自然及人文环境</v>
      </c>
      <c r="R23" s="714" t="s">
        <v>17</v>
      </c>
      <c r="S23" s="715">
        <f>F23</f>
        <v>100</v>
      </c>
      <c r="T23" s="714" t="s">
        <v>17</v>
      </c>
      <c r="U23" s="715">
        <f>H23</f>
        <v>100</v>
      </c>
      <c r="V23" s="714" t="s">
        <v>17</v>
      </c>
      <c r="W23" s="715">
        <f>J23</f>
        <v>100</v>
      </c>
      <c r="X23" s="1539"/>
      <c r="Y23" s="3337"/>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35"/>
      <c r="Q24" s="1536"/>
      <c r="R24" s="714"/>
      <c r="S24" s="715"/>
      <c r="T24" s="714"/>
      <c r="U24" s="715"/>
      <c r="V24" s="714"/>
      <c r="W24" s="715"/>
      <c r="X24" s="1539"/>
      <c r="Y24" s="333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35"/>
      <c r="Q25" s="1536" t="str">
        <f t="shared" ref="Q25:Q46" si="11">B25</f>
        <v>临街状况</v>
      </c>
      <c r="R25" s="714" t="s">
        <v>17</v>
      </c>
      <c r="S25" s="715">
        <f>F25</f>
        <v>100</v>
      </c>
      <c r="T25" s="714" t="s">
        <v>17</v>
      </c>
      <c r="U25" s="715">
        <f>H25</f>
        <v>100</v>
      </c>
      <c r="V25" s="714" t="s">
        <v>17</v>
      </c>
      <c r="W25" s="715">
        <f>J25</f>
        <v>100</v>
      </c>
      <c r="X25" s="1539"/>
      <c r="Y25" s="333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35"/>
      <c r="Q26" s="1536" t="str">
        <f t="shared" si="11"/>
        <v>平面位置/可视性</v>
      </c>
      <c r="R26" s="714" t="s">
        <v>17</v>
      </c>
      <c r="S26" s="715">
        <f>F26</f>
        <v>100</v>
      </c>
      <c r="T26" s="714" t="s">
        <v>17</v>
      </c>
      <c r="U26" s="715">
        <f>H26</f>
        <v>100</v>
      </c>
      <c r="V26" s="714" t="s">
        <v>17</v>
      </c>
      <c r="W26" s="715">
        <f>J26</f>
        <v>100</v>
      </c>
      <c r="X26" s="1539"/>
      <c r="Y26" s="3337"/>
      <c r="Z26" s="1540" t="str">
        <f>Q26</f>
        <v>平面位置/可视性</v>
      </c>
      <c r="AA26" s="1537">
        <f t="shared" si="3"/>
        <v>1</v>
      </c>
      <c r="AB26" s="1537">
        <f t="shared" si="4"/>
        <v>1</v>
      </c>
      <c r="AC26" s="1537">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35"/>
      <c r="Q27" s="1527" t="str">
        <f t="shared" si="11"/>
        <v>人流量</v>
      </c>
      <c r="R27" s="710" t="s">
        <v>17</v>
      </c>
      <c r="S27" s="711">
        <f>F27</f>
        <v>100</v>
      </c>
      <c r="T27" s="710" t="s">
        <v>17</v>
      </c>
      <c r="U27" s="711">
        <f>H27</f>
        <v>100</v>
      </c>
      <c r="V27" s="710" t="s">
        <v>17</v>
      </c>
      <c r="W27" s="711">
        <f>J27</f>
        <v>100</v>
      </c>
      <c r="X27" s="712"/>
      <c r="Y27" s="333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3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5"/>
      <c r="Q29" s="1536">
        <f t="shared" si="11"/>
        <v>111</v>
      </c>
      <c r="R29" s="714" t="s">
        <v>17</v>
      </c>
      <c r="S29" s="715">
        <f t="shared" si="12"/>
        <v>100</v>
      </c>
      <c r="T29" s="714" t="s">
        <v>17</v>
      </c>
      <c r="U29" s="715">
        <f t="shared" si="13"/>
        <v>100</v>
      </c>
      <c r="V29" s="714" t="s">
        <v>17</v>
      </c>
      <c r="W29" s="715">
        <f t="shared" si="14"/>
        <v>100</v>
      </c>
      <c r="X29" s="1539"/>
      <c r="Y29" s="333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5"/>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5"/>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1537">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38" t="s">
        <v>2386</v>
      </c>
      <c r="Q32" s="1536" t="str">
        <f t="shared" si="11"/>
        <v>商业类型</v>
      </c>
      <c r="R32" s="714" t="s">
        <v>17</v>
      </c>
      <c r="S32" s="715">
        <f t="shared" si="12"/>
        <v>100</v>
      </c>
      <c r="T32" s="714" t="s">
        <v>17</v>
      </c>
      <c r="U32" s="715">
        <f t="shared" si="13"/>
        <v>100</v>
      </c>
      <c r="V32" s="714" t="s">
        <v>17</v>
      </c>
      <c r="W32" s="715">
        <f t="shared" si="14"/>
        <v>100</v>
      </c>
      <c r="X32" s="1539"/>
      <c r="Y32" s="334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39"/>
      <c r="Q33" s="716" t="str">
        <f t="shared" si="11"/>
        <v>项目建筑规模</v>
      </c>
      <c r="R33" s="717" t="s">
        <v>17</v>
      </c>
      <c r="S33" s="718" t="e">
        <f t="shared" si="12"/>
        <v>#N/A</v>
      </c>
      <c r="T33" s="717" t="s">
        <v>17</v>
      </c>
      <c r="U33" s="718" t="e">
        <f t="shared" si="13"/>
        <v>#N/A</v>
      </c>
      <c r="V33" s="717" t="s">
        <v>17</v>
      </c>
      <c r="W33" s="718" t="e">
        <f t="shared" si="14"/>
        <v>#N/A</v>
      </c>
      <c r="X33" s="719"/>
      <c r="Y33" s="3341"/>
      <c r="Z33" s="720" t="str">
        <f t="shared" si="15"/>
        <v>项目建筑规模</v>
      </c>
      <c r="AA33" s="1537" t="e">
        <f t="shared" si="3"/>
        <v>#N/A</v>
      </c>
      <c r="AB33" s="1537" t="e">
        <f t="shared" si="4"/>
        <v>#N/A</v>
      </c>
      <c r="AC33" s="1537"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39"/>
      <c r="Q34" s="1536" t="str">
        <f t="shared" si="11"/>
        <v>建筑结构</v>
      </c>
      <c r="R34" s="714" t="s">
        <v>17</v>
      </c>
      <c r="S34" s="715">
        <f t="shared" si="12"/>
        <v>100</v>
      </c>
      <c r="T34" s="714" t="s">
        <v>17</v>
      </c>
      <c r="U34" s="715">
        <f t="shared" si="13"/>
        <v>100</v>
      </c>
      <c r="V34" s="714" t="s">
        <v>17</v>
      </c>
      <c r="W34" s="715">
        <f t="shared" si="14"/>
        <v>100</v>
      </c>
      <c r="X34" s="1539"/>
      <c r="Y34" s="3341"/>
      <c r="Z34" s="1540" t="str">
        <f t="shared" si="15"/>
        <v>建筑结构</v>
      </c>
      <c r="AA34" s="1537">
        <f t="shared" si="3"/>
        <v>1</v>
      </c>
      <c r="AB34" s="1537">
        <f t="shared" si="4"/>
        <v>1</v>
      </c>
      <c r="AC34" s="1537">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39"/>
      <c r="Q35" s="1536" t="str">
        <f t="shared" si="11"/>
        <v>公共部分装修</v>
      </c>
      <c r="R35" s="714" t="s">
        <v>17</v>
      </c>
      <c r="S35" s="715">
        <f t="shared" si="12"/>
        <v>100</v>
      </c>
      <c r="T35" s="714" t="s">
        <v>17</v>
      </c>
      <c r="U35" s="715">
        <f t="shared" si="13"/>
        <v>100</v>
      </c>
      <c r="V35" s="714" t="s">
        <v>17</v>
      </c>
      <c r="W35" s="715">
        <f t="shared" si="14"/>
        <v>100</v>
      </c>
      <c r="X35" s="1539"/>
      <c r="Y35" s="334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39"/>
      <c r="Q36" s="1536" t="str">
        <f t="shared" si="11"/>
        <v>成新度</v>
      </c>
      <c r="R36" s="714" t="s">
        <v>17</v>
      </c>
      <c r="S36" s="715" t="e">
        <f t="shared" si="12"/>
        <v>#N/A</v>
      </c>
      <c r="T36" s="714" t="s">
        <v>17</v>
      </c>
      <c r="U36" s="715" t="e">
        <f t="shared" si="13"/>
        <v>#N/A</v>
      </c>
      <c r="V36" s="714" t="s">
        <v>17</v>
      </c>
      <c r="W36" s="715" t="e">
        <f t="shared" si="14"/>
        <v>#N/A</v>
      </c>
      <c r="X36" s="1539"/>
      <c r="Y36" s="3341"/>
      <c r="Z36" s="1540" t="str">
        <f t="shared" si="15"/>
        <v>成新度</v>
      </c>
      <c r="AA36" s="1537" t="e">
        <f t="shared" si="3"/>
        <v>#N/A</v>
      </c>
      <c r="AB36" s="1537" t="e">
        <f t="shared" si="4"/>
        <v>#N/A</v>
      </c>
      <c r="AC36" s="1537"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39"/>
      <c r="Q37" s="1527" t="str">
        <f t="shared" si="11"/>
        <v>市政基础设施</v>
      </c>
      <c r="R37" s="710" t="s">
        <v>17</v>
      </c>
      <c r="S37" s="711">
        <f t="shared" si="12"/>
        <v>100</v>
      </c>
      <c r="T37" s="710" t="s">
        <v>17</v>
      </c>
      <c r="U37" s="711">
        <f t="shared" si="13"/>
        <v>100</v>
      </c>
      <c r="V37" s="710" t="s">
        <v>17</v>
      </c>
      <c r="W37" s="711">
        <f t="shared" si="14"/>
        <v>100</v>
      </c>
      <c r="X37" s="712"/>
      <c r="Y37" s="3341"/>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39" t="s">
        <v>2386</v>
      </c>
      <c r="Q38" s="1536" t="str">
        <f t="shared" si="11"/>
        <v>业态</v>
      </c>
      <c r="R38" s="714" t="s">
        <v>17</v>
      </c>
      <c r="S38" s="715">
        <f t="shared" si="12"/>
        <v>100</v>
      </c>
      <c r="T38" s="714" t="s">
        <v>17</v>
      </c>
      <c r="U38" s="715">
        <f t="shared" si="13"/>
        <v>100</v>
      </c>
      <c r="V38" s="714" t="s">
        <v>17</v>
      </c>
      <c r="W38" s="715">
        <f t="shared" si="14"/>
        <v>100</v>
      </c>
      <c r="X38" s="1539"/>
      <c r="Y38" s="3341" t="s">
        <v>2386</v>
      </c>
      <c r="Z38" s="1540" t="str">
        <f t="shared" si="15"/>
        <v>业态</v>
      </c>
      <c r="AA38" s="1537">
        <f t="shared" si="3"/>
        <v>1</v>
      </c>
      <c r="AB38" s="1537">
        <f t="shared" si="4"/>
        <v>1</v>
      </c>
      <c r="AC38" s="1537">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39"/>
      <c r="Q39" s="1536" t="str">
        <f t="shared" si="11"/>
        <v>层高</v>
      </c>
      <c r="R39" s="714" t="s">
        <v>17</v>
      </c>
      <c r="S39" s="715">
        <f t="shared" si="12"/>
        <v>100</v>
      </c>
      <c r="T39" s="714" t="s">
        <v>17</v>
      </c>
      <c r="U39" s="715">
        <f t="shared" si="13"/>
        <v>100</v>
      </c>
      <c r="V39" s="714" t="s">
        <v>17</v>
      </c>
      <c r="W39" s="715">
        <f t="shared" si="14"/>
        <v>100</v>
      </c>
      <c r="X39" s="1539"/>
      <c r="Y39" s="334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39"/>
      <c r="Q40" s="1536" t="str">
        <f t="shared" si="11"/>
        <v>单套建筑面积</v>
      </c>
      <c r="R40" s="714" t="s">
        <v>17</v>
      </c>
      <c r="S40" s="715">
        <f t="shared" si="12"/>
        <v>100</v>
      </c>
      <c r="T40" s="714" t="s">
        <v>17</v>
      </c>
      <c r="U40" s="715">
        <f t="shared" si="13"/>
        <v>100</v>
      </c>
      <c r="V40" s="714" t="s">
        <v>17</v>
      </c>
      <c r="W40" s="715">
        <f t="shared" si="14"/>
        <v>100</v>
      </c>
      <c r="X40" s="1539"/>
      <c r="Y40" s="334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39"/>
      <c r="Q41" s="716" t="str">
        <f t="shared" si="11"/>
        <v>进深比</v>
      </c>
      <c r="R41" s="717" t="s">
        <v>17</v>
      </c>
      <c r="S41" s="718">
        <f t="shared" si="12"/>
        <v>100</v>
      </c>
      <c r="T41" s="717" t="s">
        <v>17</v>
      </c>
      <c r="U41" s="718">
        <f t="shared" si="13"/>
        <v>100</v>
      </c>
      <c r="V41" s="717" t="s">
        <v>17</v>
      </c>
      <c r="W41" s="718">
        <f t="shared" si="14"/>
        <v>100</v>
      </c>
      <c r="X41" s="719"/>
      <c r="Y41" s="3341"/>
      <c r="Z41" s="720" t="str">
        <f t="shared" si="15"/>
        <v>进深比</v>
      </c>
      <c r="AA41" s="1537">
        <f t="shared" si="3"/>
        <v>1</v>
      </c>
      <c r="AB41" s="1537">
        <f t="shared" si="4"/>
        <v>1</v>
      </c>
      <c r="AC41" s="1537">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39"/>
      <c r="Q42" s="1536" t="str">
        <f t="shared" si="11"/>
        <v>内部装修</v>
      </c>
      <c r="R42" s="714" t="s">
        <v>17</v>
      </c>
      <c r="S42" s="715">
        <f t="shared" si="12"/>
        <v>100</v>
      </c>
      <c r="T42" s="714" t="s">
        <v>17</v>
      </c>
      <c r="U42" s="715">
        <f t="shared" si="13"/>
        <v>100</v>
      </c>
      <c r="V42" s="714" t="s">
        <v>17</v>
      </c>
      <c r="W42" s="715">
        <f t="shared" si="14"/>
        <v>100</v>
      </c>
      <c r="X42" s="1539"/>
      <c r="Y42" s="3341"/>
      <c r="Z42" s="1540" t="str">
        <f t="shared" si="15"/>
        <v>内部装修</v>
      </c>
      <c r="AA42" s="1537">
        <f t="shared" si="3"/>
        <v>1</v>
      </c>
      <c r="AB42" s="1537">
        <f t="shared" si="4"/>
        <v>1</v>
      </c>
      <c r="AC42" s="1537">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39"/>
      <c r="Q43" s="1536" t="str">
        <f t="shared" si="11"/>
        <v>内部装修维护情况</v>
      </c>
      <c r="R43" s="714" t="s">
        <v>17</v>
      </c>
      <c r="S43" s="715">
        <f t="shared" si="12"/>
        <v>100</v>
      </c>
      <c r="T43" s="714" t="s">
        <v>17</v>
      </c>
      <c r="U43" s="715">
        <f t="shared" si="13"/>
        <v>100</v>
      </c>
      <c r="V43" s="714" t="s">
        <v>17</v>
      </c>
      <c r="W43" s="715">
        <f t="shared" si="14"/>
        <v>100</v>
      </c>
      <c r="X43" s="1539"/>
      <c r="Y43" s="334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39"/>
      <c r="Q44" s="1527">
        <f t="shared" si="11"/>
        <v>111</v>
      </c>
      <c r="R44" s="710" t="s">
        <v>17</v>
      </c>
      <c r="S44" s="711">
        <f t="shared" si="12"/>
        <v>100</v>
      </c>
      <c r="T44" s="710" t="s">
        <v>17</v>
      </c>
      <c r="U44" s="711">
        <f t="shared" si="13"/>
        <v>100</v>
      </c>
      <c r="V44" s="710" t="s">
        <v>17</v>
      </c>
      <c r="W44" s="711">
        <f t="shared" si="14"/>
        <v>100</v>
      </c>
      <c r="X44" s="712"/>
      <c r="Y44" s="334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39"/>
      <c r="Q45" s="1536">
        <f t="shared" si="11"/>
        <v>111</v>
      </c>
      <c r="R45" s="714" t="s">
        <v>17</v>
      </c>
      <c r="S45" s="715">
        <f t="shared" si="12"/>
        <v>100</v>
      </c>
      <c r="T45" s="714" t="s">
        <v>17</v>
      </c>
      <c r="U45" s="715">
        <f t="shared" si="13"/>
        <v>100</v>
      </c>
      <c r="V45" s="714" t="s">
        <v>17</v>
      </c>
      <c r="W45" s="715">
        <f t="shared" si="14"/>
        <v>100</v>
      </c>
      <c r="X45" s="1539"/>
      <c r="Y45" s="3341"/>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0"/>
      <c r="Q46" s="1536">
        <f t="shared" si="11"/>
        <v>111</v>
      </c>
      <c r="R46" s="714" t="s">
        <v>17</v>
      </c>
      <c r="S46" s="715">
        <f t="shared" si="12"/>
        <v>100</v>
      </c>
      <c r="T46" s="714" t="s">
        <v>17</v>
      </c>
      <c r="U46" s="715">
        <f t="shared" si="13"/>
        <v>100</v>
      </c>
      <c r="V46" s="714" t="s">
        <v>17</v>
      </c>
      <c r="W46" s="715">
        <f t="shared" si="14"/>
        <v>100</v>
      </c>
      <c r="X46" s="1539"/>
      <c r="Y46" s="334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43" t="str">
        <f>A47</f>
        <v>成交单价（元/平方米）</v>
      </c>
      <c r="Q47" s="3343"/>
      <c r="R47" s="3331">
        <f>E47</f>
        <v>0</v>
      </c>
      <c r="S47" s="3331"/>
      <c r="T47" s="3331">
        <f>G47</f>
        <v>0</v>
      </c>
      <c r="U47" s="3331"/>
      <c r="V47" s="3331">
        <f>I47</f>
        <v>0</v>
      </c>
      <c r="W47" s="3331"/>
      <c r="X47" s="699"/>
      <c r="Y47" s="721"/>
      <c r="Z47" s="699"/>
      <c r="AA47" s="699"/>
      <c r="AB47" s="699"/>
      <c r="AC47" s="699"/>
    </row>
    <row r="48" spans="1:29" ht="15.75" thickBot="1">
      <c r="A48" s="445" t="s">
        <v>2490</v>
      </c>
      <c r="B48" s="446"/>
      <c r="C48" s="1322" t="e">
        <f>R49</f>
        <v>#DIV/0!</v>
      </c>
      <c r="D48" s="2537" t="s">
        <v>2878</v>
      </c>
      <c r="E48" s="1323" t="e">
        <f>R48</f>
        <v>#DIV/0!</v>
      </c>
      <c r="F48" s="2538"/>
      <c r="G48" s="1322" t="e">
        <f>T48</f>
        <v>#DIV/0!</v>
      </c>
      <c r="H48" s="2538"/>
      <c r="I48" s="1323" t="e">
        <f>V48</f>
        <v>#DIV/0!</v>
      </c>
      <c r="J48" s="2538"/>
      <c r="K48" s="2540">
        <f>F48+H48+J48</f>
        <v>0</v>
      </c>
      <c r="L48" s="2952"/>
      <c r="M48" s="2953"/>
      <c r="N48" s="2944"/>
      <c r="O48" s="2953"/>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2" t="s">
        <v>2523</v>
      </c>
      <c r="C1" s="1392" t="s">
        <v>2351</v>
      </c>
      <c r="D1" s="1393"/>
      <c r="E1" s="1402"/>
      <c r="F1" s="2064"/>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2399.3100000000004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1044"/>
      <c r="M4" s="1045"/>
      <c r="N4" s="1045"/>
      <c r="O4" s="1045"/>
      <c r="P4" s="3374" t="s">
        <v>2472</v>
      </c>
      <c r="Q4" s="3375"/>
      <c r="R4" s="3372" t="s">
        <v>2468</v>
      </c>
      <c r="S4" s="3373"/>
      <c r="T4" s="3372" t="s">
        <v>2469</v>
      </c>
      <c r="U4" s="3373"/>
      <c r="V4" s="3331" t="s">
        <v>2470</v>
      </c>
      <c r="W4" s="3331"/>
      <c r="X4" s="1539"/>
      <c r="Y4" s="3372" t="s">
        <v>2472</v>
      </c>
      <c r="Z4" s="3373"/>
      <c r="AA4" s="3371" t="s">
        <v>2468</v>
      </c>
      <c r="AB4" s="3298" t="s">
        <v>2469</v>
      </c>
      <c r="AC4" s="3371" t="s">
        <v>2470</v>
      </c>
    </row>
    <row r="5" spans="1:29" ht="15">
      <c r="A5" s="364"/>
      <c r="B5" s="365"/>
      <c r="C5" s="3308" t="s">
        <v>2363</v>
      </c>
      <c r="D5" s="3309"/>
      <c r="E5" s="3306" t="s">
        <v>2364</v>
      </c>
      <c r="F5" s="3307"/>
      <c r="G5" s="3308" t="s">
        <v>2365</v>
      </c>
      <c r="H5" s="3309"/>
      <c r="I5" s="3308" t="s">
        <v>2366</v>
      </c>
      <c r="J5" s="3309"/>
      <c r="K5" s="567"/>
      <c r="L5" s="1044"/>
      <c r="M5" s="1045"/>
      <c r="N5" s="1045"/>
      <c r="O5" s="1045"/>
      <c r="P5" s="3376"/>
      <c r="Q5" s="3325"/>
      <c r="R5" s="3304"/>
      <c r="S5" s="3305"/>
      <c r="T5" s="3304"/>
      <c r="U5" s="3305"/>
      <c r="V5" s="3331"/>
      <c r="W5" s="3331"/>
      <c r="X5" s="1539"/>
      <c r="Y5" s="3304"/>
      <c r="Z5" s="3305"/>
      <c r="AA5" s="3298"/>
      <c r="AB5" s="3298"/>
      <c r="AC5" s="3298"/>
    </row>
    <row r="6" spans="1:29" ht="15.75" thickBot="1">
      <c r="A6" s="366"/>
      <c r="B6" s="367"/>
      <c r="C6" s="3310" t="s">
        <v>2367</v>
      </c>
      <c r="D6" s="3311"/>
      <c r="E6" s="3312" t="s">
        <v>2367</v>
      </c>
      <c r="F6" s="3313"/>
      <c r="G6" s="3310" t="s">
        <v>2367</v>
      </c>
      <c r="H6" s="3311"/>
      <c r="I6" s="3310" t="s">
        <v>2367</v>
      </c>
      <c r="J6" s="3311"/>
      <c r="K6" s="567" t="s">
        <v>2368</v>
      </c>
      <c r="L6" s="1044"/>
      <c r="M6" s="1045"/>
      <c r="N6" s="1045"/>
      <c r="O6" s="1045"/>
      <c r="P6" s="3377"/>
      <c r="Q6" s="3327"/>
      <c r="R6" s="3304"/>
      <c r="S6" s="3305"/>
      <c r="T6" s="3328"/>
      <c r="U6" s="3329"/>
      <c r="V6" s="3331"/>
      <c r="W6" s="3331"/>
      <c r="X6" s="1539"/>
      <c r="Y6" s="3328"/>
      <c r="Z6" s="3329"/>
      <c r="AA6" s="3299"/>
      <c r="AB6" s="3299"/>
      <c r="AC6" s="3299"/>
    </row>
    <row r="7" spans="1:29" s="113" customFormat="1" ht="15.75" thickBot="1">
      <c r="A7" s="368" t="s">
        <v>2369</v>
      </c>
      <c r="B7" s="369"/>
      <c r="C7" s="370">
        <f>'数据-取费表'!B2</f>
        <v>44442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0" t="s">
        <v>2370</v>
      </c>
      <c r="Q7" s="3333"/>
      <c r="R7" s="710" t="s">
        <v>17</v>
      </c>
      <c r="S7" s="711">
        <f t="shared" ref="S7:S15" si="0">F7</f>
        <v>0</v>
      </c>
      <c r="T7" s="710" t="s">
        <v>17</v>
      </c>
      <c r="U7" s="711">
        <f t="shared" ref="U7:U15" si="1">H7</f>
        <v>0</v>
      </c>
      <c r="V7" s="710" t="s">
        <v>17</v>
      </c>
      <c r="W7" s="711">
        <f t="shared" ref="W7:W15" si="2">J7</f>
        <v>0</v>
      </c>
      <c r="X7" s="712"/>
      <c r="Y7" s="3300" t="s">
        <v>2370</v>
      </c>
      <c r="Z7" s="330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0" t="s">
        <v>2373</v>
      </c>
      <c r="Q8" s="3301"/>
      <c r="R8" s="710" t="s">
        <v>17</v>
      </c>
      <c r="S8" s="711">
        <f t="shared" si="0"/>
        <v>0</v>
      </c>
      <c r="T8" s="710" t="s">
        <v>17</v>
      </c>
      <c r="U8" s="711">
        <f t="shared" si="1"/>
        <v>0</v>
      </c>
      <c r="V8" s="710" t="s">
        <v>17</v>
      </c>
      <c r="W8" s="711">
        <f t="shared" si="2"/>
        <v>0</v>
      </c>
      <c r="X8" s="712"/>
      <c r="Y8" s="3300" t="s">
        <v>2373</v>
      </c>
      <c r="Z8" s="330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3" t="s">
        <v>2376</v>
      </c>
      <c r="Q9" s="1527" t="str">
        <f t="shared" ref="Q9:Q15" si="6">B9</f>
        <v>用途</v>
      </c>
      <c r="R9" s="710" t="s">
        <v>17</v>
      </c>
      <c r="S9" s="711">
        <f t="shared" si="0"/>
        <v>100</v>
      </c>
      <c r="T9" s="710" t="s">
        <v>17</v>
      </c>
      <c r="U9" s="711">
        <f t="shared" si="1"/>
        <v>100</v>
      </c>
      <c r="V9" s="710" t="s">
        <v>17</v>
      </c>
      <c r="W9" s="711">
        <f t="shared" si="2"/>
        <v>100</v>
      </c>
      <c r="X9" s="712"/>
      <c r="Y9" s="326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3"/>
      <c r="Q10" s="1527" t="str">
        <f t="shared" si="6"/>
        <v>土地使用年限（年）</v>
      </c>
      <c r="R10" s="710" t="s">
        <v>17</v>
      </c>
      <c r="S10" s="711">
        <f t="shared" si="0"/>
        <v>100</v>
      </c>
      <c r="T10" s="710" t="s">
        <v>17</v>
      </c>
      <c r="U10" s="711">
        <f t="shared" si="1"/>
        <v>100</v>
      </c>
      <c r="V10" s="710" t="s">
        <v>17</v>
      </c>
      <c r="W10" s="711">
        <f t="shared" si="2"/>
        <v>100</v>
      </c>
      <c r="X10" s="712"/>
      <c r="Y10" s="326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3"/>
      <c r="Q11" s="1527" t="str">
        <f t="shared" si="6"/>
        <v>容积率</v>
      </c>
      <c r="R11" s="710" t="s">
        <v>17</v>
      </c>
      <c r="S11" s="711" t="e">
        <f t="shared" si="0"/>
        <v>#N/A</v>
      </c>
      <c r="T11" s="710" t="s">
        <v>17</v>
      </c>
      <c r="U11" s="711" t="e">
        <f t="shared" si="1"/>
        <v>#N/A</v>
      </c>
      <c r="V11" s="710" t="s">
        <v>17</v>
      </c>
      <c r="W11" s="711" t="e">
        <f t="shared" si="2"/>
        <v>#N/A</v>
      </c>
      <c r="X11" s="712"/>
      <c r="Y11" s="3265"/>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43"/>
      <c r="Q12" s="1527">
        <f t="shared" si="6"/>
        <v>111</v>
      </c>
      <c r="R12" s="710" t="s">
        <v>17</v>
      </c>
      <c r="S12" s="711">
        <f t="shared" si="0"/>
        <v>100</v>
      </c>
      <c r="T12" s="710" t="s">
        <v>17</v>
      </c>
      <c r="U12" s="711">
        <f t="shared" si="1"/>
        <v>100</v>
      </c>
      <c r="V12" s="710" t="s">
        <v>17</v>
      </c>
      <c r="W12" s="711">
        <f t="shared" si="2"/>
        <v>100</v>
      </c>
      <c r="X12" s="712"/>
      <c r="Y12" s="3265"/>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43"/>
      <c r="Q13" s="1527">
        <f t="shared" si="6"/>
        <v>111</v>
      </c>
      <c r="R13" s="710" t="s">
        <v>17</v>
      </c>
      <c r="S13" s="711">
        <f t="shared" si="0"/>
        <v>100</v>
      </c>
      <c r="T13" s="710" t="s">
        <v>17</v>
      </c>
      <c r="U13" s="711">
        <f t="shared" si="1"/>
        <v>100</v>
      </c>
      <c r="V13" s="710" t="s">
        <v>17</v>
      </c>
      <c r="W13" s="711">
        <f t="shared" si="2"/>
        <v>100</v>
      </c>
      <c r="X13" s="712"/>
      <c r="Y13" s="3265"/>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43"/>
      <c r="Q14" s="1527">
        <f t="shared" si="6"/>
        <v>111</v>
      </c>
      <c r="R14" s="710" t="s">
        <v>17</v>
      </c>
      <c r="S14" s="711">
        <f t="shared" si="0"/>
        <v>100</v>
      </c>
      <c r="T14" s="710" t="s">
        <v>17</v>
      </c>
      <c r="U14" s="711">
        <f t="shared" si="1"/>
        <v>100</v>
      </c>
      <c r="V14" s="710" t="s">
        <v>17</v>
      </c>
      <c r="W14" s="711">
        <f t="shared" si="2"/>
        <v>100</v>
      </c>
      <c r="X14" s="712"/>
      <c r="Y14" s="3265"/>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6" t="s">
        <v>2381</v>
      </c>
      <c r="Q15" s="1536" t="str">
        <f t="shared" si="6"/>
        <v>产业集聚程度</v>
      </c>
      <c r="R15" s="714" t="s">
        <v>17</v>
      </c>
      <c r="S15" s="715">
        <f t="shared" si="0"/>
        <v>100</v>
      </c>
      <c r="T15" s="714" t="s">
        <v>17</v>
      </c>
      <c r="U15" s="715">
        <f t="shared" si="1"/>
        <v>100</v>
      </c>
      <c r="V15" s="714" t="s">
        <v>17</v>
      </c>
      <c r="W15" s="715">
        <f t="shared" si="2"/>
        <v>100</v>
      </c>
      <c r="X15" s="1539"/>
      <c r="Y15" s="333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7"/>
      <c r="Q16" s="1536"/>
      <c r="R16" s="714"/>
      <c r="S16" s="715"/>
      <c r="T16" s="714"/>
      <c r="U16" s="715"/>
      <c r="V16" s="714"/>
      <c r="W16" s="715"/>
      <c r="X16" s="1539"/>
      <c r="Y16" s="3337"/>
      <c r="Z16" s="1540"/>
      <c r="AA16" s="1537">
        <v>1</v>
      </c>
      <c r="AB16" s="1537">
        <v>1</v>
      </c>
      <c r="AC16" s="1537">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337"/>
      <c r="Q18" s="1536"/>
      <c r="R18" s="714"/>
      <c r="S18" s="715"/>
      <c r="T18" s="714"/>
      <c r="U18" s="715"/>
      <c r="V18" s="714"/>
      <c r="W18" s="715"/>
      <c r="X18" s="1539"/>
      <c r="Y18" s="3337"/>
      <c r="Z18" s="1540"/>
      <c r="AA18" s="1537">
        <v>1</v>
      </c>
      <c r="AB18" s="1537">
        <v>1</v>
      </c>
      <c r="AC18" s="1537">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7"/>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337"/>
      <c r="Q20" s="1536"/>
      <c r="R20" s="714"/>
      <c r="S20" s="715"/>
      <c r="T20" s="714"/>
      <c r="U20" s="715"/>
      <c r="V20" s="714"/>
      <c r="W20" s="715"/>
      <c r="X20" s="1539"/>
      <c r="Y20" s="3337"/>
      <c r="Z20" s="1540"/>
      <c r="AA20" s="1537">
        <v>1</v>
      </c>
      <c r="AB20" s="1537">
        <v>1</v>
      </c>
      <c r="AC20" s="1537">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7"/>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337"/>
      <c r="Q22" s="1536"/>
      <c r="R22" s="714"/>
      <c r="S22" s="715"/>
      <c r="T22" s="714"/>
      <c r="U22" s="715"/>
      <c r="V22" s="714"/>
      <c r="W22" s="715"/>
      <c r="X22" s="1539"/>
      <c r="Y22" s="3337"/>
      <c r="Z22" s="1540"/>
      <c r="AA22" s="1537">
        <v>1</v>
      </c>
      <c r="AB22" s="1537">
        <v>1</v>
      </c>
      <c r="AC22" s="1537">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7"/>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337"/>
      <c r="Q24" s="1536"/>
      <c r="R24" s="714"/>
      <c r="S24" s="715"/>
      <c r="T24" s="714"/>
      <c r="U24" s="715"/>
      <c r="V24" s="714"/>
      <c r="W24" s="715"/>
      <c r="X24" s="1539"/>
      <c r="Y24" s="333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7"/>
      <c r="Q25" s="1536">
        <f>B25</f>
        <v>111</v>
      </c>
      <c r="R25" s="714" t="s">
        <v>17</v>
      </c>
      <c r="S25" s="715">
        <f>F25</f>
        <v>100</v>
      </c>
      <c r="T25" s="714" t="s">
        <v>17</v>
      </c>
      <c r="U25" s="715">
        <f>H25</f>
        <v>100</v>
      </c>
      <c r="V25" s="714" t="s">
        <v>17</v>
      </c>
      <c r="W25" s="715">
        <f>J25</f>
        <v>100</v>
      </c>
      <c r="X25" s="1539"/>
      <c r="Y25" s="333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7"/>
      <c r="Q26" s="1536">
        <f t="shared" ref="Q26:Q40" si="11">B26</f>
        <v>111</v>
      </c>
      <c r="R26" s="714" t="s">
        <v>17</v>
      </c>
      <c r="S26" s="715">
        <f>F26</f>
        <v>100</v>
      </c>
      <c r="T26" s="714" t="s">
        <v>17</v>
      </c>
      <c r="U26" s="715">
        <f>H26</f>
        <v>100</v>
      </c>
      <c r="V26" s="714" t="s">
        <v>17</v>
      </c>
      <c r="W26" s="715">
        <f>J26</f>
        <v>100</v>
      </c>
      <c r="X26" s="1539"/>
      <c r="Y26" s="333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7"/>
      <c r="Q27" s="1527">
        <f t="shared" si="11"/>
        <v>111</v>
      </c>
      <c r="R27" s="710" t="s">
        <v>17</v>
      </c>
      <c r="S27" s="711">
        <f>F27</f>
        <v>100</v>
      </c>
      <c r="T27" s="710" t="s">
        <v>17</v>
      </c>
      <c r="U27" s="711">
        <f>H27</f>
        <v>100</v>
      </c>
      <c r="V27" s="710" t="s">
        <v>17</v>
      </c>
      <c r="W27" s="711">
        <f>J27</f>
        <v>100</v>
      </c>
      <c r="X27" s="712"/>
      <c r="Y27" s="333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7"/>
      <c r="Q28" s="1536">
        <f t="shared" si="11"/>
        <v>111</v>
      </c>
      <c r="R28" s="714" t="s">
        <v>17</v>
      </c>
      <c r="S28" s="715">
        <f t="shared" ref="S28:S40" si="12">F28</f>
        <v>100</v>
      </c>
      <c r="T28" s="714" t="s">
        <v>17</v>
      </c>
      <c r="U28" s="715">
        <f t="shared" ref="U28:U40" si="13">H28</f>
        <v>100</v>
      </c>
      <c r="V28" s="714" t="s">
        <v>17</v>
      </c>
      <c r="W28" s="715">
        <f t="shared" ref="W28:W40" si="14">J28</f>
        <v>100</v>
      </c>
      <c r="X28" s="1539"/>
      <c r="Y28" s="3337"/>
      <c r="Z28" s="1540">
        <f t="shared" ref="Z28:Z40" si="15">Q28</f>
        <v>111</v>
      </c>
      <c r="AA28" s="1537">
        <f t="shared" si="3"/>
        <v>1</v>
      </c>
      <c r="AB28" s="1537">
        <f t="shared" si="4"/>
        <v>1</v>
      </c>
      <c r="AC28" s="1537">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81" t="s">
        <v>2386</v>
      </c>
      <c r="Q29" s="1536" t="str">
        <f t="shared" si="11"/>
        <v>建筑类型</v>
      </c>
      <c r="R29" s="714" t="s">
        <v>17</v>
      </c>
      <c r="S29" s="715">
        <f t="shared" si="12"/>
        <v>100</v>
      </c>
      <c r="T29" s="714" t="s">
        <v>17</v>
      </c>
      <c r="U29" s="715">
        <f t="shared" si="13"/>
        <v>100</v>
      </c>
      <c r="V29" s="714" t="s">
        <v>17</v>
      </c>
      <c r="W29" s="715">
        <f t="shared" si="14"/>
        <v>100</v>
      </c>
      <c r="X29" s="1539"/>
      <c r="Y29" s="334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1"/>
      <c r="Q30" s="716" t="str">
        <f t="shared" si="11"/>
        <v>项目建筑规模</v>
      </c>
      <c r="R30" s="717" t="s">
        <v>17</v>
      </c>
      <c r="S30" s="718" t="e">
        <f t="shared" si="12"/>
        <v>#N/A</v>
      </c>
      <c r="T30" s="717" t="s">
        <v>17</v>
      </c>
      <c r="U30" s="718" t="e">
        <f t="shared" si="13"/>
        <v>#N/A</v>
      </c>
      <c r="V30" s="717" t="s">
        <v>17</v>
      </c>
      <c r="W30" s="718" t="e">
        <f t="shared" si="14"/>
        <v>#N/A</v>
      </c>
      <c r="X30" s="719"/>
      <c r="Y30" s="334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1"/>
      <c r="Q31" s="1536" t="str">
        <f t="shared" si="11"/>
        <v>建筑结构</v>
      </c>
      <c r="R31" s="714" t="s">
        <v>17</v>
      </c>
      <c r="S31" s="715">
        <f t="shared" si="12"/>
        <v>100</v>
      </c>
      <c r="T31" s="714" t="s">
        <v>17</v>
      </c>
      <c r="U31" s="715">
        <f t="shared" si="13"/>
        <v>100</v>
      </c>
      <c r="V31" s="714" t="s">
        <v>17</v>
      </c>
      <c r="W31" s="715">
        <f t="shared" si="14"/>
        <v>100</v>
      </c>
      <c r="X31" s="1539"/>
      <c r="Y31" s="334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1"/>
      <c r="Q32" s="1536" t="str">
        <f t="shared" si="11"/>
        <v>公共部分装修</v>
      </c>
      <c r="R32" s="714" t="s">
        <v>17</v>
      </c>
      <c r="S32" s="715">
        <f t="shared" si="12"/>
        <v>100</v>
      </c>
      <c r="T32" s="714" t="s">
        <v>17</v>
      </c>
      <c r="U32" s="715">
        <f t="shared" si="13"/>
        <v>100</v>
      </c>
      <c r="V32" s="714" t="s">
        <v>17</v>
      </c>
      <c r="W32" s="715">
        <f t="shared" si="14"/>
        <v>100</v>
      </c>
      <c r="X32" s="1539"/>
      <c r="Y32" s="334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1"/>
      <c r="Q33" s="1536" t="str">
        <f t="shared" si="11"/>
        <v>成新度</v>
      </c>
      <c r="R33" s="714" t="s">
        <v>17</v>
      </c>
      <c r="S33" s="715" t="e">
        <f t="shared" si="12"/>
        <v>#N/A</v>
      </c>
      <c r="T33" s="714" t="s">
        <v>17</v>
      </c>
      <c r="U33" s="715" t="e">
        <f t="shared" si="13"/>
        <v>#N/A</v>
      </c>
      <c r="V33" s="714" t="s">
        <v>17</v>
      </c>
      <c r="W33" s="715" t="e">
        <f t="shared" si="14"/>
        <v>#N/A</v>
      </c>
      <c r="X33" s="1539"/>
      <c r="Y33" s="334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1"/>
      <c r="Q34" s="1527" t="str">
        <f t="shared" si="11"/>
        <v>物业管理</v>
      </c>
      <c r="R34" s="710" t="s">
        <v>17</v>
      </c>
      <c r="S34" s="711">
        <f t="shared" si="12"/>
        <v>100</v>
      </c>
      <c r="T34" s="710" t="s">
        <v>17</v>
      </c>
      <c r="U34" s="711">
        <f t="shared" si="13"/>
        <v>100</v>
      </c>
      <c r="V34" s="710" t="s">
        <v>17</v>
      </c>
      <c r="W34" s="711">
        <f t="shared" si="14"/>
        <v>100</v>
      </c>
      <c r="X34" s="712"/>
      <c r="Y34" s="334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1" t="s">
        <v>2386</v>
      </c>
      <c r="Q35" s="1536" t="str">
        <f t="shared" si="11"/>
        <v>市政基础设施</v>
      </c>
      <c r="R35" s="714" t="s">
        <v>17</v>
      </c>
      <c r="S35" s="715">
        <f t="shared" si="12"/>
        <v>100</v>
      </c>
      <c r="T35" s="714" t="s">
        <v>17</v>
      </c>
      <c r="U35" s="715">
        <f t="shared" si="13"/>
        <v>100</v>
      </c>
      <c r="V35" s="714" t="s">
        <v>17</v>
      </c>
      <c r="W35" s="715">
        <f t="shared" si="14"/>
        <v>100</v>
      </c>
      <c r="X35" s="1539"/>
      <c r="Y35" s="334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1"/>
      <c r="Q36" s="1536" t="str">
        <f t="shared" si="11"/>
        <v>内部装修</v>
      </c>
      <c r="R36" s="714" t="s">
        <v>17</v>
      </c>
      <c r="S36" s="715">
        <f t="shared" si="12"/>
        <v>100</v>
      </c>
      <c r="T36" s="714" t="s">
        <v>17</v>
      </c>
      <c r="U36" s="715">
        <f t="shared" si="13"/>
        <v>100</v>
      </c>
      <c r="V36" s="714" t="s">
        <v>17</v>
      </c>
      <c r="W36" s="715">
        <f t="shared" si="14"/>
        <v>100</v>
      </c>
      <c r="X36" s="1539"/>
      <c r="Y36" s="334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1"/>
      <c r="Q37" s="1536" t="str">
        <f t="shared" si="11"/>
        <v>内部装修状况</v>
      </c>
      <c r="R37" s="714" t="s">
        <v>17</v>
      </c>
      <c r="S37" s="715">
        <f t="shared" si="12"/>
        <v>100</v>
      </c>
      <c r="T37" s="714" t="s">
        <v>17</v>
      </c>
      <c r="U37" s="715">
        <f t="shared" si="13"/>
        <v>100</v>
      </c>
      <c r="V37" s="714" t="s">
        <v>17</v>
      </c>
      <c r="W37" s="715">
        <f t="shared" si="14"/>
        <v>100</v>
      </c>
      <c r="X37" s="1539"/>
      <c r="Y37" s="334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1"/>
      <c r="Q38" s="716">
        <f t="shared" si="11"/>
        <v>111</v>
      </c>
      <c r="R38" s="717" t="s">
        <v>17</v>
      </c>
      <c r="S38" s="718">
        <f t="shared" si="12"/>
        <v>100</v>
      </c>
      <c r="T38" s="717" t="s">
        <v>17</v>
      </c>
      <c r="U38" s="718">
        <f t="shared" si="13"/>
        <v>100</v>
      </c>
      <c r="V38" s="717" t="s">
        <v>17</v>
      </c>
      <c r="W38" s="718">
        <f t="shared" si="14"/>
        <v>100</v>
      </c>
      <c r="X38" s="719"/>
      <c r="Y38" s="334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1"/>
      <c r="Q39" s="1536">
        <f t="shared" si="11"/>
        <v>111</v>
      </c>
      <c r="R39" s="714" t="s">
        <v>17</v>
      </c>
      <c r="S39" s="715">
        <f t="shared" si="12"/>
        <v>100</v>
      </c>
      <c r="T39" s="714" t="s">
        <v>17</v>
      </c>
      <c r="U39" s="715">
        <f t="shared" si="13"/>
        <v>100</v>
      </c>
      <c r="V39" s="714" t="s">
        <v>17</v>
      </c>
      <c r="W39" s="715">
        <f t="shared" si="14"/>
        <v>100</v>
      </c>
      <c r="X39" s="1539"/>
      <c r="Y39" s="3341"/>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2"/>
      <c r="Q40" s="1536">
        <f t="shared" si="11"/>
        <v>111</v>
      </c>
      <c r="R40" s="714" t="s">
        <v>17</v>
      </c>
      <c r="S40" s="715">
        <f t="shared" si="12"/>
        <v>100</v>
      </c>
      <c r="T40" s="714" t="s">
        <v>17</v>
      </c>
      <c r="U40" s="715">
        <f t="shared" si="13"/>
        <v>100</v>
      </c>
      <c r="V40" s="714" t="s">
        <v>17</v>
      </c>
      <c r="W40" s="715">
        <f t="shared" si="14"/>
        <v>100</v>
      </c>
      <c r="X40" s="1539"/>
      <c r="Y40" s="334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43" t="str">
        <f>A41</f>
        <v>成交单价（元/平方米）</v>
      </c>
      <c r="Q41" s="3343"/>
      <c r="R41" s="3344">
        <f>E41</f>
        <v>0</v>
      </c>
      <c r="S41" s="3344"/>
      <c r="T41" s="3344">
        <f>G41</f>
        <v>0</v>
      </c>
      <c r="U41" s="3344"/>
      <c r="V41" s="3344">
        <f>I41</f>
        <v>0</v>
      </c>
      <c r="W41" s="3344"/>
      <c r="X41" s="699"/>
      <c r="Y41" s="721"/>
      <c r="Z41" s="699"/>
      <c r="AA41" s="699"/>
      <c r="AB41" s="699"/>
      <c r="AC41" s="699"/>
    </row>
    <row r="42" spans="1:29" ht="15.75" thickBot="1">
      <c r="A42" s="445" t="s">
        <v>2490</v>
      </c>
      <c r="B42" s="446"/>
      <c r="C42" s="1322" t="e">
        <f>R43</f>
        <v>#DIV/0!</v>
      </c>
      <c r="D42" s="2537" t="s">
        <v>2878</v>
      </c>
      <c r="E42" s="1323" t="e">
        <f>R42</f>
        <v>#DIV/0!</v>
      </c>
      <c r="F42" s="2538"/>
      <c r="G42" s="1322" t="e">
        <f>T42</f>
        <v>#DIV/0!</v>
      </c>
      <c r="H42" s="2538"/>
      <c r="I42" s="1323" t="e">
        <f>V42</f>
        <v>#DIV/0!</v>
      </c>
      <c r="J42" s="2538"/>
      <c r="K42" s="2540">
        <f>F42+H42+J42</f>
        <v>0</v>
      </c>
      <c r="L42" s="1057"/>
      <c r="M42" s="1058"/>
      <c r="N42" s="1045"/>
      <c r="O42" s="1058"/>
      <c r="P42" s="3343" t="str">
        <f>A42</f>
        <v>比较价值（元/平方米）</v>
      </c>
      <c r="Q42" s="3343"/>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K1" zoomScale="90" zoomScaleNormal="90" workbookViewId="0">
      <pane ySplit="24" topLeftCell="A25" activePane="bottomLeft" state="frozen"/>
      <selection activeCell="C50" sqref="C50"/>
      <selection pane="bottomLeft" activeCell="T21" sqref="T21"/>
    </sheetView>
  </sheetViews>
  <sheetFormatPr defaultColWidth="9" defaultRowHeight="12.75"/>
  <cols>
    <col min="1" max="1" width="11.5" style="135"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ustomWidth="1"/>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85" t="s">
        <v>2824</v>
      </c>
      <c r="D1" s="3386"/>
      <c r="E1" s="3386"/>
      <c r="F1" s="3386"/>
      <c r="G1" s="3386"/>
      <c r="H1" s="3386"/>
      <c r="I1" s="3386"/>
      <c r="J1" s="3386"/>
      <c r="K1" s="3386"/>
      <c r="L1" s="3386"/>
      <c r="M1" s="3386"/>
      <c r="N1" s="3386"/>
      <c r="O1" s="3386"/>
      <c r="P1" s="3386"/>
      <c r="Q1" s="3386"/>
      <c r="R1" s="3386"/>
      <c r="S1" s="3387"/>
      <c r="T1" s="1114" t="s">
        <v>2825</v>
      </c>
    </row>
    <row r="2" spans="1:45" s="663" customFormat="1" ht="38.25">
      <c r="A2" s="1115"/>
      <c r="B2" s="659" t="s">
        <v>2826</v>
      </c>
      <c r="C2" s="660" t="str">
        <f t="shared" ref="C2:L2" si="0">C3&amp;"(含)"&amp;"-"&amp;D3</f>
        <v>0(含)-200</v>
      </c>
      <c r="D2" s="661" t="str">
        <f t="shared" si="0"/>
        <v>200(含)-500</v>
      </c>
      <c r="E2" s="661" t="str">
        <f t="shared" si="0"/>
        <v>500(含)-1000</v>
      </c>
      <c r="F2" s="661" t="str">
        <f t="shared" si="0"/>
        <v>1000(含)-2000</v>
      </c>
      <c r="G2" s="661" t="str">
        <f t="shared" si="0"/>
        <v>2000(含)-3000</v>
      </c>
      <c r="H2" s="661" t="str">
        <f t="shared" si="0"/>
        <v>3000(含)-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f>'比较法-办公'!C104</f>
        <v>0</v>
      </c>
      <c r="D3" s="665">
        <f>'比较法-办公'!D104</f>
        <v>200</v>
      </c>
      <c r="E3" s="665">
        <f>'比较法-办公'!E104</f>
        <v>500</v>
      </c>
      <c r="F3" s="665">
        <f>'比较法-办公'!F104</f>
        <v>1000</v>
      </c>
      <c r="G3" s="665">
        <f>'比较法-办公'!G104</f>
        <v>2000</v>
      </c>
      <c r="H3" s="665">
        <f>'比较法-办公'!H104</f>
        <v>3000</v>
      </c>
      <c r="I3" s="665"/>
      <c r="J3" s="665"/>
      <c r="K3" s="665"/>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f>'比较法-办公'!C105</f>
        <v>99</v>
      </c>
      <c r="D4" s="1120">
        <f>'比较法-办公'!D105</f>
        <v>100</v>
      </c>
      <c r="E4" s="1120">
        <f>'比较法-办公'!E105</f>
        <v>99</v>
      </c>
      <c r="F4" s="1120">
        <f>'比较法-办公'!F105</f>
        <v>98</v>
      </c>
      <c r="G4" s="1120">
        <f>'比较法-办公'!G105</f>
        <v>97</v>
      </c>
      <c r="H4" s="1120">
        <f>'比较法-办公'!H105</f>
        <v>96</v>
      </c>
      <c r="I4" s="1120"/>
      <c r="J4" s="1120"/>
      <c r="K4" s="1120"/>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f ca="1">IF(D20="——",S22,S22-F20)</f>
        <v>7477</v>
      </c>
      <c r="C20" s="164"/>
      <c r="D20" s="2366" t="s">
        <v>70</v>
      </c>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f ca="1">ROUND(B20*10000/B22,0)</f>
        <v>31163</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2399.3100000000004</v>
      </c>
      <c r="C22" s="3382" t="s">
        <v>33</v>
      </c>
      <c r="D22" s="3383"/>
      <c r="E22" s="3383"/>
      <c r="F22" s="3383"/>
      <c r="G22" s="3383"/>
      <c r="H22" s="3383"/>
      <c r="I22" s="3383"/>
      <c r="J22" s="3383"/>
      <c r="K22" s="3383"/>
      <c r="L22" s="3383"/>
      <c r="M22" s="3383"/>
      <c r="N22" s="3383"/>
      <c r="O22" s="3383"/>
      <c r="P22" s="3383"/>
      <c r="Q22" s="3384"/>
      <c r="R22" s="672">
        <f ca="1">ROUND(S22*10000/B22,0)</f>
        <v>31163</v>
      </c>
      <c r="S22" s="24">
        <f ca="1">SUM(S24:S10000)</f>
        <v>7477</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f>清单!B3</f>
        <v>401</v>
      </c>
      <c r="B24" s="674">
        <f>清单!D3</f>
        <v>271.27999999999997</v>
      </c>
      <c r="C24" s="3040">
        <v>1</v>
      </c>
      <c r="D24" s="3041"/>
      <c r="E24" s="3040">
        <v>1</v>
      </c>
      <c r="F24" s="3041"/>
      <c r="G24" s="3040">
        <v>1</v>
      </c>
      <c r="H24" s="3041"/>
      <c r="I24" s="3040">
        <v>1</v>
      </c>
      <c r="J24" s="3041"/>
      <c r="K24" s="3040">
        <v>1</v>
      </c>
      <c r="L24" s="3041"/>
      <c r="M24" s="3040">
        <v>1</v>
      </c>
      <c r="N24" s="3041"/>
      <c r="O24" s="3040">
        <v>1</v>
      </c>
      <c r="P24" s="3041"/>
      <c r="Q24" s="3040">
        <v>1</v>
      </c>
      <c r="R24" s="677">
        <f ca="1">结果表!G20</f>
        <v>31386</v>
      </c>
      <c r="S24" s="675">
        <f t="shared" ref="S24:S54" ca="1" si="11">ROUND(R24*B24/10000,0)</f>
        <v>851</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f>清单!B4</f>
        <v>407</v>
      </c>
      <c r="B25" s="674">
        <f>清单!D4</f>
        <v>528.58000000000004</v>
      </c>
      <c r="C25" s="24">
        <f>IF(B25="",1,(LOOKUP(B25,$3:$3,$4:$4)-LOOKUP($B$24,$3:$3,$4:$4)+100)/100)</f>
        <v>0.99</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31072</v>
      </c>
      <c r="S25" s="322">
        <f t="shared" ca="1" si="11"/>
        <v>1642</v>
      </c>
    </row>
    <row r="26" spans="1:45">
      <c r="A26" s="674">
        <f>清单!B5</f>
        <v>106</v>
      </c>
      <c r="B26" s="674">
        <f>清单!D5</f>
        <v>70.41</v>
      </c>
      <c r="C26" s="24">
        <f t="shared" ref="C26:C89" si="12">IF(B26="",1,(LOOKUP(B26,$3:$3,$4:$4)-LOOKUP($B$24,$3:$3,$4:$4)+100)/100)</f>
        <v>0.99</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31072</v>
      </c>
      <c r="S26" s="322">
        <f t="shared" ca="1" si="11"/>
        <v>219</v>
      </c>
    </row>
    <row r="27" spans="1:45">
      <c r="A27" s="674">
        <f>清单!B6</f>
        <v>402</v>
      </c>
      <c r="B27" s="674">
        <f>清单!D6</f>
        <v>176.26</v>
      </c>
      <c r="C27" s="24">
        <f t="shared" si="12"/>
        <v>0.99</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31072</v>
      </c>
      <c r="S27" s="322">
        <f t="shared" ca="1" si="11"/>
        <v>548</v>
      </c>
      <c r="T27" s="734">
        <f ca="1">S27+S28+S29+S30+S31</f>
        <v>4765</v>
      </c>
    </row>
    <row r="28" spans="1:45">
      <c r="A28" s="674" t="str">
        <f>清单!B7</f>
        <v>403、404</v>
      </c>
      <c r="B28" s="674">
        <f>清单!D7</f>
        <v>839.71</v>
      </c>
      <c r="C28" s="24">
        <f t="shared" si="12"/>
        <v>0.99</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31072</v>
      </c>
      <c r="S28" s="322">
        <f t="shared" ca="1" si="11"/>
        <v>2609</v>
      </c>
      <c r="T28" s="734">
        <f>B27+B28+B29+B30+B31</f>
        <v>1529.04</v>
      </c>
    </row>
    <row r="29" spans="1:45">
      <c r="A29" s="674">
        <f>清单!B8</f>
        <v>405</v>
      </c>
      <c r="B29" s="674">
        <f>清单!D8</f>
        <v>212.41</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ca="1" si="20"/>
        <v>31386</v>
      </c>
      <c r="S29" s="322">
        <f t="shared" ca="1" si="11"/>
        <v>667</v>
      </c>
      <c r="T29" s="734">
        <f ca="1">T27/T28*10000</f>
        <v>31163.344320619472</v>
      </c>
    </row>
    <row r="30" spans="1:45">
      <c r="A30" s="674">
        <f>清单!B9</f>
        <v>406</v>
      </c>
      <c r="B30" s="674">
        <f>清单!D9</f>
        <v>212.53</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ca="1" si="20"/>
        <v>31386</v>
      </c>
      <c r="S30" s="322">
        <f t="shared" ca="1" si="11"/>
        <v>667</v>
      </c>
    </row>
    <row r="31" spans="1:45">
      <c r="A31" s="674">
        <f>清单!B10</f>
        <v>408</v>
      </c>
      <c r="B31" s="674">
        <f>清单!D10</f>
        <v>88.13</v>
      </c>
      <c r="C31" s="24">
        <f t="shared" si="12"/>
        <v>0.99</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ca="1" si="20"/>
        <v>31072</v>
      </c>
      <c r="S31" s="322">
        <f t="shared" ca="1" si="11"/>
        <v>274</v>
      </c>
    </row>
    <row r="32" spans="1:45">
      <c r="A32" s="674"/>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674"/>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估价对象为北京市房地产，为所有。根据《国有土地使用证》[]，估价对象（分摊）出让国有建设用地使用权面积为587.99平方米，建筑面积为2399.31平方米。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估价对象为北京市房地产,属开发建设的，该项目尚在开发建设中。根据《国有土地使用证》[]，估价对象（分摊）出让国有建设用地使用权面积为587.99平方米，规划建筑面积为2399.31平方米。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2021年9月3日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L36" sqref="L3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3082</v>
      </c>
      <c r="D1" s="1932"/>
      <c r="E1" s="1932"/>
      <c r="F1" s="1934" t="s">
        <v>1949</v>
      </c>
      <c r="G1" s="1746"/>
      <c r="H1" s="1935" t="str">
        <f>IF(G1="现房","——","估价对象范围")</f>
        <v>估价对象范围</v>
      </c>
      <c r="I1" s="1936"/>
    </row>
    <row r="2" spans="1:12" ht="21.75" customHeight="1" thickBot="1">
      <c r="A2" s="3262" t="str">
        <f>项目基本情况!S2</f>
        <v>北京市房地产</v>
      </c>
      <c r="B2" s="3263"/>
      <c r="C2" s="3263"/>
      <c r="D2" s="3263"/>
      <c r="E2" s="3263"/>
      <c r="F2" s="3263"/>
      <c r="G2" s="3263"/>
      <c r="H2" s="3263"/>
      <c r="I2" s="3264"/>
    </row>
    <row r="3" spans="1:12" ht="12.75">
      <c r="A3" s="3266" t="s">
        <v>1950</v>
      </c>
      <c r="B3" s="3267"/>
      <c r="C3" s="3267"/>
      <c r="D3" s="3267"/>
      <c r="E3" s="3267"/>
      <c r="F3" s="3267"/>
      <c r="G3" s="3267"/>
      <c r="H3" s="3267"/>
      <c r="I3" s="3267"/>
    </row>
    <row r="4" spans="1:12" ht="14.25">
      <c r="A4" s="1939" t="s">
        <v>1951</v>
      </c>
      <c r="B4" s="1940" t="s">
        <v>1952</v>
      </c>
      <c r="C4" s="1941" t="s">
        <v>3131</v>
      </c>
      <c r="D4" s="1941" t="s">
        <v>3097</v>
      </c>
      <c r="E4" s="3271" t="s">
        <v>1953</v>
      </c>
      <c r="F4" s="3272"/>
      <c r="G4" s="3272"/>
      <c r="H4" s="3272"/>
      <c r="I4" s="3273"/>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07" t="s">
        <v>1954</v>
      </c>
      <c r="B5" s="3265">
        <v>25</v>
      </c>
      <c r="C5" s="3268"/>
      <c r="D5" s="3256"/>
      <c r="E5" s="136" t="s">
        <v>1955</v>
      </c>
      <c r="F5" s="1942"/>
      <c r="G5" s="1942"/>
      <c r="H5" s="1942"/>
      <c r="I5" s="1557"/>
    </row>
    <row r="6" spans="1:12" ht="12.75">
      <c r="A6" s="3207"/>
      <c r="B6" s="3265"/>
      <c r="C6" s="3270"/>
      <c r="D6" s="3256"/>
      <c r="E6" s="136" t="s">
        <v>1956</v>
      </c>
      <c r="F6" s="1942"/>
      <c r="G6" s="1942"/>
      <c r="H6" s="1942"/>
      <c r="I6" s="1557"/>
    </row>
    <row r="7" spans="1:12" ht="12.75">
      <c r="A7" s="3207"/>
      <c r="B7" s="3265"/>
      <c r="C7" s="3269"/>
      <c r="D7" s="3256"/>
      <c r="E7" s="136" t="s">
        <v>1957</v>
      </c>
      <c r="F7" s="1942"/>
      <c r="G7" s="1942"/>
      <c r="H7" s="1942"/>
      <c r="I7" s="1557"/>
    </row>
    <row r="8" spans="1:12" ht="12.75">
      <c r="A8" s="3207" t="s">
        <v>1958</v>
      </c>
      <c r="B8" s="3265">
        <v>15</v>
      </c>
      <c r="C8" s="3268"/>
      <c r="D8" s="3256"/>
      <c r="E8" s="136" t="s">
        <v>1959</v>
      </c>
      <c r="F8" s="1942"/>
      <c r="G8" s="1942"/>
      <c r="H8" s="1942"/>
      <c r="I8" s="1557"/>
    </row>
    <row r="9" spans="1:12" ht="12.75">
      <c r="A9" s="3207"/>
      <c r="B9" s="3265"/>
      <c r="C9" s="3269"/>
      <c r="D9" s="3256"/>
      <c r="E9" s="136" t="s">
        <v>1960</v>
      </c>
      <c r="F9" s="1942"/>
      <c r="G9" s="1942"/>
      <c r="H9" s="1942"/>
      <c r="I9" s="1557"/>
    </row>
    <row r="10" spans="1:12" ht="12.75">
      <c r="A10" s="3207" t="s">
        <v>1961</v>
      </c>
      <c r="B10" s="3265">
        <v>15</v>
      </c>
      <c r="C10" s="3268"/>
      <c r="D10" s="3256"/>
      <c r="E10" s="136" t="s">
        <v>1962</v>
      </c>
      <c r="F10" s="1942"/>
      <c r="G10" s="1942"/>
      <c r="H10" s="1942"/>
      <c r="I10" s="1557"/>
    </row>
    <row r="11" spans="1:12" ht="12.75">
      <c r="A11" s="3207"/>
      <c r="B11" s="3265"/>
      <c r="C11" s="3269"/>
      <c r="D11" s="3256"/>
      <c r="E11" s="136" t="s">
        <v>1963</v>
      </c>
      <c r="F11" s="1942"/>
      <c r="G11" s="1942"/>
      <c r="H11" s="1942"/>
      <c r="I11" s="1557"/>
    </row>
    <row r="12" spans="1:12" ht="12.75">
      <c r="A12" s="3207" t="s">
        <v>1964</v>
      </c>
      <c r="B12" s="3265">
        <v>15</v>
      </c>
      <c r="C12" s="3268"/>
      <c r="D12" s="3256"/>
      <c r="E12" s="136" t="s">
        <v>1965</v>
      </c>
      <c r="F12" s="1942"/>
      <c r="G12" s="1942"/>
      <c r="H12" s="1942"/>
      <c r="I12" s="1557"/>
    </row>
    <row r="13" spans="1:12" ht="12.75">
      <c r="A13" s="3207"/>
      <c r="B13" s="3265"/>
      <c r="C13" s="3269"/>
      <c r="D13" s="3256"/>
      <c r="E13" s="136" t="s">
        <v>1966</v>
      </c>
      <c r="F13" s="1942"/>
      <c r="G13" s="1942"/>
      <c r="H13" s="1942"/>
      <c r="I13" s="1557"/>
    </row>
    <row r="14" spans="1:12" ht="12.75">
      <c r="A14" s="3207" t="s">
        <v>1967</v>
      </c>
      <c r="B14" s="3265">
        <v>30</v>
      </c>
      <c r="C14" s="3268">
        <v>4</v>
      </c>
      <c r="D14" s="3256">
        <v>6</v>
      </c>
      <c r="E14" s="136" t="s">
        <v>1968</v>
      </c>
      <c r="F14" s="1942"/>
      <c r="G14" s="1942"/>
      <c r="H14" s="1942"/>
      <c r="I14" s="1557"/>
    </row>
    <row r="15" spans="1:12" ht="12.75">
      <c r="A15" s="3207"/>
      <c r="B15" s="3265"/>
      <c r="C15" s="3270"/>
      <c r="D15" s="3256"/>
      <c r="E15" s="136" t="s">
        <v>1969</v>
      </c>
      <c r="F15" s="1942"/>
      <c r="G15" s="1942"/>
      <c r="H15" s="1942"/>
      <c r="I15" s="1557"/>
    </row>
    <row r="16" spans="1:12" ht="12.75">
      <c r="A16" s="3207"/>
      <c r="B16" s="3265"/>
      <c r="C16" s="3269"/>
      <c r="D16" s="3256"/>
      <c r="E16" s="136" t="s">
        <v>1970</v>
      </c>
      <c r="F16" s="1942"/>
      <c r="G16" s="1942"/>
      <c r="H16" s="1942"/>
      <c r="I16" s="1557"/>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87" t="s">
        <v>2871</v>
      </c>
      <c r="F18" s="3288"/>
      <c r="G18" s="3288"/>
      <c r="H18" s="3288"/>
      <c r="I18" s="3288"/>
      <c r="K18" s="308" t="s">
        <v>1975</v>
      </c>
      <c r="L18" s="308">
        <f>IF(C1="",'数据-汇总表'!E3,SUMIF(项目类型,C1,'数据-汇总表'!E17:E26)+SUMIF(项目类型,C1,'数据-汇总表'!I17:I26))</f>
        <v>0</v>
      </c>
      <c r="M18" s="308">
        <f>IF(C1="",'数据-汇总表'!E3,SUMIF(项目类型,C1,'数据-汇总表'!E17:E26))</f>
        <v>0</v>
      </c>
    </row>
    <row r="19" spans="1:36" ht="15">
      <c r="A19" s="1946" t="s">
        <v>1976</v>
      </c>
      <c r="B19" s="1947" t="s">
        <v>1977</v>
      </c>
      <c r="C19" s="139">
        <f ca="1">SUMIF(INDIRECT("'"&amp;C4&amp;"'"&amp;"!A:A"),'结果表-车库'!B19,INDIRECT("'"&amp;C4&amp;"'"&amp;"!B:B"))</f>
        <v>19</v>
      </c>
      <c r="D19" s="140">
        <f ca="1">SUMIF(INDIRECT("'"&amp;D4&amp;"'"&amp;"!A:A"),'结果表-车库'!B19,INDIRECT("'"&amp;D4&amp;"'"&amp;"!B:B"))</f>
        <v>14</v>
      </c>
      <c r="E19" s="1946" t="s">
        <v>1978</v>
      </c>
      <c r="F19" s="1947" t="s">
        <v>1977</v>
      </c>
      <c r="G19" s="141">
        <f ca="1">ROUND(C19*$C$18+D19*$D$18,0)</f>
        <v>16</v>
      </c>
      <c r="H19" s="1948"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9"/>
      <c r="B20" s="1157" t="s">
        <v>1981</v>
      </c>
      <c r="C20" s="142" t="e">
        <f ca="1">SUMIF(INDIRECT("'"&amp;C4&amp;"'"&amp;"!A:A"),'结果表-车库'!B20,INDIRECT("'"&amp;C4&amp;"'"&amp;"!B:B"))</f>
        <v>#DIV/0!</v>
      </c>
      <c r="D20" s="143">
        <f ca="1">SUMIF(INDIRECT("'"&amp;D4&amp;"'"&amp;"!A:A"),'结果表-车库'!B20,INDIRECT("'"&amp;D4&amp;"'"&amp;"!B:B"))</f>
        <v>0</v>
      </c>
      <c r="E20" s="1949"/>
      <c r="F20" s="1157" t="s">
        <v>1981</v>
      </c>
      <c r="G20" s="144" t="e">
        <f ca="1">ROUND(C20*$C$18+D20*$D$18,0)</f>
        <v>#DIV/0!</v>
      </c>
      <c r="H20" s="917" t="s">
        <v>1982</v>
      </c>
      <c r="I20" s="134"/>
    </row>
    <row r="21" spans="1:36" ht="15" customHeight="1" thickBot="1">
      <c r="A21" s="937"/>
      <c r="B21" s="1950" t="s">
        <v>1983</v>
      </c>
      <c r="C21" s="728" t="e">
        <f ca="1">ROUND(C19*10000/L19,0)</f>
        <v>#DIV/0!</v>
      </c>
      <c r="D21" s="729" t="e">
        <f ca="1">ROUND(D19*10000/L19,0)</f>
        <v>#DIV/0!</v>
      </c>
      <c r="E21" s="937"/>
      <c r="F21" s="1950" t="s">
        <v>1983</v>
      </c>
      <c r="G21" s="145" t="e">
        <f ca="1">ROUND(G19*10000/L19,0)</f>
        <v>#DIV/0!</v>
      </c>
      <c r="H21" s="1951" t="s">
        <v>1982</v>
      </c>
      <c r="I21" s="134"/>
    </row>
    <row r="22" spans="1:36" ht="15" thickBot="1">
      <c r="A22" s="1873" t="s">
        <v>1984</v>
      </c>
      <c r="B22" s="1952"/>
      <c r="C22" s="1953"/>
      <c r="D22" s="730">
        <f ca="1">IF(C19&lt;D19,D19/C19-1,C19/D19-1)</f>
        <v>0.35714285714285721</v>
      </c>
      <c r="E22" s="134"/>
      <c r="F22" s="134"/>
      <c r="G22" s="134"/>
      <c r="H22" s="134"/>
      <c r="I22" s="134"/>
    </row>
    <row r="23" spans="1:36" ht="13.5" thickBot="1">
      <c r="A23" s="1932"/>
      <c r="B23" s="1932"/>
      <c r="C23" s="1932"/>
      <c r="D23" s="1932"/>
      <c r="E23" s="134"/>
      <c r="F23" s="134"/>
      <c r="G23" s="134"/>
      <c r="H23" s="134"/>
      <c r="I23" s="134"/>
    </row>
    <row r="24" spans="1:36" ht="14.25">
      <c r="A24" s="3280" t="s">
        <v>1985</v>
      </c>
      <c r="B24" s="1947" t="s">
        <v>1977</v>
      </c>
      <c r="C24" s="141">
        <f>IF(B30=0,0,D30)</f>
        <v>0</v>
      </c>
      <c r="D24" s="1954"/>
      <c r="E24" s="134"/>
      <c r="F24" s="134"/>
      <c r="G24" s="134"/>
      <c r="H24" s="134"/>
      <c r="I24" s="134"/>
    </row>
    <row r="25" spans="1:36" ht="14.25">
      <c r="A25" s="3281"/>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16</v>
      </c>
      <c r="D32" s="1960" t="s">
        <v>3120</v>
      </c>
      <c r="E32" s="134"/>
      <c r="F32" s="134"/>
      <c r="G32" s="134"/>
      <c r="H32" s="134"/>
      <c r="I32" s="134"/>
    </row>
    <row r="33" spans="1:15" ht="15">
      <c r="A33" s="894" t="s">
        <v>1992</v>
      </c>
      <c r="B33" s="1961"/>
      <c r="C33" s="1962"/>
      <c r="D33" s="1963"/>
      <c r="E33" s="1964" t="s">
        <v>1993</v>
      </c>
      <c r="F33" s="1965" t="str">
        <f>IF(D32="楼面单价","取值（单价）","取值（总价）")</f>
        <v>取值（总价）</v>
      </c>
      <c r="G33" s="134"/>
      <c r="H33" s="134"/>
      <c r="I33" s="134"/>
    </row>
    <row r="34" spans="1:15" ht="15">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8"/>
      <c r="G34" s="134"/>
      <c r="H34" s="134"/>
      <c r="I34" s="134"/>
    </row>
    <row r="35" spans="1:15" ht="15.75" thickBot="1">
      <c r="A35" s="1969"/>
      <c r="B35" s="1970"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257" t="s">
        <v>1998</v>
      </c>
      <c r="B36" s="1972" t="s">
        <v>1999</v>
      </c>
      <c r="C36" s="150"/>
      <c r="D36" s="1973"/>
      <c r="E36" s="1974"/>
      <c r="F36" s="1975"/>
      <c r="G36" s="134"/>
      <c r="H36" s="134"/>
      <c r="I36" s="134"/>
    </row>
    <row r="37" spans="1:15" ht="15.75" thickBot="1">
      <c r="A37" s="3258"/>
      <c r="B37" s="1859" t="s">
        <v>2000</v>
      </c>
      <c r="C37" s="152"/>
      <c r="D37" s="1301"/>
      <c r="E37" s="1301"/>
      <c r="F37" s="1975"/>
      <c r="G37" s="134"/>
      <c r="H37" s="134"/>
      <c r="I37" s="134"/>
    </row>
    <row r="38" spans="1:15" ht="15.75" thickBot="1">
      <c r="A38" s="3259"/>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7" t="s">
        <v>2012</v>
      </c>
      <c r="B45" s="3278"/>
      <c r="C45" s="3279"/>
      <c r="D45" s="160">
        <f ca="1">ROUND(H101*F45,0)</f>
        <v>16</v>
      </c>
      <c r="E45" s="161" t="s">
        <v>2013</v>
      </c>
      <c r="F45" s="162">
        <v>1</v>
      </c>
      <c r="G45" s="163" t="s">
        <v>2014</v>
      </c>
      <c r="H45" s="134"/>
      <c r="I45" s="134"/>
      <c r="J45" s="3194" t="s">
        <v>2015</v>
      </c>
      <c r="K45" s="3194"/>
      <c r="L45" s="3194"/>
      <c r="M45" s="3194"/>
      <c r="N45" s="3194"/>
      <c r="O45" s="3194"/>
    </row>
    <row r="46" spans="1:15" ht="14.25" customHeight="1">
      <c r="A46" s="3274" t="s">
        <v>2016</v>
      </c>
      <c r="B46" s="3275"/>
      <c r="C46" s="3275"/>
      <c r="D46" s="3275"/>
      <c r="E46" s="3275"/>
      <c r="F46" s="3275"/>
      <c r="G46" s="3276"/>
      <c r="H46" s="1991"/>
      <c r="I46" s="164"/>
      <c r="J46" s="3079">
        <v>1</v>
      </c>
      <c r="K46" s="3195" t="s">
        <v>2017</v>
      </c>
      <c r="L46" s="3195"/>
      <c r="M46" s="3196"/>
      <c r="N46" s="3196"/>
      <c r="O46" s="3196"/>
    </row>
    <row r="47" spans="1:15" ht="12" customHeight="1">
      <c r="A47" s="165" t="s">
        <v>2018</v>
      </c>
      <c r="B47" s="166"/>
      <c r="C47" s="167"/>
      <c r="D47" s="1247" t="s">
        <v>2019</v>
      </c>
      <c r="E47" s="308" t="s">
        <v>2020</v>
      </c>
      <c r="F47" s="168" t="s">
        <v>2021</v>
      </c>
      <c r="G47" s="2771" t="s">
        <v>2022</v>
      </c>
      <c r="H47" s="2772"/>
      <c r="I47" s="164"/>
      <c r="J47" s="3079">
        <v>2</v>
      </c>
      <c r="K47" s="3195" t="s">
        <v>2023</v>
      </c>
      <c r="L47" s="3195"/>
      <c r="M47" s="3197">
        <f>'数据-取费表'!B2</f>
        <v>44442</v>
      </c>
      <c r="N47" s="3197"/>
      <c r="O47" s="3197"/>
    </row>
    <row r="48" spans="1:15" ht="25.5">
      <c r="A48" s="3260" t="s">
        <v>2024</v>
      </c>
      <c r="B48" s="3261"/>
      <c r="C48" s="3261"/>
      <c r="D48" s="3081" t="b">
        <f>IF(H48="情况1",0,IF(H48="情况2",D52,IF(H48="情况3",D53,IF(H48="情况4",D54))))</f>
        <v>0</v>
      </c>
      <c r="E48" s="3070" t="str">
        <f>IF(H48="情况4","(销售额-原购置价)×税（费）率","销售额×税（费）率")</f>
        <v>销售额×税（费）率</v>
      </c>
      <c r="F48" s="2773">
        <f>IF(H48="情况1","免征",'数据-取费表'!B41)</f>
        <v>5.6000000000000001E-2</v>
      </c>
      <c r="G48" s="2774" t="s">
        <v>2025</v>
      </c>
      <c r="H48" s="2775"/>
      <c r="I48" s="1991"/>
      <c r="J48" s="3079">
        <v>3</v>
      </c>
      <c r="K48" s="3195" t="s">
        <v>2026</v>
      </c>
      <c r="L48" s="3195"/>
      <c r="M48" s="3198">
        <f ca="1">H101</f>
        <v>16</v>
      </c>
      <c r="N48" s="3198"/>
      <c r="O48" s="3198"/>
    </row>
    <row r="49" spans="1:35" ht="25.5" customHeight="1">
      <c r="A49" s="3074" t="s">
        <v>2027</v>
      </c>
      <c r="B49" s="3243" t="s">
        <v>2028</v>
      </c>
      <c r="C49" s="3243"/>
      <c r="D49" s="1775">
        <v>0</v>
      </c>
      <c r="E49" s="330" t="s">
        <v>2029</v>
      </c>
      <c r="F49" s="3063" t="s">
        <v>34</v>
      </c>
      <c r="G49" s="3226"/>
      <c r="H49" s="2527" t="s">
        <v>2874</v>
      </c>
      <c r="I49" s="2528"/>
      <c r="J49" s="3079">
        <v>4</v>
      </c>
      <c r="K49" s="3195" t="str">
        <f>IF(项目基本情况!E8="房地产抵押价值","房地产抵押价值","抵押担保权已注销时的房地产抵押价值")</f>
        <v>房地产抵押价值</v>
      </c>
      <c r="L49" s="3195"/>
      <c r="M49" s="3198">
        <f ca="1">IF(项目基本情况!E8="房地产抵押价值",H107,H109)</f>
        <v>16</v>
      </c>
      <c r="N49" s="3198"/>
      <c r="O49" s="3198"/>
    </row>
    <row r="50" spans="1:35" ht="25.5" customHeight="1">
      <c r="A50" s="2776"/>
      <c r="B50" s="3243" t="s">
        <v>2030</v>
      </c>
      <c r="C50" s="3243"/>
      <c r="D50" s="2777"/>
      <c r="E50" s="338"/>
      <c r="F50" s="3063"/>
      <c r="G50" s="3227"/>
      <c r="H50" s="2529" t="s">
        <v>2875</v>
      </c>
      <c r="I50" s="2528"/>
      <c r="J50" s="3194" t="s">
        <v>2031</v>
      </c>
      <c r="K50" s="3194"/>
      <c r="L50" s="3194"/>
      <c r="M50" s="3194"/>
      <c r="N50" s="3194"/>
      <c r="O50" s="3194"/>
    </row>
    <row r="51" spans="1:35" ht="20.45" customHeight="1">
      <c r="A51" s="2778"/>
      <c r="B51" s="3243" t="s">
        <v>2032</v>
      </c>
      <c r="C51" s="3243"/>
      <c r="D51" s="1247"/>
      <c r="E51" s="333"/>
      <c r="F51" s="3063"/>
      <c r="G51" s="3228"/>
      <c r="H51" s="2529" t="s">
        <v>2876</v>
      </c>
      <c r="I51" s="2528"/>
      <c r="J51" s="3078" t="s">
        <v>2033</v>
      </c>
      <c r="K51" s="3195" t="s">
        <v>2034</v>
      </c>
      <c r="L51" s="3195"/>
      <c r="M51" s="3078" t="s">
        <v>2035</v>
      </c>
      <c r="N51" s="3078" t="s">
        <v>2036</v>
      </c>
      <c r="O51" s="3078" t="s">
        <v>2037</v>
      </c>
    </row>
    <row r="52" spans="1:35" ht="24" customHeight="1">
      <c r="A52" s="3069" t="s">
        <v>2038</v>
      </c>
      <c r="B52" s="3243" t="s">
        <v>2039</v>
      </c>
      <c r="C52" s="3243"/>
      <c r="D52" s="1247">
        <f ca="1">ROUND(D45*'数据-取费表'!B41/(1+'数据-取费表'!C42),0)</f>
        <v>1</v>
      </c>
      <c r="E52" s="3070" t="s">
        <v>2040</v>
      </c>
      <c r="F52" s="2779">
        <f>'数据-取费表'!B41</f>
        <v>5.6000000000000001E-2</v>
      </c>
      <c r="G52" s="2780"/>
      <c r="H52" s="2769"/>
      <c r="I52" s="1992"/>
      <c r="J52" s="3079">
        <v>1</v>
      </c>
      <c r="K52" s="3220" t="s">
        <v>2041</v>
      </c>
      <c r="L52" s="3220"/>
      <c r="M52" s="2750" t="b">
        <f>D48</f>
        <v>0</v>
      </c>
      <c r="N52" s="3079" t="str">
        <f>E48</f>
        <v>销售额×税（费）率</v>
      </c>
      <c r="O52" s="2751">
        <f>F48</f>
        <v>5.6000000000000001E-2</v>
      </c>
    </row>
    <row r="53" spans="1:35" ht="12" customHeight="1">
      <c r="A53" s="3069" t="s">
        <v>2042</v>
      </c>
      <c r="B53" s="3244" t="s">
        <v>3035</v>
      </c>
      <c r="C53" s="3245"/>
      <c r="D53" s="1247">
        <f ca="1">ROUND(D45*'数据-取费表'!B41/(1+'数据-取费表'!C42),0)</f>
        <v>1</v>
      </c>
      <c r="E53" s="3070" t="s">
        <v>2040</v>
      </c>
      <c r="F53" s="2779">
        <f>'数据-取费表'!B41</f>
        <v>5.6000000000000001E-2</v>
      </c>
      <c r="G53" s="2780"/>
      <c r="H53" s="2769"/>
      <c r="I53" s="1992"/>
      <c r="J53" s="3079">
        <v>2</v>
      </c>
      <c r="K53" s="3220" t="s">
        <v>2043</v>
      </c>
      <c r="L53" s="3220"/>
      <c r="M53" s="2750">
        <f t="shared" ref="M53:O54" ca="1" si="0">D55</f>
        <v>0</v>
      </c>
      <c r="N53" s="3079" t="str">
        <f t="shared" si="0"/>
        <v>销售额×税（费）率</v>
      </c>
      <c r="O53" s="2751" t="str">
        <f t="shared" si="0"/>
        <v>免征</v>
      </c>
    </row>
    <row r="54" spans="1:35" ht="12" customHeight="1">
      <c r="A54" s="3069" t="s">
        <v>2044</v>
      </c>
      <c r="B54" s="3244" t="s">
        <v>3036</v>
      </c>
      <c r="C54" s="3245"/>
      <c r="D54" s="1247">
        <f ca="1">C68</f>
        <v>1</v>
      </c>
      <c r="E54" s="333" t="s">
        <v>2045</v>
      </c>
      <c r="F54" s="2779">
        <f>'数据-取费表'!B41</f>
        <v>5.6000000000000001E-2</v>
      </c>
      <c r="G54" s="2780"/>
      <c r="H54" s="2781"/>
      <c r="I54" s="1992"/>
      <c r="J54" s="3079">
        <v>3</v>
      </c>
      <c r="K54" s="3220" t="s">
        <v>2046</v>
      </c>
      <c r="L54" s="3220"/>
      <c r="M54" s="2750" t="e">
        <f t="shared" ca="1" si="0"/>
        <v>#DIV/0!</v>
      </c>
      <c r="N54" s="3079" t="str">
        <f t="shared" si="0"/>
        <v>增值额×税（费）率</v>
      </c>
      <c r="O54" s="2752" t="str">
        <f t="shared" si="0"/>
        <v>免征</v>
      </c>
    </row>
    <row r="55" spans="1:35" ht="24" customHeight="1">
      <c r="A55" s="3283" t="s">
        <v>2047</v>
      </c>
      <c r="B55" s="3261"/>
      <c r="C55" s="3261"/>
      <c r="D55" s="3081">
        <f ca="1">IF(H55="个人住宅",0,ROUND(D45*I55,0))</f>
        <v>0</v>
      </c>
      <c r="E55" s="3070" t="s">
        <v>2048</v>
      </c>
      <c r="F55" s="2779" t="str">
        <f>IF(H55="正常",I55,"免征")</f>
        <v>免征</v>
      </c>
      <c r="G55" s="2780"/>
      <c r="H55" s="2775"/>
      <c r="I55" s="170">
        <f>'数据-取费表'!B49</f>
        <v>5.0000000000000001E-4</v>
      </c>
      <c r="J55" s="3079">
        <f>IF(H59="非个人房产","",4)</f>
        <v>4</v>
      </c>
      <c r="K55" s="3220" t="str">
        <f>IF(H59="非个人房产","——","个人所得税")</f>
        <v>个人所得税</v>
      </c>
      <c r="L55" s="3220"/>
      <c r="M55" s="2753">
        <f ca="1">D59</f>
        <v>0</v>
      </c>
      <c r="N55" s="3080" t="str">
        <f>E59</f>
        <v>差额计税</v>
      </c>
      <c r="O55" s="2754">
        <f>F59</f>
        <v>0.01</v>
      </c>
    </row>
    <row r="56" spans="1:35" ht="24.75">
      <c r="A56" s="3283" t="s">
        <v>2049</v>
      </c>
      <c r="B56" s="3261"/>
      <c r="C56" s="3261"/>
      <c r="D56" s="3081" t="e">
        <f ca="1">IF(H56="个人住宅",D57,D58)</f>
        <v>#DIV/0!</v>
      </c>
      <c r="E56" s="3070" t="s">
        <v>2050</v>
      </c>
      <c r="F56" s="2779" t="str">
        <f>IF(H56="正常",F58,"免征")</f>
        <v>免征</v>
      </c>
      <c r="G56" s="2782" t="s">
        <v>2051</v>
      </c>
      <c r="H56" s="2783"/>
      <c r="I56" s="1993"/>
      <c r="J56" s="3079" t="str">
        <f>IF(项目基本情况!K6="上海银行",IF(J55="",4,J55+1),"")</f>
        <v/>
      </c>
      <c r="K56" s="3201" t="str">
        <f>IF(项目基本情况!K6="上海银行","其他处置费用","")</f>
        <v/>
      </c>
      <c r="L56" s="3202"/>
      <c r="M56" s="2750" t="str">
        <f>IF(项目基本情况!K6="上海银行",M69,"")</f>
        <v/>
      </c>
      <c r="N56" s="3201" t="str">
        <f>IF(项目基本情况!K6="上海银行","包含处置中涉及的律师、诉讼、拍卖、评估等费用","")</f>
        <v/>
      </c>
      <c r="O56" s="3204"/>
    </row>
    <row r="57" spans="1:35" ht="12.75">
      <c r="A57" s="3069" t="s">
        <v>2027</v>
      </c>
      <c r="B57" s="3244" t="s">
        <v>2052</v>
      </c>
      <c r="C57" s="3245"/>
      <c r="D57" s="1775">
        <v>0</v>
      </c>
      <c r="E57" s="330" t="s">
        <v>2029</v>
      </c>
      <c r="F57" s="308"/>
      <c r="G57" s="2780"/>
      <c r="H57" s="2784"/>
      <c r="I57" s="1993"/>
      <c r="J57" s="3220">
        <f>IF(AND(J55="",J56=""),4,IF(项目基本情况!K6="上海银行",'结果表-车库'!J56+1,'结果表-车库'!J55+1))</f>
        <v>5</v>
      </c>
      <c r="K57" s="3220" t="s">
        <v>2053</v>
      </c>
      <c r="L57" s="2755" t="s">
        <v>2054</v>
      </c>
      <c r="M57" s="2756"/>
      <c r="N57" s="2757">
        <f ca="1">SUMIF(M52:M56,"&lt;9e307")</f>
        <v>0</v>
      </c>
      <c r="O57" s="2758"/>
      <c r="P57" s="2918">
        <f ca="1">N57/M49</f>
        <v>0</v>
      </c>
    </row>
    <row r="58" spans="1:35" ht="24.75">
      <c r="A58" s="3069" t="s">
        <v>2038</v>
      </c>
      <c r="B58" s="3244" t="s">
        <v>2055</v>
      </c>
      <c r="C58" s="3243"/>
      <c r="D58" s="3081" t="e">
        <f ca="1">IF(H58="转让取得",C81,C97)</f>
        <v>#DIV/0!</v>
      </c>
      <c r="E58" s="3070" t="s">
        <v>2050</v>
      </c>
      <c r="F58" s="308" t="s">
        <v>34</v>
      </c>
      <c r="G58" s="2780"/>
      <c r="H58" s="2783"/>
      <c r="I58" s="1993"/>
      <c r="J58" s="3220"/>
      <c r="K58" s="3220"/>
      <c r="L58" s="2755" t="s">
        <v>2056</v>
      </c>
      <c r="M58" s="2759"/>
      <c r="N58" s="2760" t="str">
        <f ca="1">NUMBERSTRING(INT(N57*10000),2)&amp;"元整"</f>
        <v>零元整</v>
      </c>
      <c r="O58" s="2761"/>
    </row>
    <row r="59" spans="1:35" ht="24.75" thickBot="1">
      <c r="A59" s="3224" t="s">
        <v>2057</v>
      </c>
      <c r="B59" s="3225"/>
      <c r="C59" s="3225"/>
      <c r="D59" s="2785">
        <f ca="1">IF(H59="非个人房产","——",IF(H59="个人住宅（满五唯一有凭证）",0,IF(H59="个人其他（无凭证）",ROUND(D45*F59,0),ROUND(C67*F59,0))))</f>
        <v>0</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2877</v>
      </c>
      <c r="J59" s="3222">
        <f>J57+1</f>
        <v>6</v>
      </c>
      <c r="K59" s="3220" t="s">
        <v>2058</v>
      </c>
      <c r="L59" s="3079" t="s">
        <v>2054</v>
      </c>
      <c r="M59" s="2762"/>
      <c r="N59" s="2763">
        <f ca="1">M49-N57</f>
        <v>16</v>
      </c>
      <c r="O59" s="2764"/>
    </row>
    <row r="60" spans="1:35" ht="12" customHeight="1">
      <c r="A60" s="1994"/>
      <c r="B60" s="1932"/>
      <c r="C60" s="1932"/>
      <c r="D60" s="1932"/>
      <c r="E60" s="1763"/>
      <c r="F60" s="1993"/>
      <c r="G60" s="1993"/>
      <c r="H60" s="1995"/>
      <c r="I60" s="134"/>
      <c r="J60" s="3223"/>
      <c r="K60" s="3220"/>
      <c r="L60" s="2755" t="s">
        <v>2056</v>
      </c>
      <c r="M60" s="2759"/>
      <c r="N60" s="2760" t="str">
        <f ca="1">NUMBERSTRING(INT(N59*10000),2)&amp;"元整"</f>
        <v>壹拾陆万元整</v>
      </c>
      <c r="O60" s="2761"/>
    </row>
    <row r="61" spans="1:35" ht="13.5" thickBot="1">
      <c r="A61" s="3282" t="s">
        <v>2059</v>
      </c>
      <c r="B61" s="3282"/>
      <c r="C61" s="3282"/>
      <c r="D61" s="3282"/>
      <c r="E61" s="3282"/>
      <c r="F61" s="1993"/>
      <c r="G61" s="1993"/>
      <c r="H61" s="1995"/>
      <c r="I61" s="134"/>
      <c r="J61" s="3079">
        <f>J59+1</f>
        <v>7</v>
      </c>
      <c r="K61" s="3220" t="s">
        <v>2060</v>
      </c>
      <c r="L61" s="3220"/>
      <c r="M61" s="2765"/>
      <c r="N61" s="2766">
        <f ca="1">ROUND(N59*10000/'数据-汇总表'!E3,0)</f>
        <v>67</v>
      </c>
      <c r="O61" s="2767"/>
    </row>
    <row r="62" spans="1:35" ht="12.75">
      <c r="A62" s="3239" t="s">
        <v>2061</v>
      </c>
      <c r="B62" s="3240"/>
      <c r="C62" s="3073"/>
      <c r="D62" s="3073" t="s">
        <v>2062</v>
      </c>
      <c r="E62" s="171" t="s">
        <v>2063</v>
      </c>
      <c r="F62" s="1993"/>
      <c r="G62" s="1993"/>
      <c r="H62" s="1995"/>
      <c r="I62" s="134"/>
    </row>
    <row r="63" spans="1:35" ht="12.75">
      <c r="A63" s="178" t="s">
        <v>775</v>
      </c>
      <c r="B63" s="172" t="s">
        <v>2064</v>
      </c>
      <c r="C63" s="2789">
        <f ca="1">ROUND((C64+C65)/(1+'数据-取费表'!C42),0)</f>
        <v>15</v>
      </c>
      <c r="D63" s="172"/>
      <c r="E63" s="173"/>
      <c r="F63" s="1993"/>
      <c r="G63" s="1993"/>
      <c r="H63" s="1995"/>
      <c r="I63" s="134"/>
      <c r="J63" s="3203" t="s">
        <v>2065</v>
      </c>
      <c r="K63" s="3082" t="s">
        <v>2066</v>
      </c>
      <c r="L63" s="3082">
        <f ca="1">IF(M49&gt;10000,M49*0.5%,IF(AND(M49&gt;1000,M49&lt;=10000),M49*1%,IF(AND(M49&gt;100,M49&lt;=1000),M49*3%,IF(AND(M49&gt;10,M49&lt;=100),M49*5%,M49*8%))))</f>
        <v>0.8</v>
      </c>
      <c r="M63" s="308">
        <f ca="1">ROUND(L63,1)</f>
        <v>0.8</v>
      </c>
      <c r="N63" s="2768"/>
      <c r="Z63" s="1937"/>
      <c r="AI63" s="1938"/>
    </row>
    <row r="64" spans="1:35" ht="14.25" customHeight="1">
      <c r="A64" s="174" t="s">
        <v>770</v>
      </c>
      <c r="B64" s="175" t="s">
        <v>2067</v>
      </c>
      <c r="C64" s="2790">
        <f ca="1">D45</f>
        <v>16</v>
      </c>
      <c r="D64" s="175" t="s">
        <v>32</v>
      </c>
      <c r="E64" s="177"/>
      <c r="F64" s="1993"/>
      <c r="G64" s="1993"/>
      <c r="H64" s="1995"/>
      <c r="I64" s="134"/>
      <c r="J64" s="3203"/>
      <c r="K64" s="3082" t="s">
        <v>2068</v>
      </c>
      <c r="L64" s="3082">
        <f ca="1">IF(M49&gt;2000,M49*0.5%,IF(AND(M49&gt;1000,M49&lt;=2000),M49*0.6%,IF(AND(M49&gt;500,M49&lt;=1000),M49*0.7%,IF(AND(M49&gt;200,M49&lt;=500),M49*0.8%,IF(AND(M49&gt;100,M49&lt;=200),M49*0.9%,IF(AND(M49&gt;50,M49&lt;=100),M49*1%,IF(AND(M49&gt;20,M49&lt;=50),M49*1.5%,IF(AND(M49&gt;10,M49&lt;=20),M49*2%,IF(AND(M49&gt;1,M49&lt;=10),M49*2.5%)))))))))</f>
        <v>0.32</v>
      </c>
      <c r="M64" s="308">
        <f t="shared" ref="M64:M65" ca="1" si="1">ROUND(L64,1)</f>
        <v>0.3</v>
      </c>
      <c r="N64" s="2769" t="s">
        <v>2069</v>
      </c>
      <c r="Z64" s="1937"/>
      <c r="AI64" s="1938"/>
    </row>
    <row r="65" spans="1:35" ht="14.25" customHeight="1">
      <c r="A65" s="174" t="s">
        <v>771</v>
      </c>
      <c r="B65" s="175" t="s">
        <v>2070</v>
      </c>
      <c r="C65" s="2791"/>
      <c r="D65" s="175"/>
      <c r="E65" s="177"/>
      <c r="F65" s="1993"/>
      <c r="G65" s="1993"/>
      <c r="H65" s="1995"/>
      <c r="I65" s="134"/>
      <c r="J65" s="3203"/>
      <c r="K65" s="3082" t="s">
        <v>2071</v>
      </c>
      <c r="L65" s="3082">
        <f ca="1">IF(M49&gt;1000,M49*0.1%,IF(AND(M49&gt;500,M49&lt;=1000),M49*0.5%,IF(AND(M49&gt;50,M49&lt;=500),M49*1%,IF(AND(M49&gt;1,M49&lt;=50),M49*1.5%))))</f>
        <v>0.24</v>
      </c>
      <c r="M65" s="308">
        <f t="shared" ca="1" si="1"/>
        <v>0.2</v>
      </c>
      <c r="N65" s="2769" t="s">
        <v>2069</v>
      </c>
      <c r="Z65" s="1937"/>
      <c r="AI65" s="1938"/>
    </row>
    <row r="66" spans="1:35" ht="14.25" customHeight="1">
      <c r="A66" s="178" t="s">
        <v>772</v>
      </c>
      <c r="B66" s="179" t="s">
        <v>2072</v>
      </c>
      <c r="C66" s="2792"/>
      <c r="D66" s="179" t="s">
        <v>32</v>
      </c>
      <c r="E66" s="1509" t="s">
        <v>1337</v>
      </c>
      <c r="F66" s="1993"/>
      <c r="G66" s="1993"/>
      <c r="H66" s="1995"/>
      <c r="I66" s="134"/>
      <c r="J66" s="3203"/>
      <c r="K66" s="3082" t="s">
        <v>2073</v>
      </c>
      <c r="L66" s="3082">
        <f ca="1">M49*0.5%</f>
        <v>0.08</v>
      </c>
      <c r="M66" s="308">
        <f ca="1">IF(L66&gt;0.5,0.5,ROUND(L66,0))</f>
        <v>0</v>
      </c>
      <c r="N66" s="2769" t="s">
        <v>2074</v>
      </c>
      <c r="Z66" s="1937"/>
      <c r="AI66" s="1938"/>
    </row>
    <row r="67" spans="1:35" ht="14.25" customHeight="1">
      <c r="A67" s="178" t="s">
        <v>773</v>
      </c>
      <c r="B67" s="179" t="s">
        <v>2075</v>
      </c>
      <c r="C67" s="2793">
        <f ca="1">C63-C66</f>
        <v>15</v>
      </c>
      <c r="D67" s="175" t="s">
        <v>32</v>
      </c>
      <c r="E67" s="177"/>
      <c r="F67" s="1993"/>
      <c r="G67" s="1993"/>
      <c r="H67" s="1995"/>
      <c r="I67" s="134"/>
      <c r="J67" s="3203"/>
      <c r="K67" s="3082" t="s">
        <v>2076</v>
      </c>
      <c r="L67" s="3082">
        <f ca="1">IF(M49&gt;=10000,(8.25+(M49-10000)*0.01%),IF(AND(M49&gt;=8000,M49&lt;10000),(7.85+(M49-8000)*0.02%),IF(AND(M49&gt;=5000,M49&lt;8000),(6.65+(M49-5000)*0.04%),IF(AND(M49&gt;=2000,M49&lt;5000),(4.25+(PM49-2000)*0.08%),IF(AND(M49&gt;=1000,M49&lt;2000),(2.75+(M49-1000)*0.15%),IF(AND(M49&gt;=100,M49&lt;1000),(0.5+(M49-100)*0.25%),IF(AND(M49&gt;0,M49&lt;100),M49*0.5%)))))))</f>
        <v>0.08</v>
      </c>
      <c r="M67" s="308">
        <f ca="1">ROUND(L67*0.9,1)</f>
        <v>0.1</v>
      </c>
      <c r="N67" s="2768"/>
      <c r="Z67" s="1937"/>
      <c r="AI67" s="1938"/>
    </row>
    <row r="68" spans="1:35" ht="14.25" customHeight="1" thickBot="1">
      <c r="A68" s="181" t="s">
        <v>774</v>
      </c>
      <c r="B68" s="182" t="s">
        <v>2077</v>
      </c>
      <c r="C68" s="2794">
        <f ca="1">IF(C67&lt;=0,0,ROUND(C67*D68,0))</f>
        <v>1</v>
      </c>
      <c r="D68" s="2795">
        <f>'数据-取费表'!B41</f>
        <v>5.6000000000000001E-2</v>
      </c>
      <c r="E68" s="184"/>
      <c r="F68" s="1993"/>
      <c r="G68" s="1993"/>
      <c r="H68" s="1995"/>
      <c r="I68" s="134"/>
      <c r="J68" s="3203"/>
      <c r="K68" s="3082" t="s">
        <v>2078</v>
      </c>
      <c r="L68" s="3082">
        <f ca="1">IF(M49&gt;10000,M49*0.5%,IF(AND(M49&gt;5000,M49&lt;=10000),M49*1%,IF(AND(M49&gt;1000,M49&lt;=5000),M49*2%,IF(AND(M49&gt;200,M49&lt;=1000),M49*3%,M49*5%))))</f>
        <v>0.8</v>
      </c>
      <c r="M68" s="308">
        <f ca="1">ROUND(L68,1)</f>
        <v>0.8</v>
      </c>
      <c r="N68" s="2768"/>
      <c r="Z68" s="1937"/>
      <c r="AI68" s="1938"/>
    </row>
    <row r="69" spans="1:35" s="1957" customFormat="1" ht="16.5" customHeight="1">
      <c r="A69" s="1996"/>
      <c r="B69" s="1997"/>
      <c r="C69" s="1998"/>
      <c r="D69" s="1999"/>
      <c r="E69" s="2000"/>
      <c r="F69" s="1763"/>
      <c r="G69" s="1763"/>
      <c r="H69" s="1762"/>
      <c r="I69" s="1932"/>
      <c r="J69" s="3203"/>
      <c r="K69" s="3082" t="s">
        <v>2079</v>
      </c>
      <c r="L69" s="3082"/>
      <c r="M69" s="308">
        <f ca="1">ROUND(SUM(M63:M68),0)</f>
        <v>2</v>
      </c>
      <c r="N69" s="2770">
        <f ca="1">M69/M49</f>
        <v>0.125</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7" t="s">
        <v>2080</v>
      </c>
      <c r="B70" s="3248"/>
      <c r="C70" s="3248"/>
      <c r="D70" s="3248"/>
      <c r="E70" s="3248"/>
      <c r="F70" s="3248"/>
      <c r="G70" s="3248"/>
      <c r="H70" s="3248"/>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9" t="s">
        <v>2061</v>
      </c>
      <c r="B71" s="3240"/>
      <c r="C71" s="3073"/>
      <c r="D71" s="3073"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15</v>
      </c>
      <c r="D72" s="175" t="s">
        <v>32</v>
      </c>
      <c r="E72" s="3072"/>
      <c r="F72" s="3065"/>
      <c r="G72" s="3065"/>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0</v>
      </c>
      <c r="D73" s="175" t="s">
        <v>32</v>
      </c>
      <c r="E73" s="3072"/>
      <c r="F73" s="3065"/>
      <c r="G73" s="3065"/>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3072"/>
      <c r="F74" s="3065"/>
      <c r="G74" s="3065"/>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44" t="s">
        <v>2088</v>
      </c>
      <c r="F76" s="3243"/>
      <c r="G76" s="3243"/>
      <c r="H76" s="3246"/>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3081" t="s">
        <v>2090</v>
      </c>
      <c r="F77" s="192"/>
      <c r="G77" s="2007"/>
      <c r="H77" s="3076"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0</v>
      </c>
      <c r="D78" s="2802">
        <f>'数据-取费表'!B43</f>
        <v>6.000000000000001E-3</v>
      </c>
      <c r="E78" s="3236" t="s">
        <v>2092</v>
      </c>
      <c r="F78" s="3237"/>
      <c r="G78" s="3237"/>
      <c r="H78" s="323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15</v>
      </c>
      <c r="D79" s="175" t="s">
        <v>32</v>
      </c>
      <c r="E79" s="3072"/>
      <c r="F79" s="3065"/>
      <c r="G79" s="3065"/>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t="e">
        <f ca="1">IF(C79&lt;=0,0,C79/C73)</f>
        <v>#DIV/0!</v>
      </c>
      <c r="D80" s="175" t="s">
        <v>32</v>
      </c>
      <c r="E80" s="3081" t="e">
        <f ca="1">IF(C80&gt;=200%,"增值额超过扣除项目金额200%",IF(C80&gt;=100%,"增值额超过扣除项目金额100%，未超过200%",IF(C80&gt;=50%,"增值额超过扣除项目金额50%，未超过100%",IF(C80&lt;50%,"增值额未超过扣除项目金额50%"))))</f>
        <v>#DIV/0!</v>
      </c>
      <c r="F80" s="3065"/>
      <c r="G80" s="3065"/>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t="e">
        <f ca="1">ROUND(IF(C79&lt;=0,0,IF(C80&gt;=200%,C79*60%-C73*35%,IF(C80&gt;=100%,C79*50%-C73*15%,IF(C80&gt;=50%,C79*40%-C73*5%,IF(C80&lt;50%,C79*30%,0))))),0)</f>
        <v>#DIV/0!</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7" t="s">
        <v>2096</v>
      </c>
      <c r="B83" s="3248"/>
      <c r="C83" s="3248"/>
      <c r="D83" s="3248"/>
      <c r="E83" s="3248"/>
      <c r="F83" s="3248"/>
      <c r="G83" s="3248"/>
      <c r="H83" s="3248"/>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9" t="s">
        <v>2061</v>
      </c>
      <c r="B84" s="3240"/>
      <c r="C84" s="3073"/>
      <c r="D84" s="3073"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15</v>
      </c>
      <c r="D85" s="175" t="s">
        <v>32</v>
      </c>
      <c r="E85" s="3072"/>
      <c r="F85" s="3065"/>
      <c r="G85" s="3065"/>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0</v>
      </c>
      <c r="D86" s="2806"/>
      <c r="E86" s="3072"/>
      <c r="F86" s="3065"/>
      <c r="G86" s="3065"/>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066"/>
      <c r="F87" s="3067"/>
      <c r="G87" s="3067"/>
      <c r="H87" s="307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06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067"/>
      <c r="G89" s="3067"/>
      <c r="H89" s="307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067"/>
      <c r="G90" s="3205" t="s">
        <v>2869</v>
      </c>
      <c r="H90" s="3206"/>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6" t="s">
        <v>2105</v>
      </c>
      <c r="F91" s="3237"/>
      <c r="G91" s="3237"/>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6" t="s">
        <v>2108</v>
      </c>
      <c r="F92" s="3237"/>
      <c r="G92" s="3237"/>
      <c r="H92" s="3238"/>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0</v>
      </c>
      <c r="D93" s="2802">
        <f>'数据-取费表'!B43</f>
        <v>6.000000000000001E-3</v>
      </c>
      <c r="E93" s="3236" t="s">
        <v>2092</v>
      </c>
      <c r="F93" s="3237"/>
      <c r="G93" s="3237"/>
      <c r="H93" s="323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84" t="s">
        <v>2112</v>
      </c>
      <c r="F94" s="3285"/>
      <c r="G94" s="3285"/>
      <c r="H94" s="3286"/>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15</v>
      </c>
      <c r="D95" s="175" t="s">
        <v>32</v>
      </c>
      <c r="E95" s="3072"/>
      <c r="F95" s="3065"/>
      <c r="G95" s="3065"/>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t="e">
        <f ca="1">IF(C95&lt;=0,0,C95/C86)</f>
        <v>#DIV/0!</v>
      </c>
      <c r="D96" s="175" t="s">
        <v>32</v>
      </c>
      <c r="E96" s="3081" t="e">
        <f ca="1">IF(C96&gt;=200%,"增值额超过扣除项目金额200%",IF(C96&gt;=100%,"增值额超过扣除项目金额100%，未超过200%",IF(C96&gt;=50%,"增值额超过扣除项目金额50%，未超过100%",IF(C96&lt;50%,"增值额未超过扣除项目金额50%"))))</f>
        <v>#DIV/0!</v>
      </c>
      <c r="F96" s="3065"/>
      <c r="G96" s="3065"/>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t="e">
        <f ca="1">ROUND(IF(C95&lt;=0,0,IF(C96&gt;=200%,C95*60%-C86*35%,IF(C96&gt;=100%,C95*50%-C86*15%,IF(C96&gt;=50%,C95*40%-C86*5%,IF(C96&lt;50%,C95*30%,0))))),0)</f>
        <v>#DIV/0!</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186" t="s">
        <v>2114</v>
      </c>
      <c r="B100" s="3187"/>
      <c r="C100" s="3187"/>
      <c r="D100" s="3221"/>
      <c r="E100" s="3187" t="s">
        <v>2115</v>
      </c>
      <c r="F100" s="3187"/>
      <c r="G100" s="3187"/>
      <c r="H100" s="3221"/>
      <c r="I100" s="134"/>
    </row>
    <row r="101" spans="1:35" ht="18.75" customHeight="1">
      <c r="A101" s="3229" t="s">
        <v>2116</v>
      </c>
      <c r="B101" s="3230"/>
      <c r="C101" s="2810" t="str">
        <f>C4</f>
        <v>比较法-车位</v>
      </c>
      <c r="D101" s="2811" t="str">
        <f>D4</f>
        <v>收益法 (元)-车库</v>
      </c>
      <c r="E101" s="3199" t="s">
        <v>2117</v>
      </c>
      <c r="F101" s="3200"/>
      <c r="G101" s="2012" t="s">
        <v>2118</v>
      </c>
      <c r="H101" s="2820">
        <f ca="1">H118</f>
        <v>16</v>
      </c>
      <c r="I101" s="134"/>
    </row>
    <row r="102" spans="1:35" ht="18.75" customHeight="1">
      <c r="A102" s="3231" t="s">
        <v>2119</v>
      </c>
      <c r="B102" s="2809" t="s">
        <v>2118</v>
      </c>
      <c r="C102" s="2810">
        <f ca="1">C19</f>
        <v>19</v>
      </c>
      <c r="D102" s="2811">
        <f ca="1">D19</f>
        <v>14</v>
      </c>
      <c r="E102" s="3199"/>
      <c r="F102" s="3200"/>
      <c r="G102" s="2012" t="s">
        <v>2120</v>
      </c>
      <c r="H102" s="2780" t="e">
        <f ca="1">I118</f>
        <v>#DIV/0!</v>
      </c>
      <c r="I102" s="134"/>
    </row>
    <row r="103" spans="1:35" ht="42.75" customHeight="1">
      <c r="A103" s="3231"/>
      <c r="B103" s="2809" t="s">
        <v>2120</v>
      </c>
      <c r="C103" s="2812" t="e">
        <f ca="1">C20</f>
        <v>#DIV/0!</v>
      </c>
      <c r="D103" s="2813">
        <f ca="1">D20</f>
        <v>0</v>
      </c>
      <c r="E103" s="3192" t="s">
        <v>2121</v>
      </c>
      <c r="F103" s="3193"/>
      <c r="G103" s="2013" t="s">
        <v>2122</v>
      </c>
      <c r="H103" s="2820">
        <f>IF(D36="正常操作",H104+H105+H106,H105+H106)</f>
        <v>0</v>
      </c>
      <c r="I103" s="134"/>
    </row>
    <row r="104" spans="1:35" ht="18.75" customHeight="1">
      <c r="A104" s="3231" t="s">
        <v>2123</v>
      </c>
      <c r="B104" s="2814" t="s">
        <v>2118</v>
      </c>
      <c r="C104" s="2815">
        <f ca="1">H118</f>
        <v>16</v>
      </c>
      <c r="D104" s="2816"/>
      <c r="E104" s="1859" t="s">
        <v>2124</v>
      </c>
      <c r="F104" s="1851"/>
      <c r="G104" s="2013" t="s">
        <v>2122</v>
      </c>
      <c r="H104" s="2821">
        <f>IF(D36="同一抵押权人同一抵押物续贷",C36&amp;"（续贷，未扣减，详见特别提示）",C36)</f>
        <v>0</v>
      </c>
      <c r="I104" s="134"/>
    </row>
    <row r="105" spans="1:35" ht="18.75" customHeight="1" thickBot="1">
      <c r="A105" s="3241"/>
      <c r="B105" s="2817" t="s">
        <v>2120</v>
      </c>
      <c r="C105" s="2818" t="e">
        <f ca="1">I118</f>
        <v>#DIV/0!</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32" t="str">
        <f>IF(项目基本情况!E8="已注销","——","3.房地产抵押价值")</f>
        <v>3.房地产抵押价值</v>
      </c>
      <c r="F107" s="3200"/>
      <c r="G107" s="2012" t="s">
        <v>2118</v>
      </c>
      <c r="H107" s="2820">
        <f ca="1">IF(E107="——","——",H101-H103)</f>
        <v>16</v>
      </c>
      <c r="I107" s="134"/>
    </row>
    <row r="108" spans="1:35" ht="18.75" customHeight="1">
      <c r="A108" s="134"/>
      <c r="B108" s="134"/>
      <c r="C108" s="134"/>
      <c r="D108" s="134"/>
      <c r="E108" s="3232"/>
      <c r="F108" s="3200"/>
      <c r="G108" s="2012" t="s">
        <v>2120</v>
      </c>
      <c r="H108" s="2780">
        <f ca="1">ROUND(H107*10000/'数据-汇总表'!E3,0)</f>
        <v>67</v>
      </c>
      <c r="I108" s="134"/>
    </row>
    <row r="109" spans="1:35" ht="18.75" customHeight="1">
      <c r="A109" s="134"/>
      <c r="B109" s="134"/>
      <c r="C109" s="134"/>
      <c r="D109" s="134"/>
      <c r="E109" s="3232" t="str">
        <f>IF(项目基本情况!E8="已注销及未注销","4.抵押担保权已注销时的房地产抵押价值",IF(项目基本情况!E8="已注销","3.抵押担保权已注销时的房地产抵押价值","——"))</f>
        <v>——</v>
      </c>
      <c r="F109" s="3200"/>
      <c r="G109" s="2012" t="s">
        <v>2118</v>
      </c>
      <c r="H109" s="2823" t="str">
        <f>IF(E109="——","——",H101-H105-H106)</f>
        <v>——</v>
      </c>
      <c r="I109" s="134"/>
    </row>
    <row r="110" spans="1:35" ht="18.75" customHeight="1">
      <c r="A110" s="134"/>
      <c r="B110" s="134"/>
      <c r="C110" s="134"/>
      <c r="D110" s="134"/>
      <c r="E110" s="3232"/>
      <c r="F110" s="3200"/>
      <c r="G110" s="2012" t="s">
        <v>2120</v>
      </c>
      <c r="H110" s="2780" t="str">
        <f>IF(H109="——","——",ROUND(H109*10000/'数据-汇总表'!E3,0))</f>
        <v>——</v>
      </c>
      <c r="I110" s="134"/>
    </row>
    <row r="111" spans="1:35" ht="18.75" customHeight="1">
      <c r="A111" s="134"/>
      <c r="B111" s="134"/>
      <c r="C111" s="134"/>
      <c r="D111" s="134"/>
      <c r="E111" s="3233" t="str">
        <f>IF(项目基本情况!E9="抵押净值",IF(OR(项目基本情况!E8="已注销",项目基本情况!E8="房地产抵押价值"),"4.抵押净值","5.抵押净值"),"——")</f>
        <v>——</v>
      </c>
      <c r="F111" s="3219"/>
      <c r="G111" s="2012" t="s">
        <v>2118</v>
      </c>
      <c r="H111" s="2820" t="str">
        <f>IF(E111="——","——",N59)</f>
        <v>——</v>
      </c>
      <c r="I111" s="134"/>
    </row>
    <row r="112" spans="1:35" ht="18.75" customHeight="1" thickBot="1">
      <c r="A112" s="134"/>
      <c r="B112" s="134"/>
      <c r="C112" s="134"/>
      <c r="D112" s="134"/>
      <c r="E112" s="3234"/>
      <c r="F112" s="3235"/>
      <c r="G112" s="2015" t="s">
        <v>2120</v>
      </c>
      <c r="H112" s="2824" t="str">
        <f>IF(E111="——","——",N61)</f>
        <v>——</v>
      </c>
      <c r="I112" s="134"/>
    </row>
    <row r="113" spans="1:27" ht="18.75" customHeight="1">
      <c r="A113" s="134"/>
      <c r="B113" s="134"/>
      <c r="C113" s="134"/>
      <c r="D113" s="134"/>
      <c r="E113" s="3242" t="s">
        <v>2126</v>
      </c>
      <c r="F113" s="3242"/>
      <c r="G113" s="3242"/>
      <c r="H113" s="3242"/>
      <c r="I113" s="134"/>
    </row>
    <row r="114" spans="1:27" ht="3.75" customHeight="1">
      <c r="A114" s="1932"/>
      <c r="B114" s="1932"/>
      <c r="C114" s="1932"/>
      <c r="D114" s="1932"/>
      <c r="E114" s="1994"/>
      <c r="F114" s="1994"/>
      <c r="G114" s="1994"/>
      <c r="H114" s="1994"/>
      <c r="I114" s="1932"/>
    </row>
    <row r="115" spans="1:27" ht="18.75" customHeight="1">
      <c r="A115" s="3253" t="s">
        <v>2128</v>
      </c>
      <c r="B115" s="3254"/>
      <c r="C115" s="3254"/>
      <c r="D115" s="3254"/>
      <c r="E115" s="3254"/>
      <c r="F115" s="3254"/>
      <c r="G115" s="3254"/>
      <c r="H115" s="3254"/>
      <c r="I115" s="3255"/>
    </row>
    <row r="116" spans="1:27" ht="27" customHeight="1">
      <c r="A116" s="3207" t="s">
        <v>2129</v>
      </c>
      <c r="B116" s="3211" t="s">
        <v>2130</v>
      </c>
      <c r="C116" s="3211" t="s">
        <v>2131</v>
      </c>
      <c r="D116" s="3217" t="s">
        <v>2132</v>
      </c>
      <c r="E116" s="3218"/>
      <c r="F116" s="3249" t="s">
        <v>2133</v>
      </c>
      <c r="G116" s="3249"/>
      <c r="H116" s="3207" t="s">
        <v>2134</v>
      </c>
      <c r="I116" s="3207"/>
    </row>
    <row r="117" spans="1:27" ht="18.75" customHeight="1">
      <c r="A117" s="3207"/>
      <c r="B117" s="3212"/>
      <c r="C117" s="3212"/>
      <c r="D117" s="3068" t="s">
        <v>2135</v>
      </c>
      <c r="E117" s="3068" t="s">
        <v>2136</v>
      </c>
      <c r="F117" s="3068" t="s">
        <v>2135</v>
      </c>
      <c r="G117" s="3068" t="s">
        <v>2137</v>
      </c>
      <c r="H117" s="3068" t="s">
        <v>2135</v>
      </c>
      <c r="I117" s="3068" t="s">
        <v>2137</v>
      </c>
    </row>
    <row r="118" spans="1:27" ht="24.75" customHeight="1">
      <c r="A118" s="2825" t="str">
        <f>项目基本情况!S2</f>
        <v>北京市房地产</v>
      </c>
      <c r="B118" s="3068">
        <f>M18</f>
        <v>0</v>
      </c>
      <c r="C118" s="3068">
        <f>M19</f>
        <v>0</v>
      </c>
      <c r="D118" s="3068" t="e">
        <f ca="1">ROUND(IF(D32="总价",C34,E118*B118/10000),0)</f>
        <v>#REF!</v>
      </c>
      <c r="E118" s="3068" t="e">
        <f ca="1">ROUND(IF(C33="自定义",IF(D32="楼面单价",C34,D118*10000/B118),I118-G118),0)</f>
        <v>#DIV/0!</v>
      </c>
      <c r="F118" s="3068" t="e">
        <f ca="1">ROUND(IF(D32="总价",C35,G118*B118/10000),0)</f>
        <v>#REF!</v>
      </c>
      <c r="G118" s="3068" t="e">
        <f ca="1">ROUND(IF(D32="楼面单价",C35,F118*10000/B118),0)</f>
        <v>#REF!</v>
      </c>
      <c r="H118" s="3068">
        <f ca="1">ROUND(IF(D32="总价",C32,I118*B118/10000),0)</f>
        <v>16</v>
      </c>
      <c r="I118" s="3068" t="e">
        <f ca="1">ROUND(IF(D32="楼面单价",C32,H118*10000/B118),0)</f>
        <v>#DIV/0!</v>
      </c>
    </row>
    <row r="119" spans="1:27" ht="18.75" customHeight="1">
      <c r="A119" s="3207" t="s">
        <v>2138</v>
      </c>
      <c r="B119" s="3207"/>
      <c r="C119" s="3207"/>
      <c r="D119" s="3213" t="e">
        <f ca="1">NUMBERSTRING(INT(D118*10000),2)&amp;"元整"</f>
        <v>#REF!</v>
      </c>
      <c r="E119" s="3214"/>
      <c r="F119" s="3213" t="e">
        <f ca="1">NUMBERSTRING(INT(F118*10000),2)&amp;"元整"</f>
        <v>#REF!</v>
      </c>
      <c r="G119" s="3214"/>
      <c r="H119" s="3213" t="str">
        <f ca="1">NUMBERSTRING(INT(H118*10000),2)&amp;"元整"</f>
        <v>壹拾陆万元整</v>
      </c>
      <c r="I119" s="3214"/>
    </row>
    <row r="120" spans="1:27" ht="18.75" customHeight="1">
      <c r="A120" s="3208" t="str">
        <f>IF(项目基本情况!B9="房地产市场价值","",MID(E103,3,LEN(E103)-2))</f>
        <v>估价师知悉的法定优先受偿款</v>
      </c>
      <c r="B120" s="3209"/>
      <c r="C120" s="3210"/>
      <c r="D120" s="3208">
        <f>H103</f>
        <v>0</v>
      </c>
      <c r="E120" s="3209"/>
      <c r="F120" s="3209"/>
      <c r="G120" s="3209"/>
      <c r="H120" s="3209"/>
      <c r="I120" s="3210"/>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0" t="s">
        <v>2138</v>
      </c>
      <c r="B121" s="3251"/>
      <c r="C121" s="3252"/>
      <c r="D121" s="3213" t="str">
        <f>IF(D120=0,"零元整",NUMBERSTRING(INT(D120*10000),2)&amp;"元整")</f>
        <v>零元整</v>
      </c>
      <c r="E121" s="3215"/>
      <c r="F121" s="3215"/>
      <c r="G121" s="3215"/>
      <c r="H121" s="3215"/>
      <c r="I121" s="3214"/>
      <c r="AA121" s="734"/>
    </row>
    <row r="122" spans="1:27" ht="18.75" customHeight="1">
      <c r="A122" s="3219" t="str">
        <f>IF(项目基本情况!B9="房地产市场价值","",MID(E107,3,LEN(E107)-2))</f>
        <v>房地产抵押价值</v>
      </c>
      <c r="B122" s="3219"/>
      <c r="C122" s="3219"/>
      <c r="D122" s="3208">
        <f ca="1">H107</f>
        <v>16</v>
      </c>
      <c r="E122" s="3209"/>
      <c r="F122" s="3209"/>
      <c r="G122" s="3209"/>
      <c r="H122" s="3209"/>
      <c r="I122" s="3210"/>
      <c r="AA122" s="734"/>
    </row>
    <row r="123" spans="1:27" ht="18.75" customHeight="1">
      <c r="A123" s="3207" t="s">
        <v>2138</v>
      </c>
      <c r="B123" s="3207"/>
      <c r="C123" s="3207"/>
      <c r="D123" s="3213" t="str">
        <f ca="1">NUMBERSTRING(INT(D122*10000),2)&amp;"元整"</f>
        <v>壹拾陆万元整</v>
      </c>
      <c r="E123" s="3215"/>
      <c r="F123" s="3215"/>
      <c r="G123" s="3215"/>
      <c r="H123" s="3215"/>
      <c r="I123" s="3214"/>
      <c r="AA123" s="734"/>
    </row>
    <row r="124" spans="1:27" ht="18.75" customHeight="1">
      <c r="A124" s="3219" t="str">
        <f>IF(项目基本情况!B9="房地产市场价值","",MID(E109,3,LEN(E109)-2))</f>
        <v/>
      </c>
      <c r="B124" s="3219"/>
      <c r="C124" s="3219"/>
      <c r="D124" s="3208" t="str">
        <f>H109</f>
        <v>——</v>
      </c>
      <c r="E124" s="3209"/>
      <c r="F124" s="3209"/>
      <c r="G124" s="3209"/>
      <c r="H124" s="3209"/>
      <c r="I124" s="3210"/>
      <c r="AA124" s="734"/>
    </row>
    <row r="125" spans="1:27" ht="18.75" customHeight="1">
      <c r="A125" s="3207" t="s">
        <v>2138</v>
      </c>
      <c r="B125" s="3207"/>
      <c r="C125" s="3207"/>
      <c r="D125" s="3213" t="e">
        <f>NUMBERSTRING(INT(D124*10000),2)&amp;"元整"</f>
        <v>#VALUE!</v>
      </c>
      <c r="E125" s="3215"/>
      <c r="F125" s="3215"/>
      <c r="G125" s="3215"/>
      <c r="H125" s="3215"/>
      <c r="I125" s="3214"/>
      <c r="AA125" s="734"/>
    </row>
    <row r="126" spans="1:27" ht="18.75" customHeight="1">
      <c r="A126" s="3219" t="str">
        <f>IF(项目基本情况!B9="房地产市场价值","",MID(E111,3,LEN(E111)-2))</f>
        <v/>
      </c>
      <c r="B126" s="3219"/>
      <c r="C126" s="3219"/>
      <c r="D126" s="3208" t="str">
        <f>H111</f>
        <v>——</v>
      </c>
      <c r="E126" s="3209"/>
      <c r="F126" s="3209"/>
      <c r="G126" s="3209"/>
      <c r="H126" s="3209"/>
      <c r="I126" s="3210"/>
      <c r="AA126" s="734"/>
    </row>
    <row r="127" spans="1:27" ht="18.75" customHeight="1">
      <c r="A127" s="3207" t="s">
        <v>2138</v>
      </c>
      <c r="B127" s="3207"/>
      <c r="C127" s="3207"/>
      <c r="D127" s="3213" t="e">
        <f>NUMBERSTRING(INT(D126*10000),2)&amp;"元整"</f>
        <v>#VALUE!</v>
      </c>
      <c r="E127" s="3215"/>
      <c r="F127" s="3215"/>
      <c r="G127" s="3215"/>
      <c r="H127" s="3215"/>
      <c r="I127" s="3214"/>
      <c r="AA127" s="734"/>
    </row>
    <row r="128" spans="1:27" ht="21.75" customHeight="1">
      <c r="A128" s="3216" t="s">
        <v>2139</v>
      </c>
      <c r="B128" s="3216"/>
      <c r="C128" s="3216"/>
      <c r="D128" s="3216"/>
      <c r="E128" s="3216"/>
      <c r="F128" s="3216"/>
      <c r="G128" s="3216"/>
      <c r="H128" s="3216"/>
      <c r="I128" s="3216"/>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2" priority="10" stopIfTrue="1" operator="equal">
      <formula>25</formula>
    </cfRule>
  </conditionalFormatting>
  <conditionalFormatting sqref="C8:C9">
    <cfRule type="cellIs" dxfId="91" priority="9" stopIfTrue="1" operator="equal">
      <formula>15</formula>
    </cfRule>
  </conditionalFormatting>
  <conditionalFormatting sqref="C14:C16">
    <cfRule type="cellIs" dxfId="90" priority="8" stopIfTrue="1" operator="equal">
      <formula>30</formula>
    </cfRule>
  </conditionalFormatting>
  <conditionalFormatting sqref="D5:D7">
    <cfRule type="cellIs" dxfId="89" priority="7" stopIfTrue="1" operator="equal">
      <formula>25</formula>
    </cfRule>
  </conditionalFormatting>
  <conditionalFormatting sqref="D8:D9">
    <cfRule type="cellIs" dxfId="88" priority="6" stopIfTrue="1" operator="equal">
      <formula>15</formula>
    </cfRule>
  </conditionalFormatting>
  <conditionalFormatting sqref="C10:D13">
    <cfRule type="cellIs" dxfId="87" priority="5" stopIfTrue="1" operator="equal">
      <formula>15</formula>
    </cfRule>
  </conditionalFormatting>
  <conditionalFormatting sqref="D14:D16">
    <cfRule type="cellIs" dxfId="86" priority="4" stopIfTrue="1" operator="equal">
      <formula>30</formula>
    </cfRule>
  </conditionalFormatting>
  <conditionalFormatting sqref="C90">
    <cfRule type="expression" dxfId="85" priority="3" stopIfTrue="1">
      <formula>$H$88&lt;&gt;"仅含出让金"</formula>
    </cfRule>
  </conditionalFormatting>
  <conditionalFormatting sqref="C91">
    <cfRule type="expression" dxfId="84" priority="2" stopIfTrue="1">
      <formula>$H$91="由企业提供"</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43" sqref="N4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t="s">
        <v>3082</v>
      </c>
      <c r="C1" s="2044"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0</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t="e">
        <f ca="1">ROUND(B2*10000/(IF(B1="",'数据-汇总表'!E3,INDIRECT("'数据-取费表'!k"&amp;$G$1))),0)</f>
        <v>#DIV/0!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6" t="s">
        <v>2158</v>
      </c>
      <c r="B6" s="221" t="s">
        <v>2159</v>
      </c>
      <c r="C6" s="222">
        <f>ROUND(基准地价修正!C39*基准地价修正!D39,0)</f>
        <v>0</v>
      </c>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0</v>
      </c>
      <c r="D8" s="228"/>
      <c r="E8" s="226"/>
      <c r="F8" s="227"/>
      <c r="G8" s="2041" t="s">
        <v>3108</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0</v>
      </c>
      <c r="E19" s="217">
        <f>'数据-取费表'!B31</f>
        <v>200</v>
      </c>
      <c r="F19" s="237"/>
      <c r="G19" s="2041" t="s">
        <v>3109</v>
      </c>
    </row>
    <row r="20" spans="1:7" s="220" customFormat="1" ht="13.5" customHeight="1">
      <c r="A20" s="261" t="s">
        <v>2260</v>
      </c>
      <c r="B20" s="216" t="s">
        <v>2261</v>
      </c>
      <c r="C20" s="238">
        <f ca="1">ROUND((C5+C19)*F20,0)</f>
        <v>0</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0</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f ca="1">ROUND(IF('数据-取费表'!B22&lt;=1,C20*F22*'数据-取费表'!B22/2,C20*(POWER((1+F22),'数据-取费表'!B22/2)-1)),0)</f>
        <v>0</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0</v>
      </c>
      <c r="D27" s="241">
        <f ca="1">C29</f>
        <v>1.1999999999999999E-3</v>
      </c>
      <c r="E27" s="242" t="s">
        <v>2200</v>
      </c>
      <c r="F27" s="252">
        <f ca="1">IF(B1="",'数据-取费表'!Q16,INDIRECT("'数据-取费表'!q"&amp;$G$1))</f>
        <v>0.06</v>
      </c>
      <c r="G27" s="253" t="s">
        <v>2201</v>
      </c>
    </row>
    <row r="28" spans="1:7" s="220" customFormat="1" ht="13.5" customHeight="1">
      <c r="A28" s="888" t="s">
        <v>791</v>
      </c>
      <c r="B28" s="254" t="s">
        <v>2202</v>
      </c>
      <c r="C28" s="255">
        <f ca="1">ROUND((C5+C19+C20)*F27,0)</f>
        <v>0</v>
      </c>
      <c r="D28" s="241"/>
      <c r="E28" s="242"/>
      <c r="F28" s="252"/>
      <c r="G28" s="253"/>
    </row>
    <row r="29" spans="1:7" s="220" customFormat="1" ht="13.5" customHeight="1">
      <c r="A29" s="888" t="s">
        <v>792</v>
      </c>
      <c r="B29" s="254" t="s">
        <v>2203</v>
      </c>
      <c r="C29" s="244">
        <f ca="1">ROUND(C21*F27,4)</f>
        <v>1.1999999999999999E-3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0</v>
      </c>
      <c r="D34" s="223"/>
      <c r="E34" s="226"/>
      <c r="F34" s="263"/>
      <c r="G34" s="225"/>
    </row>
    <row r="35" spans="1:7" ht="13.5" customHeight="1">
      <c r="A35" s="888" t="s">
        <v>796</v>
      </c>
      <c r="B35" s="221" t="s">
        <v>2213</v>
      </c>
      <c r="C35" s="226">
        <f ca="1">ROUND(C34*F35,0)</f>
        <v>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0</v>
      </c>
      <c r="D37" s="223">
        <f ca="1">D19</f>
        <v>0</v>
      </c>
      <c r="E37" s="255">
        <f>'数据-取费表'!B35</f>
        <v>200</v>
      </c>
      <c r="F37" s="265"/>
      <c r="G37" s="267"/>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2220</v>
      </c>
      <c r="B39" s="216" t="s">
        <v>2221</v>
      </c>
      <c r="C39" s="238">
        <f ca="1">ROUND(C33*F20,0)</f>
        <v>0</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0</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0</v>
      </c>
      <c r="D42" s="244"/>
      <c r="E42" s="244"/>
      <c r="F42" s="245"/>
      <c r="G42" s="3289" t="s">
        <v>2277</v>
      </c>
    </row>
    <row r="43" spans="1:7" ht="13.5" customHeight="1">
      <c r="A43" s="888" t="s">
        <v>792</v>
      </c>
      <c r="B43" s="221" t="s">
        <v>2231</v>
      </c>
      <c r="C43" s="244">
        <f ca="1">ROUND(IF('数据-取费表'!B22&lt;=1,C39*F22*'数据-取费表'!B20/2,C39*(POWER((1+F22),'数据-取费表'!B20/2)-1)),0)</f>
        <v>0</v>
      </c>
      <c r="D43" s="244"/>
      <c r="E43" s="244"/>
      <c r="F43" s="245"/>
      <c r="G43" s="3290"/>
    </row>
    <row r="44" spans="1:7" ht="13.5" customHeight="1">
      <c r="A44" s="888" t="s">
        <v>793</v>
      </c>
      <c r="B44" s="221" t="s">
        <v>2232</v>
      </c>
      <c r="C44" s="244">
        <f ca="1">ROUND(IF('数据-取费表'!B22&lt;=1,C40*F22*'数据-取费表'!B20/2,C40*(POWER((1+F22),'数据-取费表'!B20/2)-1)),4)</f>
        <v>8.9999999999999998E-4</v>
      </c>
      <c r="D44" s="244"/>
      <c r="E44" s="244"/>
      <c r="F44" s="245"/>
      <c r="G44" s="3291"/>
    </row>
    <row r="45" spans="1:7" s="220" customFormat="1" ht="13.5" customHeight="1">
      <c r="A45" s="261" t="s">
        <v>2233</v>
      </c>
      <c r="B45" s="250" t="s">
        <v>2199</v>
      </c>
      <c r="C45" s="251">
        <f ca="1">C46</f>
        <v>0</v>
      </c>
      <c r="D45" s="241">
        <f ca="1">C47</f>
        <v>1.1999999999999999E-3</v>
      </c>
      <c r="E45" s="242" t="s">
        <v>2225</v>
      </c>
      <c r="F45" s="2536">
        <f ca="1">F27</f>
        <v>0.06</v>
      </c>
      <c r="G45" s="253" t="s">
        <v>2234</v>
      </c>
    </row>
    <row r="46" spans="1:7" s="220" customFormat="1" ht="13.5" customHeight="1">
      <c r="A46" s="888" t="s">
        <v>791</v>
      </c>
      <c r="B46" s="254" t="s">
        <v>2235</v>
      </c>
      <c r="C46" s="255">
        <f ca="1">ROUND((C33+C39)*F27,0)</f>
        <v>0</v>
      </c>
      <c r="D46" s="269"/>
      <c r="E46" s="242"/>
      <c r="F46" s="252"/>
      <c r="G46" s="253"/>
    </row>
    <row r="47" spans="1:7" s="220" customFormat="1" ht="13.5" customHeight="1">
      <c r="A47" s="888" t="s">
        <v>792</v>
      </c>
      <c r="B47" s="254" t="s">
        <v>2236</v>
      </c>
      <c r="C47" s="244">
        <f ca="1">ROUND(C40*F27,4)</f>
        <v>1.1999999999999999E-3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0</v>
      </c>
      <c r="D49" s="238"/>
      <c r="E49" s="238"/>
      <c r="F49" s="270"/>
      <c r="G49" s="240" t="s">
        <v>2240</v>
      </c>
    </row>
    <row r="50" spans="1:7" s="264" customFormat="1">
      <c r="A50" s="261" t="s">
        <v>2241</v>
      </c>
      <c r="B50" s="216" t="s">
        <v>2242</v>
      </c>
      <c r="C50" s="238"/>
      <c r="D50" s="238"/>
      <c r="E50" s="238"/>
      <c r="F50" s="270">
        <f>IF('数据-取费表'!B24=0,'数据-取费表'!N16,1)</f>
        <v>0.75</v>
      </c>
      <c r="G50" s="253"/>
    </row>
    <row r="51" spans="1:7" ht="16.5" customHeight="1">
      <c r="A51" s="261" t="s">
        <v>2244</v>
      </c>
      <c r="B51" s="216" t="s">
        <v>2279</v>
      </c>
      <c r="C51" s="238">
        <f ca="1">ROUND(C49*F50,0)</f>
        <v>0</v>
      </c>
      <c r="D51" s="238"/>
      <c r="E51" s="238"/>
      <c r="F51" s="270"/>
      <c r="G51" s="240" t="s">
        <v>2246</v>
      </c>
    </row>
    <row r="52" spans="1:7" s="214" customFormat="1" ht="16.5" thickBot="1">
      <c r="A52" s="271" t="s">
        <v>2247</v>
      </c>
      <c r="B52" s="272"/>
      <c r="C52" s="273">
        <f ca="1">C31+C51</f>
        <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N33" sqref="N33"/>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0</v>
      </c>
      <c r="C2" s="2184" t="s">
        <v>2633</v>
      </c>
      <c r="D2" s="2185" t="s">
        <v>2634</v>
      </c>
      <c r="E2" s="2186" t="s">
        <v>27</v>
      </c>
      <c r="F2" s="2185" t="s">
        <v>2635</v>
      </c>
      <c r="G2" s="2187" t="str">
        <f>IF(E2="商业",项目基本情况!B37,IF(E2="办公",项目基本情况!C37,IF(E2="住宅",项目基本情况!D37,项目基本情况!E37)))</f>
        <v>五级</v>
      </c>
      <c r="H2" s="2185" t="s">
        <v>2636</v>
      </c>
      <c r="I2" s="2187" t="str">
        <f>IF(E2="商业",项目基本情况!B38,IF(E2="办公",项目基本情况!C38,IF(E2="住宅",项目基本情况!D38,项目基本情况!E38)))</f>
        <v>Ⅴ-03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30961</v>
      </c>
      <c r="U2" s="1375"/>
      <c r="V2" s="1374">
        <f>ROUND(T2*U2/10000,0)</f>
        <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3110</v>
      </c>
      <c r="F3" s="2191" t="s">
        <v>2641</v>
      </c>
      <c r="G3" s="855">
        <f>IF(F3="宗地容积率",'数据-汇总表'!I4,IF(F3="估价对象容积率",'数据-汇总表'!I6,'数据-汇总表'!I7))</f>
        <v>4.08</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22224</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07"/>
      <c r="B4" s="3408"/>
      <c r="C4" s="3408"/>
      <c r="D4" s="3409"/>
      <c r="E4" s="3409"/>
      <c r="F4" s="3409"/>
      <c r="G4" s="3409"/>
      <c r="H4" s="3409"/>
      <c r="I4" s="3409"/>
      <c r="J4" s="3410"/>
      <c r="K4" s="1280"/>
      <c r="L4" s="2189"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17930</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2646</v>
      </c>
      <c r="C5" s="856">
        <f>ROUND(IF(E2="商业",C6*C7+C16,(IF(E2="住宅",C6*C12+C16,C6+C16))),0)</f>
        <v>14284</v>
      </c>
      <c r="D5" s="1523">
        <f>ROUND(C6+C16,0)</f>
        <v>14284</v>
      </c>
      <c r="E5" s="1523"/>
      <c r="F5" s="2194"/>
      <c r="G5" s="2195"/>
      <c r="H5" s="2195"/>
      <c r="I5" s="2195"/>
      <c r="J5" s="2196"/>
      <c r="K5" s="2197"/>
      <c r="L5" s="2189" t="s">
        <v>2647</v>
      </c>
      <c r="M5" s="995">
        <f>SUMPRODUCT((区片价!B76:B109=I2)*(区片价!C3:F3=E2)*(区片价!C76:F109))</f>
        <v>14320</v>
      </c>
      <c r="N5" s="997">
        <f>SUMPRODUCT((因素修正幅度!B76:B109=I2)*(因素修正幅度!C3:F3=E2)*(因素修正幅度!C76:F109))</f>
        <v>8.4000000000000005E-2</v>
      </c>
      <c r="O5" s="1280"/>
      <c r="P5" s="1280"/>
      <c r="Q5" s="1280"/>
      <c r="R5" s="1374">
        <v>4</v>
      </c>
      <c r="S5" s="1374">
        <f>ROUND(IF(G3&gt;1,IF(R5&lt;7,SUMPRODUCT((B93:B98=R5)*(C92:N92=G2)*(C93:N98)),SUMIF(C92:N92,G2,C100:N100)),IF(R5&lt;7,SUMPRODUCT((B102:B107=R5)*(C92:N92=G2)*(C102:N107)),SUMIF(C92:N92,G2,C109:N109))),4)</f>
        <v>0.86560000000000004</v>
      </c>
      <c r="T5" s="1374">
        <f t="shared" si="0"/>
        <v>14386</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2648</v>
      </c>
      <c r="B6" s="2203" t="s">
        <v>2649</v>
      </c>
      <c r="C6" s="857">
        <f>SUMIF(L1:L12,G2,M1:M12)</f>
        <v>14320</v>
      </c>
      <c r="D6" s="2204" t="s">
        <v>2650</v>
      </c>
      <c r="E6" s="2205"/>
      <c r="F6" s="2205"/>
      <c r="G6" s="2206"/>
      <c r="H6" s="2206"/>
      <c r="I6" s="2206"/>
      <c r="J6" s="2207"/>
      <c r="K6" s="1568"/>
      <c r="L6" s="2189"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12251</v>
      </c>
      <c r="U6" s="1375"/>
      <c r="V6" s="1374">
        <f t="shared" si="1"/>
        <v>0</v>
      </c>
      <c r="W6" s="1378"/>
      <c r="X6" s="1378"/>
      <c r="Y6" s="1378"/>
      <c r="Z6" s="1378"/>
      <c r="AA6" s="1378"/>
      <c r="AB6" s="1378"/>
      <c r="AC6" s="2198"/>
      <c r="AD6" s="2199"/>
      <c r="AE6" s="2199"/>
      <c r="AF6" s="2199"/>
      <c r="AG6" s="2199"/>
      <c r="AH6" s="2199"/>
      <c r="AI6" s="2199"/>
      <c r="AJ6" s="2200"/>
    </row>
    <row r="7" spans="1:36" ht="24">
      <c r="A7" s="3388" t="str">
        <f>IF(E2="商业",IF(C8="不临58条商业街","",2),"")</f>
        <v/>
      </c>
      <c r="B7" s="2208" t="s">
        <v>2652</v>
      </c>
      <c r="C7" s="858" t="e">
        <f>IF(C8="不临58条商业街",1,ROUND(1+(1.6*E8+1.2*E9+0.8*E10+0.4*E11)*C9,4))</f>
        <v>#DIV/0!</v>
      </c>
      <c r="D7" s="2209" t="s">
        <v>2653</v>
      </c>
      <c r="E7" s="882"/>
      <c r="F7" s="2210"/>
      <c r="G7" s="2211"/>
      <c r="H7" s="2211"/>
      <c r="I7" s="2211"/>
      <c r="J7" s="2212"/>
      <c r="K7" s="1568"/>
      <c r="L7" s="2189"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10773</v>
      </c>
      <c r="U7" s="1375"/>
      <c r="V7" s="1374">
        <f t="shared" si="1"/>
        <v>0</v>
      </c>
      <c r="W7" s="1542" t="s">
        <v>2655</v>
      </c>
      <c r="X7" s="1376" t="str">
        <f>G2</f>
        <v>五级</v>
      </c>
      <c r="Y7" s="1376" t="s">
        <v>2656</v>
      </c>
      <c r="Z7" s="1377">
        <f>G3</f>
        <v>4.08</v>
      </c>
      <c r="AA7" s="1378"/>
      <c r="AB7" s="1378"/>
      <c r="AC7" s="1379"/>
      <c r="AD7" s="1380"/>
      <c r="AE7" s="1380"/>
      <c r="AF7" s="1380"/>
      <c r="AG7" s="1380"/>
      <c r="AH7" s="1380"/>
      <c r="AI7" s="1380"/>
      <c r="AJ7" s="1381"/>
    </row>
    <row r="8" spans="1:36" ht="15">
      <c r="A8" s="3411"/>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04" t="s">
        <v>2660</v>
      </c>
      <c r="X8" s="340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11"/>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0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1"/>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0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1"/>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06" t="s">
        <v>2684</v>
      </c>
      <c r="X11" s="1386" t="s">
        <v>2685</v>
      </c>
      <c r="Y11" s="1387">
        <f>$G$3</f>
        <v>4.08</v>
      </c>
      <c r="Z11" s="1387">
        <f t="shared" ref="Z11:AJ11" si="3">$G$3</f>
        <v>4.08</v>
      </c>
      <c r="AA11" s="1387">
        <f t="shared" si="3"/>
        <v>4.08</v>
      </c>
      <c r="AB11" s="1387">
        <f t="shared" si="3"/>
        <v>4.08</v>
      </c>
      <c r="AC11" s="1387">
        <f t="shared" si="3"/>
        <v>4.08</v>
      </c>
      <c r="AD11" s="1387">
        <f t="shared" si="3"/>
        <v>4.08</v>
      </c>
      <c r="AE11" s="1387">
        <f t="shared" si="3"/>
        <v>4.08</v>
      </c>
      <c r="AF11" s="1387">
        <f t="shared" si="3"/>
        <v>4.08</v>
      </c>
      <c r="AG11" s="1387">
        <f t="shared" si="3"/>
        <v>4.08</v>
      </c>
      <c r="AH11" s="1387">
        <f t="shared" si="3"/>
        <v>4.08</v>
      </c>
      <c r="AI11" s="1387">
        <f t="shared" si="3"/>
        <v>4.08</v>
      </c>
      <c r="AJ11" s="1387">
        <f t="shared" si="3"/>
        <v>4.08</v>
      </c>
    </row>
    <row r="12" spans="1:36" ht="25.5" thickBot="1">
      <c r="A12" s="3388"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0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2"/>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f t="shared" si="0"/>
        <v>0</v>
      </c>
      <c r="U13" s="1375"/>
      <c r="V13" s="1374">
        <f t="shared" si="1"/>
        <v>0</v>
      </c>
      <c r="W13" s="3406"/>
      <c r="X13" s="1388"/>
      <c r="Y13" s="1385">
        <f>(-0.163*(Y12^2)-0.59*Y12+7617)*(10^(-4))/Y11</f>
        <v>0.18669117647058825</v>
      </c>
      <c r="Z13" s="1385">
        <f t="shared" ref="Z13:AJ13" si="5">(-0.163*(Z12^2)-0.59*Z12+7617)*(10^(-4))/Z11</f>
        <v>0.18669117647058825</v>
      </c>
      <c r="AA13" s="1385">
        <f t="shared" si="5"/>
        <v>0.18669117647058825</v>
      </c>
      <c r="AB13" s="1385">
        <f t="shared" si="5"/>
        <v>0.18669117647058825</v>
      </c>
      <c r="AC13" s="1385">
        <f t="shared" si="5"/>
        <v>0.18669117647058825</v>
      </c>
      <c r="AD13" s="1385">
        <f t="shared" si="5"/>
        <v>0.18669117647058825</v>
      </c>
      <c r="AE13" s="1385">
        <f t="shared" si="5"/>
        <v>0.18669117647058825</v>
      </c>
      <c r="AF13" s="1385">
        <f t="shared" si="5"/>
        <v>0.18669117647058825</v>
      </c>
      <c r="AG13" s="1385">
        <f t="shared" si="5"/>
        <v>0.18669117647058825</v>
      </c>
      <c r="AH13" s="1385">
        <f t="shared" si="5"/>
        <v>0.18669117647058825</v>
      </c>
      <c r="AI13" s="1385">
        <f t="shared" si="5"/>
        <v>0.18669117647058825</v>
      </c>
      <c r="AJ13" s="1385">
        <f t="shared" si="5"/>
        <v>0.18669117647058825</v>
      </c>
    </row>
    <row r="14" spans="1:36" ht="15">
      <c r="A14" s="3412"/>
      <c r="B14" s="2231"/>
      <c r="C14" s="2232"/>
      <c r="D14" s="2233"/>
      <c r="E14" s="2233"/>
      <c r="F14" s="2234"/>
      <c r="G14" s="2235" t="s">
        <v>2697</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413"/>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88" t="s">
        <v>2703</v>
      </c>
      <c r="B16" s="2208" t="s">
        <v>2704</v>
      </c>
      <c r="C16" s="2370">
        <f>ROUND(IF(F17="与级别开发程度一致",0,(G17-E17)/C17),0)</f>
        <v>-36</v>
      </c>
      <c r="D16" s="3401" t="s">
        <v>2708</v>
      </c>
      <c r="E16" s="3402"/>
      <c r="F16" s="3401" t="s">
        <v>2705</v>
      </c>
      <c r="G16" s="3402"/>
      <c r="H16" s="2240" t="s">
        <v>3111</v>
      </c>
      <c r="I16" s="2240" t="s">
        <v>3112</v>
      </c>
      <c r="J16" s="2374" t="s">
        <v>3113</v>
      </c>
      <c r="K16" s="2240" t="s">
        <v>3114</v>
      </c>
      <c r="L16" s="2240" t="s">
        <v>3115</v>
      </c>
      <c r="M16" s="2240" t="s">
        <v>3116</v>
      </c>
      <c r="N16" s="2240"/>
      <c r="O16" s="2241"/>
      <c r="P16" s="2182"/>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89"/>
      <c r="B17" s="2381" t="s">
        <v>2707</v>
      </c>
      <c r="C17" s="2382">
        <f>SUMPRODUCT((修正!A2:A5=E2)*(修正!B1:M1=G2)*(修正!B2:M5))</f>
        <v>2.5</v>
      </c>
      <c r="D17" s="193" t="str">
        <f>IF(OR(G2="八级",G2="九级",G2="十级",G2="十一级",G2="十二级"),"五通一平","七通一平")</f>
        <v>七通一平</v>
      </c>
      <c r="E17" s="2371">
        <f>SUMPRODUCT((修正!B1:M1=G2)*(修正!B15:M15))</f>
        <v>300</v>
      </c>
      <c r="F17" s="2372" t="s">
        <v>3117</v>
      </c>
      <c r="G17" s="2373">
        <f>SUM(H17:O17)</f>
        <v>210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15</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25" thickBot="1">
      <c r="A19" s="2245" t="s">
        <v>809</v>
      </c>
      <c r="B19" s="2246" t="s">
        <v>2711</v>
      </c>
      <c r="C19" s="863">
        <f>ROUND(IF(H19="按公示增长率计算",SUMPRODUCT((地价!A3:A35=YEAR(G19)&amp;"-"&amp;ROUNDUP(MONTH(G19)/3,0))*(地价!X2:AB2=E2)*(地价!X3:AB35)),IF(H19="地价指数",M20/M19,(1+I19)^O19)),4)</f>
        <v>1.3588</v>
      </c>
      <c r="D19" s="2250" t="s">
        <v>2712</v>
      </c>
      <c r="E19" s="864">
        <v>41640</v>
      </c>
      <c r="F19" s="2250" t="s">
        <v>2713</v>
      </c>
      <c r="G19" s="865">
        <f>'数据-取费表'!B2</f>
        <v>44442</v>
      </c>
      <c r="H19" s="2251" t="s">
        <v>3118</v>
      </c>
      <c r="I19" s="866" t="str">
        <f>IF(H19="季度增幅（自定义）",SUMIF(N21:N24,E2,O21:O24),"")</f>
        <v/>
      </c>
      <c r="J19" s="2248"/>
      <c r="K19" s="1287"/>
      <c r="L19" s="2252" t="s">
        <v>2714</v>
      </c>
      <c r="M19" s="1496">
        <f>ROUND(SUMIF(地价!B2:F2,E2,地价!B35:F35),0)</f>
        <v>258</v>
      </c>
      <c r="N19" s="2253"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f>ROUND(POWER(1+G20,J20-I20)*(POWER(1+G20,I20)-1)/(POWER(1+G20,J20)-1),4)</f>
        <v>0.85629999999999995</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30.64</v>
      </c>
      <c r="J20" s="875">
        <f>IF(E2="住宅",70,IF(E2="商业",40,50))</f>
        <v>50</v>
      </c>
      <c r="K20" s="1287"/>
      <c r="L20" s="2258" t="s">
        <v>2719</v>
      </c>
      <c r="M20" s="1497">
        <f>ROUND(SUMPRODUCT((地价!A4:A35=YEAR(G19)&amp;"-"&amp;ROUNDUP(MONTH(G19)/3,0))*(地价!B2:F2=E2)*(地价!B4:F35)),0)</f>
        <v>350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3119</v>
      </c>
      <c r="C21" s="876">
        <f>IF(B21="容积率修正",IF(G3&lt;=10,D22,J22),C23)</f>
        <v>0.86119999999999997</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2724</v>
      </c>
      <c r="B22" s="2267" t="s">
        <v>2725</v>
      </c>
      <c r="C22" s="1536" t="s">
        <v>2726</v>
      </c>
      <c r="D22" s="1536">
        <f>IF(E22=G22,F22,IF(G3&lt;=10,ROUND(F22+(H22-F22)*(G3-E22)/(G22-E22),4),"——"))</f>
        <v>0.86119999999999997</v>
      </c>
      <c r="E22" s="855">
        <f>ROUNDDOWN(G3,1)</f>
        <v>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855">
        <f>ROUNDUP(G3,1)</f>
        <v>4.0999999999999996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0.86009999999999998</v>
      </c>
      <c r="I22" s="1536"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1</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14313</v>
      </c>
      <c r="D29" s="2295"/>
      <c r="E29" s="879">
        <f>ROUND(C29*D29/10000,0)</f>
        <v>0</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f>ROUND(IF(E2="工业",C29*M39,C29*M38),0)</f>
        <v>3578</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98"/>
      <c r="B33" s="2311" t="s">
        <v>2749</v>
      </c>
      <c r="C33" s="180">
        <f>ROUND(D5*C19*C20*C24*F33,0)</f>
        <v>11634</v>
      </c>
      <c r="D33" s="2295"/>
      <c r="E33" s="176">
        <f>ROUND(C33*D33/10000,0)</f>
        <v>0</v>
      </c>
      <c r="F33" s="176">
        <f>SUMIF(修正!A45:A56,G2,修正!B45:B56)</f>
        <v>0.7</v>
      </c>
      <c r="G33" s="176">
        <f t="shared" ref="G33" si="6">ROUND(IF(E2="工业",C33*$M$39,C33*$M$38),0)</f>
        <v>2909</v>
      </c>
      <c r="H33" s="176">
        <f>D33</f>
        <v>0</v>
      </c>
      <c r="I33" s="176">
        <f>ROUND(G33*H33/10000,0)</f>
        <v>0</v>
      </c>
      <c r="J33" s="340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99"/>
      <c r="B34" s="2228" t="s">
        <v>2750</v>
      </c>
      <c r="C34" s="180">
        <f>ROUND(D5*C19*C20*C24*F34,0)</f>
        <v>6648</v>
      </c>
      <c r="D34" s="2295"/>
      <c r="E34" s="176">
        <f t="shared" ref="E34:E39" si="7">ROUND(C34*D34/10000,0)</f>
        <v>0</v>
      </c>
      <c r="F34" s="176">
        <f>SUMIF(修正!A45:A56,G2,修正!C45:C56)</f>
        <v>0.4</v>
      </c>
      <c r="G34" s="176">
        <f>ROUND(IF(E2="工业",C34*$M$39,C34*$M$38),0)</f>
        <v>1662</v>
      </c>
      <c r="H34" s="176">
        <f t="shared" ref="H34:H39" si="8">D34</f>
        <v>0</v>
      </c>
      <c r="I34" s="176">
        <f t="shared" ref="I34:I39" si="9">ROUND(G34*H34/10000,0)</f>
        <v>0</v>
      </c>
      <c r="J34" s="33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99"/>
      <c r="B35" s="2228" t="s">
        <v>2751</v>
      </c>
      <c r="C35" s="180">
        <f>ROUND(D5*C19*C20*C24*F35,0)</f>
        <v>4654</v>
      </c>
      <c r="D35" s="2295"/>
      <c r="E35" s="176">
        <f t="shared" si="7"/>
        <v>0</v>
      </c>
      <c r="F35" s="176">
        <f>SUMIF(修正!A45:A56,G2,修正!D45:D56)</f>
        <v>0.28000000000000003</v>
      </c>
      <c r="G35" s="176">
        <f>ROUND(IF(E2="工业",C35*$M$39,C35*$M$38),0)</f>
        <v>1164</v>
      </c>
      <c r="H35" s="176">
        <f t="shared" si="8"/>
        <v>0</v>
      </c>
      <c r="I35" s="176">
        <f t="shared" si="9"/>
        <v>0</v>
      </c>
      <c r="J35" s="33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00"/>
      <c r="B36" s="2228" t="s">
        <v>2752</v>
      </c>
      <c r="C36" s="180">
        <f>ROUND(D5*C19*C20*C24*F36,0)</f>
        <v>4155</v>
      </c>
      <c r="D36" s="2295"/>
      <c r="E36" s="176">
        <f t="shared" si="7"/>
        <v>0</v>
      </c>
      <c r="F36" s="176">
        <f>SUMIF(修正!A45:A56,G2,修正!E45:E56)</f>
        <v>0.25</v>
      </c>
      <c r="G36" s="176">
        <f>ROUND(IF(E2="工业",C36*$M$39,C36*$M$38),0)</f>
        <v>1039</v>
      </c>
      <c r="H36" s="176">
        <f t="shared" si="8"/>
        <v>0</v>
      </c>
      <c r="I36" s="176">
        <f t="shared" si="9"/>
        <v>0</v>
      </c>
      <c r="J36" s="3400"/>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4155</v>
      </c>
      <c r="D37" s="2295"/>
      <c r="E37" s="176">
        <f t="shared" si="7"/>
        <v>0</v>
      </c>
      <c r="F37" s="180">
        <f>SUMIF(修正!A45:A56,G2,修正!F45:F56)</f>
        <v>0.25</v>
      </c>
      <c r="G37" s="176">
        <f>ROUND(IF(E2="工业",C37*$M$39,C37*$M$38),0)</f>
        <v>1039</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4155</v>
      </c>
      <c r="D38" s="2295"/>
      <c r="E38" s="176">
        <f t="shared" si="7"/>
        <v>0</v>
      </c>
      <c r="F38" s="180">
        <f>SUMIF(修正!A45:A56,G2,修正!G45:G56)</f>
        <v>0.25</v>
      </c>
      <c r="G38" s="176">
        <f>ROUND(IF(E2="工业",C38*$M$39,C38*$M$38),0)</f>
        <v>1039</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3324</v>
      </c>
      <c r="D39" s="2301">
        <f>'数据-汇总表'!G20</f>
        <v>0</v>
      </c>
      <c r="E39" s="193">
        <f t="shared" si="7"/>
        <v>0</v>
      </c>
      <c r="F39" s="871">
        <f>SUMIF(修正!A45:A56,G2,修正!H45:H56)</f>
        <v>0.2</v>
      </c>
      <c r="G39" s="193">
        <f>ROUND(IF(E2="工业",C39*$M$39,C39*$M$38),0)</f>
        <v>831</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f>ROUND(POWER(1+E41,H41-G41)*(POWER(1+E41,G41)-1)/(POWER(1+E41,H41)-1),4)</f>
        <v>0.85629999999999995</v>
      </c>
      <c r="D41" s="176" t="s">
        <v>2709</v>
      </c>
      <c r="E41" s="2368">
        <f>G20</f>
        <v>5.1999999999999998E-2</v>
      </c>
      <c r="F41" s="176" t="s">
        <v>2718</v>
      </c>
      <c r="G41" s="189">
        <f>项目基本情况!G15</f>
        <v>30.64</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2760</v>
      </c>
      <c r="B47" s="1535" t="s">
        <v>2761</v>
      </c>
      <c r="C47" s="1535" t="s">
        <v>2762</v>
      </c>
      <c r="D47" s="1535" t="s">
        <v>2763</v>
      </c>
      <c r="E47" s="758" t="s">
        <v>2764</v>
      </c>
      <c r="F47" s="2329" t="s">
        <v>2765</v>
      </c>
      <c r="G47" s="1535" t="s">
        <v>754</v>
      </c>
      <c r="H47" s="2330"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2776</v>
      </c>
      <c r="B54" s="1494"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c r="D59" s="1196">
        <f t="shared" ref="D59:D67" si="15">SUMIF($J$58:$N$58,C59,J59:N59)</f>
        <v>0</v>
      </c>
      <c r="E59" s="760">
        <f>ROUND(SUM(D59:D67),4)</f>
        <v>0</v>
      </c>
      <c r="F59" s="1999">
        <f>IF(E2="办公",SUMIF(L1:L12,G2,N1:N12),"——")</f>
        <v>8.4000000000000005E-2</v>
      </c>
      <c r="G59" s="1194"/>
      <c r="H59" s="1198">
        <f t="shared" ref="H59:H67" si="16">IFERROR(ROUNDDOWN($F$59*I59/2,4),"——")</f>
        <v>0.01</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c r="D60" s="1196">
        <f t="shared" si="15"/>
        <v>0</v>
      </c>
      <c r="E60" s="761"/>
      <c r="F60" s="1999"/>
      <c r="G60" s="1194"/>
      <c r="H60" s="1198">
        <f t="shared" si="16"/>
        <v>1.26E-2</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c r="D61" s="1196">
        <f t="shared" si="15"/>
        <v>0</v>
      </c>
      <c r="E61" s="761"/>
      <c r="F61" s="1999"/>
      <c r="G61" s="1194"/>
      <c r="H61" s="1198">
        <f t="shared" si="16"/>
        <v>3.3E-3</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2771</v>
      </c>
      <c r="B62" s="2333" t="s">
        <v>2772</v>
      </c>
      <c r="C62" s="2233"/>
      <c r="D62" s="1196">
        <f t="shared" si="15"/>
        <v>0</v>
      </c>
      <c r="E62" s="761"/>
      <c r="F62" s="1999"/>
      <c r="G62" s="1194"/>
      <c r="H62" s="1198">
        <f t="shared" si="16"/>
        <v>1.6000000000000001E-3</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c r="D63" s="1196">
        <f t="shared" si="15"/>
        <v>0</v>
      </c>
      <c r="E63" s="761"/>
      <c r="F63" s="1999"/>
      <c r="G63" s="1194"/>
      <c r="H63" s="1198">
        <f t="shared" si="16"/>
        <v>2.0999999999999999E-3</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2774</v>
      </c>
      <c r="B64" s="2334" t="s">
        <v>2775</v>
      </c>
      <c r="C64" s="2233"/>
      <c r="D64" s="1196">
        <f t="shared" si="15"/>
        <v>0</v>
      </c>
      <c r="E64" s="761"/>
      <c r="F64" s="1999"/>
      <c r="G64" s="1194"/>
      <c r="H64" s="1198">
        <f t="shared" si="16"/>
        <v>2.0999999999999999E-3</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3"/>
      <c r="D65" s="1196">
        <f t="shared" si="15"/>
        <v>0</v>
      </c>
      <c r="E65" s="761"/>
      <c r="F65" s="1999"/>
      <c r="G65" s="1194"/>
      <c r="H65" s="1198">
        <f t="shared" si="16"/>
        <v>2.5000000000000001E-3</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2777</v>
      </c>
      <c r="B66" s="1494" t="str">
        <f>估价对象房地状况!C22</f>
        <v>估价对象所在区域基础设施水平</v>
      </c>
      <c r="C66" s="2233"/>
      <c r="D66" s="1196">
        <f t="shared" si="15"/>
        <v>0</v>
      </c>
      <c r="E66" s="761"/>
      <c r="F66" s="1999"/>
      <c r="G66" s="1194"/>
      <c r="H66" s="1198">
        <f t="shared" si="16"/>
        <v>5.0000000000000001E-3</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c r="D67" s="1196">
        <f t="shared" si="15"/>
        <v>0</v>
      </c>
      <c r="E67" s="764"/>
      <c r="F67" s="1999"/>
      <c r="G67" s="1194"/>
      <c r="H67" s="1198">
        <f t="shared" si="16"/>
        <v>2.5000000000000001E-3</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2777</v>
      </c>
      <c r="B75" s="1494"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2785</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5"/>
      <c r="C80" s="1535" t="s">
        <v>2762</v>
      </c>
      <c r="D80" s="1535" t="s">
        <v>2763</v>
      </c>
      <c r="E80" s="758" t="s">
        <v>2764</v>
      </c>
      <c r="F80" s="2329" t="s">
        <v>2780</v>
      </c>
      <c r="G80" s="1535" t="s">
        <v>754</v>
      </c>
      <c r="H80" s="2330" t="s">
        <v>2766</v>
      </c>
      <c r="I80" s="1535" t="s">
        <v>2767</v>
      </c>
      <c r="J80" s="560" t="s">
        <v>2418</v>
      </c>
      <c r="K80" s="560" t="s">
        <v>2419</v>
      </c>
      <c r="L80" s="560" t="s">
        <v>2420</v>
      </c>
      <c r="M80" s="560" t="s">
        <v>2421</v>
      </c>
      <c r="N80" s="560" t="s">
        <v>2422</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2784</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2776</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2777</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2774</v>
      </c>
      <c r="B87" s="2334" t="s">
        <v>2788</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90" t="s">
        <v>2790</v>
      </c>
      <c r="B90" s="3390"/>
      <c r="C90" s="3390"/>
      <c r="D90" s="3390"/>
      <c r="E90" s="3390"/>
      <c r="F90" s="3390"/>
      <c r="G90" s="3390"/>
      <c r="H90" s="3390"/>
      <c r="I90" s="3390"/>
      <c r="J90" s="3390"/>
      <c r="K90" s="2342"/>
      <c r="L90" s="2342"/>
      <c r="M90" s="2342"/>
      <c r="N90" s="2342"/>
    </row>
    <row r="91" spans="1:37">
      <c r="A91" s="3392" t="s">
        <v>2791</v>
      </c>
      <c r="B91" s="3392" t="s">
        <v>2792</v>
      </c>
      <c r="C91" s="2296" t="s">
        <v>2793</v>
      </c>
      <c r="D91" s="2297"/>
      <c r="E91" s="2297"/>
      <c r="F91" s="2297"/>
      <c r="G91" s="2297"/>
      <c r="H91" s="2297"/>
      <c r="I91" s="2297"/>
      <c r="J91" s="2343"/>
      <c r="K91" s="2344"/>
      <c r="L91" s="2344"/>
      <c r="M91" s="2344"/>
      <c r="N91" s="2344"/>
    </row>
    <row r="92" spans="1:37">
      <c r="A92" s="3392"/>
      <c r="B92" s="339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93"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94"/>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94"/>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94"/>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94"/>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94"/>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94"/>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95"/>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93" t="s">
        <v>2795</v>
      </c>
      <c r="B101" s="2349" t="s">
        <v>2796</v>
      </c>
      <c r="C101" s="2350">
        <f>$G$3</f>
        <v>4.08</v>
      </c>
      <c r="D101" s="2350">
        <f t="shared" ref="D101:N101" si="31">$G$3</f>
        <v>4.08</v>
      </c>
      <c r="E101" s="2350">
        <f t="shared" si="31"/>
        <v>4.08</v>
      </c>
      <c r="F101" s="2350">
        <f t="shared" si="31"/>
        <v>4.08</v>
      </c>
      <c r="G101" s="2350">
        <f t="shared" si="31"/>
        <v>4.08</v>
      </c>
      <c r="H101" s="2350">
        <f t="shared" si="31"/>
        <v>4.08</v>
      </c>
      <c r="I101" s="2350">
        <f t="shared" si="31"/>
        <v>4.08</v>
      </c>
      <c r="J101" s="2350">
        <f t="shared" si="31"/>
        <v>4.08</v>
      </c>
      <c r="K101" s="2350">
        <f t="shared" si="31"/>
        <v>4.08</v>
      </c>
      <c r="L101" s="2350">
        <f t="shared" si="31"/>
        <v>4.08</v>
      </c>
      <c r="M101" s="2350">
        <f t="shared" si="31"/>
        <v>4.08</v>
      </c>
      <c r="N101" s="2350">
        <f t="shared" si="31"/>
        <v>4.08</v>
      </c>
    </row>
    <row r="102" spans="1:14">
      <c r="A102" s="3394"/>
      <c r="B102" s="2345">
        <v>1</v>
      </c>
      <c r="C102" s="2346">
        <f>1.9362/C101</f>
        <v>0.47455882352941176</v>
      </c>
      <c r="D102" s="2346">
        <f>1.9362/D101</f>
        <v>0.47455882352941176</v>
      </c>
      <c r="E102" s="2346">
        <f>1.8629/E101</f>
        <v>0.45659313725490197</v>
      </c>
      <c r="F102" s="2346">
        <f>1.8629/F101</f>
        <v>0.45659313725490197</v>
      </c>
      <c r="G102" s="2346">
        <f>1.8629/G101</f>
        <v>0.45659313725490197</v>
      </c>
      <c r="H102" s="2346">
        <f>1.8629/H101</f>
        <v>0.45659313725490197</v>
      </c>
      <c r="I102" s="2346">
        <f>1.8629/I101</f>
        <v>0.45659313725490197</v>
      </c>
      <c r="J102" s="2346">
        <f>1.942/J101</f>
        <v>0.47598039215686272</v>
      </c>
      <c r="K102" s="2346">
        <f>1.942/K101</f>
        <v>0.47598039215686272</v>
      </c>
      <c r="L102" s="2346">
        <f>1.942/L101</f>
        <v>0.47598039215686272</v>
      </c>
      <c r="M102" s="2346">
        <f>1.942/M101</f>
        <v>0.47598039215686272</v>
      </c>
      <c r="N102" s="2346">
        <f>1.942/N101</f>
        <v>0.47598039215686272</v>
      </c>
    </row>
    <row r="103" spans="1:14">
      <c r="A103" s="3394"/>
      <c r="B103" s="2345">
        <v>2</v>
      </c>
      <c r="C103" s="2346">
        <f>1.4198/C101</f>
        <v>0.34799019607843135</v>
      </c>
      <c r="D103" s="2346">
        <f>1.4198/D101</f>
        <v>0.34799019607843135</v>
      </c>
      <c r="E103" s="2346">
        <f>1.3372/E101</f>
        <v>0.32774509803921564</v>
      </c>
      <c r="F103" s="2346">
        <f>1.3372/F101</f>
        <v>0.32774509803921564</v>
      </c>
      <c r="G103" s="2346">
        <f>1.3372/G101</f>
        <v>0.32774509803921564</v>
      </c>
      <c r="H103" s="2346">
        <f>1.3372/H101</f>
        <v>0.32774509803921564</v>
      </c>
      <c r="I103" s="2346">
        <f>1.3372/I101</f>
        <v>0.32774509803921564</v>
      </c>
      <c r="J103" s="2346">
        <f>1.2799/J101</f>
        <v>0.31370098039215688</v>
      </c>
      <c r="K103" s="2346">
        <f>1.2799/K101</f>
        <v>0.31370098039215688</v>
      </c>
      <c r="L103" s="2346">
        <f>1.2799/L101</f>
        <v>0.31370098039215688</v>
      </c>
      <c r="M103" s="2346">
        <f>1.2799/M101</f>
        <v>0.31370098039215688</v>
      </c>
      <c r="N103" s="2346">
        <f>1.2799/N101</f>
        <v>0.31370098039215688</v>
      </c>
    </row>
    <row r="104" spans="1:14">
      <c r="A104" s="3394"/>
      <c r="B104" s="2345">
        <v>3</v>
      </c>
      <c r="C104" s="2346">
        <f>1.1594/C101</f>
        <v>0.28416666666666668</v>
      </c>
      <c r="D104" s="2346">
        <f>1.1594/D101</f>
        <v>0.28416666666666668</v>
      </c>
      <c r="E104" s="2346">
        <f>1.0788/E101</f>
        <v>0.26441176470588235</v>
      </c>
      <c r="F104" s="2346">
        <f>1.0788/F101</f>
        <v>0.26441176470588235</v>
      </c>
      <c r="G104" s="2346">
        <f>1.0788/G101</f>
        <v>0.26441176470588235</v>
      </c>
      <c r="H104" s="2346">
        <f>1.0788/H101</f>
        <v>0.26441176470588235</v>
      </c>
      <c r="I104" s="2346">
        <f>1.0788/I101</f>
        <v>0.26441176470588235</v>
      </c>
      <c r="J104" s="2346">
        <f>1.0072/J101</f>
        <v>0.24686274509803924</v>
      </c>
      <c r="K104" s="2346">
        <f>1.0072/K101</f>
        <v>0.24686274509803924</v>
      </c>
      <c r="L104" s="2346">
        <f>1.0072/L101</f>
        <v>0.24686274509803924</v>
      </c>
      <c r="M104" s="2346">
        <f>1.0072/M101</f>
        <v>0.24686274509803924</v>
      </c>
      <c r="N104" s="2346">
        <f>1.0072/N101</f>
        <v>0.24686274509803924</v>
      </c>
    </row>
    <row r="105" spans="1:14">
      <c r="A105" s="3394"/>
      <c r="B105" s="2345">
        <v>4</v>
      </c>
      <c r="C105" s="2346">
        <f>0.9622/C101</f>
        <v>0.23583333333333334</v>
      </c>
      <c r="D105" s="2346">
        <f>0.9622/D101</f>
        <v>0.23583333333333334</v>
      </c>
      <c r="E105" s="2346">
        <f>0.8656/E101</f>
        <v>0.21215686274509804</v>
      </c>
      <c r="F105" s="2346">
        <f>0.8656/F101</f>
        <v>0.21215686274509804</v>
      </c>
      <c r="G105" s="2346">
        <f>0.8656/G101</f>
        <v>0.21215686274509804</v>
      </c>
      <c r="H105" s="2346">
        <f>0.8656/H101</f>
        <v>0.21215686274509804</v>
      </c>
      <c r="I105" s="2346">
        <f>0.8656/I101</f>
        <v>0.21215686274509804</v>
      </c>
      <c r="J105" s="2346">
        <f>0.7525/J101</f>
        <v>0.1844362745098039</v>
      </c>
      <c r="K105" s="2346">
        <f>0.7525/K101</f>
        <v>0.1844362745098039</v>
      </c>
      <c r="L105" s="2346">
        <f>0.7525/L101</f>
        <v>0.1844362745098039</v>
      </c>
      <c r="M105" s="2346">
        <f>0.7525/M101</f>
        <v>0.1844362745098039</v>
      </c>
      <c r="N105" s="2346">
        <f>0.7525/N101</f>
        <v>0.1844362745098039</v>
      </c>
    </row>
    <row r="106" spans="1:14">
      <c r="A106" s="3394"/>
      <c r="B106" s="2345">
        <v>5</v>
      </c>
      <c r="C106" s="2346">
        <f>0.8417/C101</f>
        <v>0.20629901960784314</v>
      </c>
      <c r="D106" s="2346">
        <f>0.8417/D101</f>
        <v>0.20629901960784314</v>
      </c>
      <c r="E106" s="2346">
        <f>0.7371/E101</f>
        <v>0.18066176470588236</v>
      </c>
      <c r="F106" s="2346">
        <f>0.7371/F101</f>
        <v>0.18066176470588236</v>
      </c>
      <c r="G106" s="2346">
        <f>0.7371/G101</f>
        <v>0.18066176470588236</v>
      </c>
      <c r="H106" s="2346">
        <f>0.7371/H101</f>
        <v>0.18066176470588236</v>
      </c>
      <c r="I106" s="2346">
        <f>0.7371/I101</f>
        <v>0.18066176470588236</v>
      </c>
      <c r="J106" s="2346">
        <f>0.5659/J101</f>
        <v>0.13870098039215686</v>
      </c>
      <c r="K106" s="2346">
        <f>0.5659/K101</f>
        <v>0.13870098039215686</v>
      </c>
      <c r="L106" s="2346">
        <f>0.5659/L101</f>
        <v>0.13870098039215686</v>
      </c>
      <c r="M106" s="2346">
        <f>0.5659/M101</f>
        <v>0.13870098039215686</v>
      </c>
      <c r="N106" s="2346">
        <f>0.5659/N101</f>
        <v>0.13870098039215686</v>
      </c>
    </row>
    <row r="107" spans="1:14">
      <c r="A107" s="3394"/>
      <c r="B107" s="2345">
        <v>6</v>
      </c>
      <c r="C107" s="2346">
        <f>0.7608/C101</f>
        <v>0.18647058823529411</v>
      </c>
      <c r="D107" s="2346">
        <f>0.7608/D101</f>
        <v>0.18647058823529411</v>
      </c>
      <c r="E107" s="2346">
        <f>0.6482/E101</f>
        <v>0.15887254901960784</v>
      </c>
      <c r="F107" s="2346">
        <f>0.6482/F101</f>
        <v>0.15887254901960784</v>
      </c>
      <c r="G107" s="2346">
        <f>0.6482/G101</f>
        <v>0.15887254901960784</v>
      </c>
      <c r="H107" s="2346">
        <f>0.6482/H101</f>
        <v>0.15887254901960784</v>
      </c>
      <c r="I107" s="2346">
        <f>0.6482/I101</f>
        <v>0.15887254901960784</v>
      </c>
      <c r="J107" s="2346">
        <f>0.4525/J101</f>
        <v>0.11090686274509803</v>
      </c>
      <c r="K107" s="2346">
        <f>0.4525/K101</f>
        <v>0.11090686274509803</v>
      </c>
      <c r="L107" s="2346">
        <f>0.4525/L101</f>
        <v>0.11090686274509803</v>
      </c>
      <c r="M107" s="2346">
        <f>0.4525/M101</f>
        <v>0.11090686274509803</v>
      </c>
      <c r="N107" s="2346">
        <f>0.4525/N101</f>
        <v>0.11090686274509803</v>
      </c>
    </row>
    <row r="108" spans="1:14">
      <c r="A108" s="3394"/>
      <c r="B108" s="3396" t="s">
        <v>2797</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95"/>
      <c r="B109" s="3397"/>
      <c r="C109" s="2348">
        <f>(-0.163*(C108^2)-0.59*C108+7617)*(10^(-4))/C101</f>
        <v>0.18669117647058825</v>
      </c>
      <c r="D109" s="2348">
        <f>(-0.163*(D108^2)-0.59*D108+7617)*(10^(-4))/D101</f>
        <v>0.18669117647058825</v>
      </c>
      <c r="E109" s="2348">
        <f>(-0.161*(E108^2)-7.509*E108+6533)*(10^(-4))/E101</f>
        <v>0.16012254901960785</v>
      </c>
      <c r="F109" s="2348">
        <f>(-0.161*(F108^2)-7.509*F108+6533)*(10^(-4))/F101</f>
        <v>0.16012254901960785</v>
      </c>
      <c r="G109" s="2348">
        <f>(-0.161*(G108^2)-7.509*G108+6533)*(10^(-4))/G101</f>
        <v>0.16012254901960785</v>
      </c>
      <c r="H109" s="2348">
        <f>(-0.161*(H108^2)-7.509*H108+6533)*(10^(-4))/H101</f>
        <v>0.16012254901960785</v>
      </c>
      <c r="I109" s="2348">
        <f>(-0.161*(I108^2)-7.509*I108+6533)*(10^(-4))/I101</f>
        <v>0.16012254901960785</v>
      </c>
      <c r="J109" s="2348">
        <f>(-0.214*(J108^2)-21.991*J108+4665)*(10^(-4))/J101</f>
        <v>0.11433823529411766</v>
      </c>
      <c r="K109" s="2348">
        <f>(-0.214*(K108^2)-21.991*K108+4665)*(10^(-4))/K101</f>
        <v>0.11433823529411766</v>
      </c>
      <c r="L109" s="2348">
        <f>(-0.214*(L108^2)-21.991*L108+4665)*(10^(-4))/L101</f>
        <v>0.11433823529411766</v>
      </c>
      <c r="M109" s="2348">
        <f>(-0.214*(M108^2)-21.991*M108+4665)*(10^(-4))/M101</f>
        <v>0.11433823529411766</v>
      </c>
      <c r="N109" s="2348">
        <f>(-0.214*(N108^2)-21.991*N108+4665)*(10^(-4))/N101</f>
        <v>0.11433823529411766</v>
      </c>
    </row>
    <row r="110" spans="1:14">
      <c r="A110" s="3391" t="s">
        <v>2798</v>
      </c>
      <c r="B110" s="3391"/>
      <c r="C110" s="3391"/>
      <c r="D110" s="3391"/>
      <c r="E110" s="3391"/>
      <c r="F110" s="3391"/>
      <c r="G110" s="3391"/>
      <c r="H110" s="3391"/>
      <c r="I110" s="3391"/>
      <c r="J110" s="3391"/>
      <c r="K110" s="2351"/>
      <c r="L110" s="2351"/>
      <c r="M110" s="2351"/>
      <c r="N110" s="2351"/>
    </row>
    <row r="112" spans="1:14" ht="13.5" thickBot="1"/>
    <row r="113" spans="1:13" ht="25.5" thickBot="1">
      <c r="A113" s="842" t="s">
        <v>2799</v>
      </c>
      <c r="B113" s="1197">
        <f>G3</f>
        <v>4.08</v>
      </c>
      <c r="C113" s="843" t="s">
        <v>2800</v>
      </c>
      <c r="D113" s="844">
        <f>SUMPRODUCT((A115:A118=F113)*(B114:M114=H113)*B115:M118)</f>
        <v>0.80369999999999997</v>
      </c>
      <c r="E113" s="2187" t="s">
        <v>2634</v>
      </c>
      <c r="F113" s="2353" t="str">
        <f>E2</f>
        <v>办公</v>
      </c>
      <c r="G113" s="2187" t="s">
        <v>2635</v>
      </c>
      <c r="H113" s="2353" t="str">
        <f>G2</f>
        <v>五级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0.89510000000000001</v>
      </c>
      <c r="C115" s="849">
        <f>B115</f>
        <v>0.89510000000000001</v>
      </c>
      <c r="D115" s="849">
        <f>ROUND(0.8331-0.0109*B113,4)</f>
        <v>0.78859999999999997</v>
      </c>
      <c r="E115" s="849">
        <f>D115</f>
        <v>0.78859999999999997</v>
      </c>
      <c r="F115" s="849">
        <f>E115</f>
        <v>0.78859999999999997</v>
      </c>
      <c r="G115" s="849">
        <f>F115</f>
        <v>0.78859999999999997</v>
      </c>
      <c r="H115" s="849">
        <f>G115</f>
        <v>0.78859999999999997</v>
      </c>
      <c r="I115" s="849">
        <f>ROUND(0.689-0.0155*B113,4)</f>
        <v>0.62580000000000002</v>
      </c>
      <c r="J115" s="849">
        <f t="shared" ref="J115:M118" si="33">I115</f>
        <v>0.62580000000000002</v>
      </c>
      <c r="K115" s="849">
        <f t="shared" si="33"/>
        <v>0.62580000000000002</v>
      </c>
      <c r="L115" s="849">
        <f t="shared" si="33"/>
        <v>0.62580000000000002</v>
      </c>
      <c r="M115" s="850">
        <f t="shared" si="33"/>
        <v>0.62580000000000002</v>
      </c>
    </row>
    <row r="116" spans="1:13">
      <c r="A116" s="848" t="s">
        <v>2700</v>
      </c>
      <c r="B116" s="849">
        <f>ROUND(0.949-0.012*B113,4)</f>
        <v>0.9</v>
      </c>
      <c r="C116" s="849">
        <f>B116</f>
        <v>0.9</v>
      </c>
      <c r="D116" s="849">
        <f>ROUND(0.8567-0.013*B113,4)</f>
        <v>0.80369999999999997</v>
      </c>
      <c r="E116" s="849">
        <f t="shared" ref="E116:H117" si="34">D116</f>
        <v>0.80369999999999997</v>
      </c>
      <c r="F116" s="849">
        <f t="shared" si="34"/>
        <v>0.80369999999999997</v>
      </c>
      <c r="G116" s="849">
        <f t="shared" si="34"/>
        <v>0.80369999999999997</v>
      </c>
      <c r="H116" s="849">
        <f t="shared" si="34"/>
        <v>0.80369999999999997</v>
      </c>
      <c r="I116" s="849">
        <f>ROUND(0.7694-0.014*B113,4)</f>
        <v>0.71230000000000004</v>
      </c>
      <c r="J116" s="849">
        <f t="shared" si="33"/>
        <v>0.71230000000000004</v>
      </c>
      <c r="K116" s="849">
        <f t="shared" si="33"/>
        <v>0.71230000000000004</v>
      </c>
      <c r="L116" s="849">
        <f t="shared" si="33"/>
        <v>0.71230000000000004</v>
      </c>
      <c r="M116" s="850">
        <f t="shared" si="33"/>
        <v>0.71230000000000004</v>
      </c>
    </row>
    <row r="117" spans="1:13">
      <c r="A117" s="848" t="s">
        <v>2701</v>
      </c>
      <c r="B117" s="849">
        <f>ROUND(0.8808-0.006*B113,4)</f>
        <v>0.85629999999999995</v>
      </c>
      <c r="C117" s="849">
        <f>B117</f>
        <v>0.85629999999999995</v>
      </c>
      <c r="D117" s="849">
        <f>ROUND(0.8748-0.008*B113,4)</f>
        <v>0.84219999999999995</v>
      </c>
      <c r="E117" s="849">
        <f t="shared" si="34"/>
        <v>0.84219999999999995</v>
      </c>
      <c r="F117" s="849">
        <f t="shared" si="34"/>
        <v>0.84219999999999995</v>
      </c>
      <c r="G117" s="849">
        <f t="shared" si="34"/>
        <v>0.84219999999999995</v>
      </c>
      <c r="H117" s="849">
        <f t="shared" si="34"/>
        <v>0.84219999999999995</v>
      </c>
      <c r="I117" s="849">
        <f>ROUND(0.7412-0.0095*B113,4)</f>
        <v>0.70240000000000002</v>
      </c>
      <c r="J117" s="849">
        <f t="shared" si="33"/>
        <v>0.70240000000000002</v>
      </c>
      <c r="K117" s="849">
        <f t="shared" si="33"/>
        <v>0.70240000000000002</v>
      </c>
      <c r="L117" s="849">
        <f t="shared" si="33"/>
        <v>0.70240000000000002</v>
      </c>
      <c r="M117" s="850">
        <f t="shared" si="33"/>
        <v>0.70240000000000002</v>
      </c>
    </row>
    <row r="118" spans="1:13" ht="13.5" thickBot="1">
      <c r="A118" s="670" t="s">
        <v>2702</v>
      </c>
      <c r="B118" s="851">
        <f>ROUND(0.7275-0.01*B113,4)</f>
        <v>0.68669999999999998</v>
      </c>
      <c r="C118" s="851">
        <f>B118</f>
        <v>0.68669999999999998</v>
      </c>
      <c r="D118" s="851">
        <f>ROUND(0.7043-0.012*B113,4)</f>
        <v>0.65529999999999999</v>
      </c>
      <c r="E118" s="851">
        <f>D118</f>
        <v>0.65529999999999999</v>
      </c>
      <c r="F118" s="851">
        <f>E118</f>
        <v>0.65529999999999999</v>
      </c>
      <c r="G118" s="851">
        <f>ROUND(0.6299-0.0122*B113,4)</f>
        <v>0.58009999999999995</v>
      </c>
      <c r="H118" s="851">
        <f>G118</f>
        <v>0.58009999999999995</v>
      </c>
      <c r="I118" s="851">
        <f>ROUND(0.5667-0.0136*B113,4)</f>
        <v>0.51119999999999999</v>
      </c>
      <c r="J118" s="851">
        <f t="shared" si="33"/>
        <v>0.51119999999999999</v>
      </c>
      <c r="K118" s="851">
        <f t="shared" si="33"/>
        <v>0.51119999999999999</v>
      </c>
      <c r="L118" s="851">
        <f t="shared" si="33"/>
        <v>0.51119999999999999</v>
      </c>
      <c r="M118" s="852">
        <f t="shared" si="33"/>
        <v>0.51119999999999999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82" priority="5" stopIfTrue="1" operator="notEqual">
      <formula>"——"</formula>
    </cfRule>
  </conditionalFormatting>
  <conditionalFormatting sqref="F59">
    <cfRule type="cellIs" dxfId="81" priority="4" stopIfTrue="1" operator="notEqual">
      <formula>"——"</formula>
    </cfRule>
  </conditionalFormatting>
  <conditionalFormatting sqref="F70">
    <cfRule type="cellIs" dxfId="80" priority="3" stopIfTrue="1" operator="notEqual">
      <formula>"——"</formula>
    </cfRule>
  </conditionalFormatting>
  <conditionalFormatting sqref="F81">
    <cfRule type="cellIs" dxfId="79" priority="2" stopIfTrue="1" operator="notEqual">
      <formula>"——"</formula>
    </cfRule>
  </conditionalFormatting>
  <conditionalFormatting sqref="H48:H56 H59:H67 H70:H78 H81:H88">
    <cfRule type="cellIs" dxfId="7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18" sqref="M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t="s">
        <v>27</v>
      </c>
      <c r="C1" s="1392" t="s">
        <v>2351</v>
      </c>
      <c r="D1" s="1393" t="s">
        <v>3082</v>
      </c>
      <c r="E1" s="1394"/>
      <c r="F1" s="2064" t="s">
        <v>3101</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19</v>
      </c>
      <c r="C2" s="2066" t="s">
        <v>70</v>
      </c>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IF(AND(C2="——",B37="元/平方米"),C39,ROUND(B2*10000/D3,0))</f>
        <v>#DIV/0!</v>
      </c>
      <c r="C3" s="360" t="s">
        <v>2465</v>
      </c>
      <c r="D3" s="359">
        <f>SUMIF('数据-汇总表'!$C19:$C33,D1,'数据-汇总表'!$E19:$E33)</f>
        <v>0</v>
      </c>
      <c r="E3" s="360" t="s">
        <v>2529</v>
      </c>
      <c r="F3" s="359">
        <f>SUMIF('数据-取费表'!A5:A15,D1,'数据-取费表'!AH5:AH15)</f>
        <v>1</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43"/>
      <c r="M4" s="2944"/>
      <c r="N4" s="2944"/>
      <c r="O4" s="2944"/>
      <c r="P4" s="3374" t="s">
        <v>2472</v>
      </c>
      <c r="Q4" s="3375"/>
      <c r="R4" s="3372" t="s">
        <v>2468</v>
      </c>
      <c r="S4" s="3373"/>
      <c r="T4" s="3372" t="s">
        <v>2469</v>
      </c>
      <c r="U4" s="3373"/>
      <c r="V4" s="3331" t="s">
        <v>2470</v>
      </c>
      <c r="W4" s="3331"/>
      <c r="X4" s="1539"/>
      <c r="Y4" s="3372" t="s">
        <v>2472</v>
      </c>
      <c r="Z4" s="3373"/>
      <c r="AA4" s="3371" t="s">
        <v>2468</v>
      </c>
      <c r="AB4" s="3298" t="s">
        <v>2469</v>
      </c>
      <c r="AC4" s="3371" t="s">
        <v>2470</v>
      </c>
    </row>
    <row r="5" spans="1:29" ht="15">
      <c r="A5" s="364"/>
      <c r="B5" s="365"/>
      <c r="C5" s="3308" t="s">
        <v>2363</v>
      </c>
      <c r="D5" s="3309"/>
      <c r="E5" s="3414" t="s">
        <v>3121</v>
      </c>
      <c r="F5" s="3307"/>
      <c r="G5" s="3415" t="s">
        <v>3122</v>
      </c>
      <c r="H5" s="3309"/>
      <c r="I5" s="3415" t="s">
        <v>3123</v>
      </c>
      <c r="J5" s="3309"/>
      <c r="K5" s="567"/>
      <c r="L5" s="2943"/>
      <c r="M5" s="2944"/>
      <c r="N5" s="2944"/>
      <c r="O5" s="2944"/>
      <c r="P5" s="3376"/>
      <c r="Q5" s="3325"/>
      <c r="R5" s="3304"/>
      <c r="S5" s="3305"/>
      <c r="T5" s="3304"/>
      <c r="U5" s="3305"/>
      <c r="V5" s="3331"/>
      <c r="W5" s="3331"/>
      <c r="X5" s="1539"/>
      <c r="Y5" s="3304"/>
      <c r="Z5" s="3305"/>
      <c r="AA5" s="3298"/>
      <c r="AB5" s="3298"/>
      <c r="AC5" s="3298"/>
    </row>
    <row r="6" spans="1:29" ht="15.75" thickBot="1">
      <c r="A6" s="366"/>
      <c r="B6" s="367"/>
      <c r="C6" s="3310" t="s">
        <v>2367</v>
      </c>
      <c r="D6" s="3311"/>
      <c r="E6" s="3312" t="s">
        <v>2367</v>
      </c>
      <c r="F6" s="3313"/>
      <c r="G6" s="3310" t="s">
        <v>2367</v>
      </c>
      <c r="H6" s="3311"/>
      <c r="I6" s="3310" t="s">
        <v>2367</v>
      </c>
      <c r="J6" s="3311"/>
      <c r="K6" s="567" t="s">
        <v>2368</v>
      </c>
      <c r="L6" s="2943"/>
      <c r="M6" s="2944"/>
      <c r="N6" s="2944"/>
      <c r="O6" s="2944"/>
      <c r="P6" s="3377"/>
      <c r="Q6" s="3327"/>
      <c r="R6" s="3304"/>
      <c r="S6" s="3305"/>
      <c r="T6" s="3328"/>
      <c r="U6" s="3329"/>
      <c r="V6" s="3331"/>
      <c r="W6" s="3331"/>
      <c r="X6" s="1539"/>
      <c r="Y6" s="3328"/>
      <c r="Z6" s="3329"/>
      <c r="AA6" s="3299"/>
      <c r="AB6" s="3299"/>
      <c r="AC6" s="3299"/>
    </row>
    <row r="7" spans="1:29" s="113" customFormat="1" ht="15.75" thickBot="1">
      <c r="A7" s="368" t="s">
        <v>2369</v>
      </c>
      <c r="B7" s="369"/>
      <c r="C7" s="370">
        <f>'数据-取费表'!B2</f>
        <v>44442</v>
      </c>
      <c r="D7" s="371">
        <v>100</v>
      </c>
      <c r="E7" s="372">
        <v>44440</v>
      </c>
      <c r="F7" s="373">
        <f>SUMIF(48:48,YEAR(E7)&amp;"-"&amp;MONTH(E7),49:49)</f>
        <v>100</v>
      </c>
      <c r="G7" s="372">
        <v>44440</v>
      </c>
      <c r="H7" s="371">
        <f>SUMIF(48:48,YEAR(G7)&amp;"-"&amp;MONTH(G7),49:49)</f>
        <v>100</v>
      </c>
      <c r="I7" s="372">
        <v>44440</v>
      </c>
      <c r="J7" s="371">
        <f>SUMIF(48:48,YEAR(I7)&amp;"-"&amp;MONTH(I7),49:49)</f>
        <v>100</v>
      </c>
      <c r="K7" s="568"/>
      <c r="L7" s="2945"/>
      <c r="M7" s="2946"/>
      <c r="N7" s="2946"/>
      <c r="O7" s="2946"/>
      <c r="P7" s="3300" t="s">
        <v>2370</v>
      </c>
      <c r="Q7" s="3333"/>
      <c r="R7" s="710" t="s">
        <v>17</v>
      </c>
      <c r="S7" s="711">
        <f t="shared" ref="S7:S14" si="0">F7</f>
        <v>100</v>
      </c>
      <c r="T7" s="710" t="s">
        <v>17</v>
      </c>
      <c r="U7" s="711">
        <f t="shared" ref="U7:U14" si="1">H7</f>
        <v>100</v>
      </c>
      <c r="V7" s="710" t="s">
        <v>17</v>
      </c>
      <c r="W7" s="711">
        <f t="shared" ref="W7:W14" si="2">J7</f>
        <v>100</v>
      </c>
      <c r="X7" s="712"/>
      <c r="Y7" s="3300" t="s">
        <v>2370</v>
      </c>
      <c r="Z7" s="3301"/>
      <c r="AA7" s="713">
        <f>D7/F7</f>
        <v>1</v>
      </c>
      <c r="AB7" s="713">
        <f>D7/H7</f>
        <v>1</v>
      </c>
      <c r="AC7" s="713">
        <f>D7/J7</f>
        <v>1</v>
      </c>
    </row>
    <row r="8" spans="1:29" s="113" customFormat="1" ht="15.75" thickBot="1">
      <c r="A8" s="368" t="s">
        <v>2371</v>
      </c>
      <c r="B8" s="369"/>
      <c r="C8" s="374" t="s">
        <v>2473</v>
      </c>
      <c r="D8" s="371">
        <v>100</v>
      </c>
      <c r="E8" s="3089" t="s">
        <v>3102</v>
      </c>
      <c r="F8" s="373">
        <f>SUMIF(51:51,E8,52:52)-SUMIF(51:51,C8,52:52)+100</f>
        <v>100</v>
      </c>
      <c r="G8" s="3089" t="s">
        <v>3107</v>
      </c>
      <c r="H8" s="371">
        <f>SUMIF(51:51,G8,52:52)-SUMIF(51:51,C8,52:52)+100</f>
        <v>100</v>
      </c>
      <c r="I8" s="3089" t="s">
        <v>3102</v>
      </c>
      <c r="J8" s="371">
        <f>SUMIF(51:51,I8,52:52)-SUMIF(51:51,C8,52:52)+100</f>
        <v>100</v>
      </c>
      <c r="K8" s="568"/>
      <c r="L8" s="2945"/>
      <c r="M8" s="2946"/>
      <c r="N8" s="2946"/>
      <c r="O8" s="2946"/>
      <c r="P8" s="3300" t="s">
        <v>2373</v>
      </c>
      <c r="Q8" s="3301"/>
      <c r="R8" s="710" t="s">
        <v>17</v>
      </c>
      <c r="S8" s="711">
        <f t="shared" si="0"/>
        <v>100</v>
      </c>
      <c r="T8" s="710" t="s">
        <v>17</v>
      </c>
      <c r="U8" s="711">
        <f t="shared" si="1"/>
        <v>100</v>
      </c>
      <c r="V8" s="710" t="s">
        <v>17</v>
      </c>
      <c r="W8" s="711">
        <f t="shared" si="2"/>
        <v>100</v>
      </c>
      <c r="X8" s="712"/>
      <c r="Y8" s="3300" t="s">
        <v>2373</v>
      </c>
      <c r="Z8" s="3301"/>
      <c r="AA8" s="713">
        <f t="shared" ref="AA8:AA36" si="3">D8/F8</f>
        <v>1</v>
      </c>
      <c r="AB8" s="713">
        <f t="shared" ref="AB8:AB36" si="4">D8/H8</f>
        <v>1</v>
      </c>
      <c r="AC8" s="713">
        <f t="shared" ref="AC8:AC36" si="5">D8/J8</f>
        <v>1</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3" t="s">
        <v>2376</v>
      </c>
      <c r="Q9" s="1527" t="str">
        <f t="shared" ref="Q9:Q14" si="6">B9</f>
        <v>用途</v>
      </c>
      <c r="R9" s="710" t="s">
        <v>17</v>
      </c>
      <c r="S9" s="711">
        <f t="shared" si="0"/>
        <v>100</v>
      </c>
      <c r="T9" s="710" t="s">
        <v>17</v>
      </c>
      <c r="U9" s="711">
        <f t="shared" si="1"/>
        <v>100</v>
      </c>
      <c r="V9" s="710" t="s">
        <v>17</v>
      </c>
      <c r="W9" s="711">
        <f t="shared" si="2"/>
        <v>100</v>
      </c>
      <c r="X9" s="712"/>
      <c r="Y9" s="326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3"/>
      <c r="Q10" s="1527" t="str">
        <f t="shared" si="6"/>
        <v>土地使用年限（年）</v>
      </c>
      <c r="R10" s="710" t="s">
        <v>17</v>
      </c>
      <c r="S10" s="711">
        <f t="shared" si="0"/>
        <v>100</v>
      </c>
      <c r="T10" s="710" t="s">
        <v>17</v>
      </c>
      <c r="U10" s="711">
        <f t="shared" si="1"/>
        <v>100</v>
      </c>
      <c r="V10" s="710" t="s">
        <v>17</v>
      </c>
      <c r="W10" s="711">
        <f t="shared" si="2"/>
        <v>100</v>
      </c>
      <c r="X10" s="712"/>
      <c r="Y10" s="326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3"/>
      <c r="Q11" s="1527">
        <f t="shared" si="6"/>
        <v>111</v>
      </c>
      <c r="R11" s="710" t="s">
        <v>17</v>
      </c>
      <c r="S11" s="711">
        <f t="shared" si="0"/>
        <v>100</v>
      </c>
      <c r="T11" s="710" t="s">
        <v>17</v>
      </c>
      <c r="U11" s="711">
        <f t="shared" si="1"/>
        <v>100</v>
      </c>
      <c r="V11" s="710" t="s">
        <v>17</v>
      </c>
      <c r="W11" s="711">
        <f t="shared" si="2"/>
        <v>100</v>
      </c>
      <c r="X11" s="712"/>
      <c r="Y11" s="326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3"/>
      <c r="Q12" s="1527">
        <f t="shared" si="6"/>
        <v>111</v>
      </c>
      <c r="R12" s="710" t="s">
        <v>17</v>
      </c>
      <c r="S12" s="711">
        <f t="shared" si="0"/>
        <v>100</v>
      </c>
      <c r="T12" s="710" t="s">
        <v>17</v>
      </c>
      <c r="U12" s="711">
        <f t="shared" si="1"/>
        <v>100</v>
      </c>
      <c r="V12" s="710" t="s">
        <v>17</v>
      </c>
      <c r="W12" s="711">
        <f t="shared" si="2"/>
        <v>100</v>
      </c>
      <c r="X12" s="712"/>
      <c r="Y12" s="326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3"/>
      <c r="Q13" s="1527">
        <f t="shared" si="6"/>
        <v>111</v>
      </c>
      <c r="R13" s="710" t="s">
        <v>17</v>
      </c>
      <c r="S13" s="711">
        <f t="shared" si="0"/>
        <v>100</v>
      </c>
      <c r="T13" s="710" t="s">
        <v>17</v>
      </c>
      <c r="U13" s="711">
        <f t="shared" si="1"/>
        <v>100</v>
      </c>
      <c r="V13" s="710" t="s">
        <v>17</v>
      </c>
      <c r="W13" s="711">
        <f t="shared" si="2"/>
        <v>100</v>
      </c>
      <c r="X13" s="712"/>
      <c r="Y13" s="3265"/>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95</v>
      </c>
      <c r="G14" s="403"/>
      <c r="H14" s="400">
        <f>SUMIF(63:63,G15,64:64)-SUMIF(63:63,C15,64:64)+100</f>
        <v>95</v>
      </c>
      <c r="I14" s="401"/>
      <c r="J14" s="400">
        <f>SUMIF(63:63,I15,64:64)-SUMIF(63:63,C15,64:64)+100</f>
        <v>95</v>
      </c>
      <c r="K14" s="571">
        <v>5</v>
      </c>
      <c r="L14" s="2950"/>
      <c r="M14" s="2944"/>
      <c r="N14" s="2944"/>
      <c r="O14" s="2944"/>
      <c r="P14" s="3336" t="s">
        <v>2381</v>
      </c>
      <c r="Q14" s="1536" t="str">
        <f t="shared" si="6"/>
        <v>交通便捷度</v>
      </c>
      <c r="R14" s="714" t="s">
        <v>17</v>
      </c>
      <c r="S14" s="715">
        <f t="shared" si="0"/>
        <v>95</v>
      </c>
      <c r="T14" s="714" t="s">
        <v>17</v>
      </c>
      <c r="U14" s="715">
        <f t="shared" si="1"/>
        <v>95</v>
      </c>
      <c r="V14" s="714" t="s">
        <v>17</v>
      </c>
      <c r="W14" s="715">
        <f t="shared" si="2"/>
        <v>95</v>
      </c>
      <c r="X14" s="1539"/>
      <c r="Y14" s="3336" t="s">
        <v>2381</v>
      </c>
      <c r="Z14" s="1540" t="str">
        <f t="shared" si="7"/>
        <v>交通便捷度</v>
      </c>
      <c r="AA14" s="1537">
        <f t="shared" si="3"/>
        <v>1.0526315789473684</v>
      </c>
      <c r="AB14" s="1537">
        <f t="shared" si="4"/>
        <v>1.0526315789473684</v>
      </c>
      <c r="AC14" s="1537">
        <f t="shared" si="5"/>
        <v>1.0526315789473684</v>
      </c>
    </row>
    <row r="15" spans="1:29" ht="15">
      <c r="A15" s="364"/>
      <c r="B15" s="603"/>
      <c r="C15" s="3094" t="s">
        <v>3133</v>
      </c>
      <c r="D15" s="407"/>
      <c r="E15" s="3094" t="s">
        <v>3134</v>
      </c>
      <c r="F15" s="408"/>
      <c r="G15" s="3094" t="s">
        <v>3134</v>
      </c>
      <c r="H15" s="409"/>
      <c r="I15" s="3094" t="s">
        <v>3134</v>
      </c>
      <c r="J15" s="407"/>
      <c r="K15" s="572"/>
      <c r="L15" s="2950"/>
      <c r="M15" s="2944"/>
      <c r="N15" s="2944"/>
      <c r="O15" s="2944"/>
      <c r="P15" s="3337"/>
      <c r="Q15" s="1536"/>
      <c r="R15" s="714"/>
      <c r="S15" s="715"/>
      <c r="T15" s="714"/>
      <c r="U15" s="715"/>
      <c r="V15" s="714"/>
      <c r="W15" s="715"/>
      <c r="X15" s="1539"/>
      <c r="Y15" s="3337"/>
      <c r="Z15" s="1540"/>
      <c r="AA15" s="1537">
        <v>1</v>
      </c>
      <c r="AB15" s="1537">
        <v>1</v>
      </c>
      <c r="AC15" s="1537">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95</v>
      </c>
      <c r="G16" s="418"/>
      <c r="H16" s="414">
        <f>SUMIF(65:65,G17,66:66)-SUMIF(65:65,C17,66:66)+100</f>
        <v>95</v>
      </c>
      <c r="I16" s="416"/>
      <c r="J16" s="414">
        <f>SUMIF(65:65,I17,66:66)-SUMIF(65:65,C17,66:66)+100</f>
        <v>95</v>
      </c>
      <c r="K16" s="571">
        <v>5</v>
      </c>
      <c r="L16" s="2950"/>
      <c r="M16" s="2944"/>
      <c r="N16" s="2944"/>
      <c r="O16" s="2944"/>
      <c r="P16" s="3337"/>
      <c r="Q16" s="1536" t="str">
        <f>B16</f>
        <v>公共配套设施</v>
      </c>
      <c r="R16" s="714" t="s">
        <v>17</v>
      </c>
      <c r="S16" s="715">
        <f>F16</f>
        <v>95</v>
      </c>
      <c r="T16" s="714" t="s">
        <v>17</v>
      </c>
      <c r="U16" s="715">
        <f>H16</f>
        <v>95</v>
      </c>
      <c r="V16" s="714" t="s">
        <v>17</v>
      </c>
      <c r="W16" s="715">
        <f>J16</f>
        <v>95</v>
      </c>
      <c r="X16" s="1539"/>
      <c r="Y16" s="3337"/>
      <c r="Z16" s="1540" t="str">
        <f>Q16</f>
        <v>公共配套设施</v>
      </c>
      <c r="AA16" s="1537">
        <f t="shared" si="3"/>
        <v>1.0526315789473684</v>
      </c>
      <c r="AB16" s="1537">
        <f t="shared" si="4"/>
        <v>1.0526315789473684</v>
      </c>
      <c r="AC16" s="1537">
        <f t="shared" si="5"/>
        <v>1.0526315789473684</v>
      </c>
    </row>
    <row r="17" spans="1:29" ht="15">
      <c r="A17" s="364"/>
      <c r="B17" s="588"/>
      <c r="C17" s="3093" t="s">
        <v>3124</v>
      </c>
      <c r="D17" s="407"/>
      <c r="E17" s="3094" t="s">
        <v>3125</v>
      </c>
      <c r="F17" s="408"/>
      <c r="G17" s="3094" t="s">
        <v>3126</v>
      </c>
      <c r="H17" s="407"/>
      <c r="I17" s="3094" t="s">
        <v>3126</v>
      </c>
      <c r="J17" s="407"/>
      <c r="K17" s="572"/>
      <c r="L17" s="2950"/>
      <c r="M17" s="2944"/>
      <c r="N17" s="2944"/>
      <c r="O17" s="2944"/>
      <c r="P17" s="3337"/>
      <c r="Q17" s="1536"/>
      <c r="R17" s="714"/>
      <c r="S17" s="715"/>
      <c r="T17" s="714"/>
      <c r="U17" s="715"/>
      <c r="V17" s="714"/>
      <c r="W17" s="715"/>
      <c r="X17" s="1539"/>
      <c r="Y17" s="3337"/>
      <c r="Z17" s="1540"/>
      <c r="AA17" s="1537">
        <v>1</v>
      </c>
      <c r="AB17" s="1537">
        <v>1</v>
      </c>
      <c r="AC17" s="1537">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64"/>
      <c r="B19" s="589"/>
      <c r="C19" s="3093" t="s">
        <v>3127</v>
      </c>
      <c r="D19" s="409"/>
      <c r="E19" s="3093" t="s">
        <v>3127</v>
      </c>
      <c r="F19" s="412"/>
      <c r="G19" s="3093" t="s">
        <v>3127</v>
      </c>
      <c r="H19" s="407"/>
      <c r="I19" s="3094" t="s">
        <v>3127</v>
      </c>
      <c r="J19" s="407"/>
      <c r="K19" s="1292"/>
      <c r="L19" s="2950"/>
      <c r="M19" s="2944"/>
      <c r="N19" s="2944"/>
      <c r="O19" s="2944"/>
      <c r="P19" s="3337"/>
      <c r="Q19" s="1536"/>
      <c r="R19" s="714"/>
      <c r="S19" s="715"/>
      <c r="T19" s="714"/>
      <c r="U19" s="715"/>
      <c r="V19" s="714"/>
      <c r="W19" s="715"/>
      <c r="X19" s="1539"/>
      <c r="Y19" s="3337"/>
      <c r="Z19" s="1540"/>
      <c r="AA19" s="1537">
        <v>1</v>
      </c>
      <c r="AB19" s="1537">
        <v>1</v>
      </c>
      <c r="AC19" s="1537">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98</v>
      </c>
      <c r="G20" s="418"/>
      <c r="H20" s="409">
        <f>SUMIF(69:69,G21,70:70)-SUMIF(69:69,C21,70:70)+100</f>
        <v>98</v>
      </c>
      <c r="I20" s="411"/>
      <c r="J20" s="409">
        <f>SUMIF(69:69,I21,70:70)-SUMIF(69:69,C21,70:70)+100</f>
        <v>98</v>
      </c>
      <c r="K20" s="571">
        <v>2</v>
      </c>
      <c r="L20" s="2950"/>
      <c r="M20" s="2944"/>
      <c r="N20" s="2944"/>
      <c r="O20" s="2944"/>
      <c r="P20" s="3337"/>
      <c r="Q20" s="1536" t="str">
        <f>B20</f>
        <v>自然及人文环境</v>
      </c>
      <c r="R20" s="714" t="s">
        <v>17</v>
      </c>
      <c r="S20" s="715">
        <f>F20</f>
        <v>98</v>
      </c>
      <c r="T20" s="714" t="s">
        <v>17</v>
      </c>
      <c r="U20" s="715">
        <f>H20</f>
        <v>98</v>
      </c>
      <c r="V20" s="714" t="s">
        <v>17</v>
      </c>
      <c r="W20" s="715">
        <f>J20</f>
        <v>98</v>
      </c>
      <c r="X20" s="1539"/>
      <c r="Y20" s="3337"/>
      <c r="Z20" s="1540" t="str">
        <f>Q20</f>
        <v>自然及人文环境</v>
      </c>
      <c r="AA20" s="1537">
        <f t="shared" si="3"/>
        <v>1.0204081632653061</v>
      </c>
      <c r="AB20" s="1537">
        <f t="shared" si="4"/>
        <v>1.0204081632653061</v>
      </c>
      <c r="AC20" s="1537">
        <f t="shared" si="5"/>
        <v>1.0204081632653061</v>
      </c>
    </row>
    <row r="21" spans="1:29" ht="15">
      <c r="A21" s="364"/>
      <c r="B21" s="588"/>
      <c r="C21" s="3094" t="s">
        <v>3124</v>
      </c>
      <c r="D21" s="407"/>
      <c r="E21" s="3094" t="s">
        <v>3126</v>
      </c>
      <c r="F21" s="408"/>
      <c r="G21" s="3094" t="s">
        <v>3126</v>
      </c>
      <c r="H21" s="407"/>
      <c r="I21" s="3094" t="s">
        <v>3126</v>
      </c>
      <c r="J21" s="407"/>
      <c r="K21" s="572"/>
      <c r="L21" s="2950"/>
      <c r="M21" s="2944"/>
      <c r="N21" s="2944"/>
      <c r="O21" s="2944"/>
      <c r="P21" s="3337"/>
      <c r="Q21" s="1536"/>
      <c r="R21" s="714"/>
      <c r="S21" s="715"/>
      <c r="T21" s="714"/>
      <c r="U21" s="715"/>
      <c r="V21" s="714"/>
      <c r="W21" s="715"/>
      <c r="X21" s="1539"/>
      <c r="Y21" s="333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37"/>
      <c r="Q24" s="1536">
        <f t="shared" ref="Q24:Q36"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8.5">
      <c r="A26" s="608" t="s">
        <v>2384</v>
      </c>
      <c r="B26" s="66" t="s">
        <v>2533</v>
      </c>
      <c r="C26" s="2157" t="str">
        <f>B1</f>
        <v>办公</v>
      </c>
      <c r="D26" s="407">
        <v>100</v>
      </c>
      <c r="E26" s="3094" t="s">
        <v>3128</v>
      </c>
      <c r="F26" s="408">
        <f>SUMIF(79:79,E26,80:80)-SUMIF(79:79,C26,80:80)+100</f>
        <v>100</v>
      </c>
      <c r="G26" s="3094" t="s">
        <v>3129</v>
      </c>
      <c r="H26" s="407">
        <f>SUMIF(79:79,G26,80:80)-SUMIF(79:79,C26,80:80)+100</f>
        <v>120</v>
      </c>
      <c r="I26" s="3094" t="s">
        <v>3129</v>
      </c>
      <c r="J26" s="407">
        <f>SUMIF(79:79,I26,80:80)-SUMIF(79:79,C26,80:80)+100</f>
        <v>120</v>
      </c>
      <c r="K26" s="569">
        <v>-20</v>
      </c>
      <c r="L26" s="2950"/>
      <c r="M26" s="2944"/>
      <c r="N26" s="2944"/>
      <c r="O26" s="2944"/>
      <c r="P26" s="3381" t="s">
        <v>2386</v>
      </c>
      <c r="Q26" s="1536" t="str">
        <f t="shared" si="11"/>
        <v>配套类型</v>
      </c>
      <c r="R26" s="714" t="s">
        <v>17</v>
      </c>
      <c r="S26" s="715">
        <f t="shared" ref="S26:S36" si="12">F26</f>
        <v>100</v>
      </c>
      <c r="T26" s="714" t="s">
        <v>17</v>
      </c>
      <c r="U26" s="715">
        <f t="shared" ref="U26:U36" si="13">H26</f>
        <v>120</v>
      </c>
      <c r="V26" s="714" t="s">
        <v>17</v>
      </c>
      <c r="W26" s="715">
        <f t="shared" ref="W26:W36" si="14">J26</f>
        <v>120</v>
      </c>
      <c r="X26" s="1539"/>
      <c r="Y26" s="3341" t="s">
        <v>2386</v>
      </c>
      <c r="Z26" s="1540" t="str">
        <f t="shared" ref="Z26:Z36" si="15">Q26</f>
        <v>配套类型</v>
      </c>
      <c r="AA26" s="1537">
        <f t="shared" si="3"/>
        <v>1</v>
      </c>
      <c r="AB26" s="1537">
        <f t="shared" si="4"/>
        <v>0.83333333333333337</v>
      </c>
      <c r="AC26" s="1537">
        <f t="shared" si="5"/>
        <v>0.83333333333333337</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41"/>
      <c r="Q27" s="716" t="str">
        <f t="shared" si="11"/>
        <v>项目停车位配比</v>
      </c>
      <c r="R27" s="717" t="s">
        <v>17</v>
      </c>
      <c r="S27" s="718">
        <f t="shared" si="12"/>
        <v>100</v>
      </c>
      <c r="T27" s="717" t="s">
        <v>17</v>
      </c>
      <c r="U27" s="718">
        <f t="shared" si="13"/>
        <v>100</v>
      </c>
      <c r="V27" s="717" t="s">
        <v>17</v>
      </c>
      <c r="W27" s="718">
        <f t="shared" si="14"/>
        <v>100</v>
      </c>
      <c r="X27" s="719"/>
      <c r="Y27" s="334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41"/>
      <c r="Q28" s="1536" t="str">
        <f t="shared" si="11"/>
        <v>公共部分装修</v>
      </c>
      <c r="R28" s="714" t="s">
        <v>17</v>
      </c>
      <c r="S28" s="715">
        <f t="shared" si="12"/>
        <v>100</v>
      </c>
      <c r="T28" s="714" t="s">
        <v>17</v>
      </c>
      <c r="U28" s="715">
        <f t="shared" si="13"/>
        <v>100</v>
      </c>
      <c r="V28" s="714" t="s">
        <v>17</v>
      </c>
      <c r="W28" s="715">
        <f t="shared" si="14"/>
        <v>100</v>
      </c>
      <c r="X28" s="1539"/>
      <c r="Y28" s="3341"/>
      <c r="Z28" s="1540" t="str">
        <f t="shared" si="15"/>
        <v>公共部分装修</v>
      </c>
      <c r="AA28" s="1537">
        <f t="shared" si="3"/>
        <v>1</v>
      </c>
      <c r="AB28" s="1537">
        <f t="shared" si="4"/>
        <v>1</v>
      </c>
      <c r="AC28" s="1537">
        <f t="shared" si="5"/>
        <v>1</v>
      </c>
    </row>
    <row r="29" spans="1:29" ht="15">
      <c r="A29" s="612"/>
      <c r="B29" s="610" t="s">
        <v>2536</v>
      </c>
      <c r="C29" s="428">
        <v>80</v>
      </c>
      <c r="D29" s="394">
        <v>100</v>
      </c>
      <c r="E29" s="433">
        <v>0.8</v>
      </c>
      <c r="F29" s="420">
        <f>LOOKUP(E29,86:86,87:87)-LOOKUP(C29,86:86,87:87)+100</f>
        <v>100</v>
      </c>
      <c r="G29" s="433">
        <v>0.8</v>
      </c>
      <c r="H29" s="420">
        <f>LOOKUP(G29,86:86,87:87)-LOOKUP(C29,86:86,87:87)+100</f>
        <v>100</v>
      </c>
      <c r="I29" s="433">
        <v>0.8</v>
      </c>
      <c r="J29" s="394">
        <f>LOOKUP(I29,86:86,87:87)-LOOKUP(C29,86:86,87:87)+100</f>
        <v>100</v>
      </c>
      <c r="K29" s="569"/>
      <c r="L29" s="2950"/>
      <c r="M29" s="2944"/>
      <c r="N29" s="2944"/>
      <c r="O29" s="2944"/>
      <c r="P29" s="3341"/>
      <c r="Q29" s="1536" t="str">
        <f t="shared" si="11"/>
        <v>成新率</v>
      </c>
      <c r="R29" s="714" t="s">
        <v>17</v>
      </c>
      <c r="S29" s="715">
        <f t="shared" si="12"/>
        <v>100</v>
      </c>
      <c r="T29" s="714" t="s">
        <v>17</v>
      </c>
      <c r="U29" s="715">
        <f t="shared" si="13"/>
        <v>100</v>
      </c>
      <c r="V29" s="714" t="s">
        <v>17</v>
      </c>
      <c r="W29" s="715">
        <f t="shared" si="14"/>
        <v>100</v>
      </c>
      <c r="X29" s="1539"/>
      <c r="Y29" s="3341"/>
      <c r="Z29" s="1540" t="str">
        <f t="shared" si="15"/>
        <v>成新率</v>
      </c>
      <c r="AA29" s="1537">
        <f t="shared" si="3"/>
        <v>1</v>
      </c>
      <c r="AB29" s="1537">
        <f t="shared" si="4"/>
        <v>1</v>
      </c>
      <c r="AC29" s="1537">
        <f t="shared" si="5"/>
        <v>1</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41"/>
      <c r="Q30" s="1536" t="str">
        <f t="shared" si="11"/>
        <v>物业等级</v>
      </c>
      <c r="R30" s="714" t="s">
        <v>17</v>
      </c>
      <c r="S30" s="715">
        <f t="shared" si="12"/>
        <v>100</v>
      </c>
      <c r="T30" s="714" t="s">
        <v>17</v>
      </c>
      <c r="U30" s="715">
        <f t="shared" si="13"/>
        <v>100</v>
      </c>
      <c r="V30" s="714" t="s">
        <v>17</v>
      </c>
      <c r="W30" s="715">
        <f t="shared" si="14"/>
        <v>100</v>
      </c>
      <c r="X30" s="1539"/>
      <c r="Y30" s="334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f>LOOKUP(E31,91:91,92:92)-LOOKUP(C31,91:91,92:92)+100</f>
        <v>100</v>
      </c>
      <c r="G31" s="428"/>
      <c r="H31" s="394">
        <f>LOOKUP(G31,91:91,92:92)-LOOKUP(C31,91:91,92:92)+100</f>
        <v>100</v>
      </c>
      <c r="I31" s="428"/>
      <c r="J31" s="394">
        <f>LOOKUP(I31,91:91,92:92)-LOOKUP(C31,91:91,92:92)+100</f>
        <v>100</v>
      </c>
      <c r="K31" s="569"/>
      <c r="L31" s="2945"/>
      <c r="M31" s="2946"/>
      <c r="N31" s="2946"/>
      <c r="O31" s="2946"/>
      <c r="P31" s="3341"/>
      <c r="Q31" s="1527" t="str">
        <f t="shared" si="11"/>
        <v>停车位面积</v>
      </c>
      <c r="R31" s="710" t="s">
        <v>17</v>
      </c>
      <c r="S31" s="711">
        <f t="shared" si="12"/>
        <v>100</v>
      </c>
      <c r="T31" s="710" t="s">
        <v>17</v>
      </c>
      <c r="U31" s="711">
        <f t="shared" si="13"/>
        <v>100</v>
      </c>
      <c r="V31" s="710" t="s">
        <v>17</v>
      </c>
      <c r="W31" s="711">
        <f t="shared" si="14"/>
        <v>100</v>
      </c>
      <c r="X31" s="712"/>
      <c r="Y31" s="3341"/>
      <c r="Z31" s="55" t="str">
        <f t="shared" si="15"/>
        <v>停车位面积</v>
      </c>
      <c r="AA31" s="713">
        <f t="shared" si="3"/>
        <v>1</v>
      </c>
      <c r="AB31" s="713">
        <f t="shared" si="4"/>
        <v>1</v>
      </c>
      <c r="AC31" s="713">
        <f t="shared" si="5"/>
        <v>1</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41" t="s">
        <v>2386</v>
      </c>
      <c r="Q32" s="1536" t="str">
        <f t="shared" si="11"/>
        <v>车位类型</v>
      </c>
      <c r="R32" s="714" t="s">
        <v>17</v>
      </c>
      <c r="S32" s="715">
        <f t="shared" si="12"/>
        <v>100</v>
      </c>
      <c r="T32" s="714" t="s">
        <v>17</v>
      </c>
      <c r="U32" s="715">
        <f t="shared" si="13"/>
        <v>100</v>
      </c>
      <c r="V32" s="714" t="s">
        <v>17</v>
      </c>
      <c r="W32" s="715">
        <f t="shared" si="14"/>
        <v>100</v>
      </c>
      <c r="X32" s="1539"/>
      <c r="Y32" s="334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41"/>
      <c r="Q33" s="1536" t="str">
        <f t="shared" si="11"/>
        <v>是否直接入户</v>
      </c>
      <c r="R33" s="714" t="s">
        <v>17</v>
      </c>
      <c r="S33" s="715">
        <f t="shared" si="12"/>
        <v>100</v>
      </c>
      <c r="T33" s="714" t="s">
        <v>17</v>
      </c>
      <c r="U33" s="715">
        <f t="shared" si="13"/>
        <v>100</v>
      </c>
      <c r="V33" s="714" t="s">
        <v>17</v>
      </c>
      <c r="W33" s="715">
        <f t="shared" si="14"/>
        <v>100</v>
      </c>
      <c r="X33" s="1539"/>
      <c r="Y33" s="334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41"/>
      <c r="Q35" s="716">
        <f t="shared" si="11"/>
        <v>111</v>
      </c>
      <c r="R35" s="717" t="s">
        <v>17</v>
      </c>
      <c r="S35" s="718">
        <f t="shared" si="12"/>
        <v>100</v>
      </c>
      <c r="T35" s="717" t="s">
        <v>17</v>
      </c>
      <c r="U35" s="718">
        <f t="shared" si="13"/>
        <v>100</v>
      </c>
      <c r="V35" s="717" t="s">
        <v>17</v>
      </c>
      <c r="W35" s="718">
        <f t="shared" si="14"/>
        <v>100</v>
      </c>
      <c r="X35" s="719"/>
      <c r="Y35" s="334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41"/>
      <c r="Q36" s="1536">
        <f t="shared" si="11"/>
        <v>111</v>
      </c>
      <c r="R36" s="714" t="s">
        <v>17</v>
      </c>
      <c r="S36" s="715">
        <f t="shared" si="12"/>
        <v>100</v>
      </c>
      <c r="T36" s="714" t="s">
        <v>17</v>
      </c>
      <c r="U36" s="715">
        <f t="shared" si="13"/>
        <v>100</v>
      </c>
      <c r="V36" s="714" t="s">
        <v>17</v>
      </c>
      <c r="W36" s="715">
        <f t="shared" si="14"/>
        <v>100</v>
      </c>
      <c r="X36" s="1539"/>
      <c r="Y36" s="3341"/>
      <c r="Z36" s="1540">
        <f t="shared" si="15"/>
        <v>111</v>
      </c>
      <c r="AA36" s="1537">
        <f t="shared" si="3"/>
        <v>1</v>
      </c>
      <c r="AB36" s="1537">
        <f t="shared" si="4"/>
        <v>1</v>
      </c>
      <c r="AC36" s="1537">
        <f t="shared" si="5"/>
        <v>1</v>
      </c>
    </row>
    <row r="37" spans="1:29" ht="15">
      <c r="A37" s="438" t="s">
        <v>2541</v>
      </c>
      <c r="B37" s="2158" t="s">
        <v>3132</v>
      </c>
      <c r="C37" s="1316" t="s">
        <v>1</v>
      </c>
      <c r="D37" s="1317"/>
      <c r="E37" s="1318">
        <v>123700</v>
      </c>
      <c r="F37" s="1319"/>
      <c r="G37" s="1320">
        <v>273400</v>
      </c>
      <c r="H37" s="1321"/>
      <c r="I37" s="1318">
        <v>273900</v>
      </c>
      <c r="J37" s="1321"/>
      <c r="K37" s="576"/>
      <c r="L37" s="2952"/>
      <c r="M37" s="2953"/>
      <c r="N37" s="2944"/>
      <c r="O37" s="2953"/>
      <c r="P37" s="3343" t="str">
        <f>A37</f>
        <v>成交单价</v>
      </c>
      <c r="Q37" s="3343"/>
      <c r="R37" s="3344">
        <f>E37</f>
        <v>123700</v>
      </c>
      <c r="S37" s="3344"/>
      <c r="T37" s="3344">
        <f>G37</f>
        <v>273400</v>
      </c>
      <c r="U37" s="3344"/>
      <c r="V37" s="3344">
        <f>I37</f>
        <v>273900</v>
      </c>
      <c r="W37" s="3344"/>
      <c r="X37" s="699"/>
      <c r="Y37" s="721"/>
      <c r="Z37" s="699"/>
      <c r="AA37" s="699"/>
      <c r="AB37" s="699"/>
      <c r="AC37" s="699"/>
    </row>
    <row r="38" spans="1:29" ht="15.75" thickBot="1">
      <c r="A38" s="445" t="s">
        <v>2542</v>
      </c>
      <c r="B38" s="446" t="str">
        <f>B37</f>
        <v>元/车位</v>
      </c>
      <c r="C38" s="1322">
        <f>R39</f>
        <v>187050</v>
      </c>
      <c r="D38" s="2537" t="s">
        <v>3130</v>
      </c>
      <c r="E38" s="1323">
        <f>R38</f>
        <v>139861</v>
      </c>
      <c r="F38" s="2538">
        <v>0.6</v>
      </c>
      <c r="G38" s="1322">
        <f>T38</f>
        <v>257599</v>
      </c>
      <c r="H38" s="2538">
        <v>0.2</v>
      </c>
      <c r="I38" s="1323">
        <f>V38</f>
        <v>258070</v>
      </c>
      <c r="J38" s="2538">
        <v>0.2</v>
      </c>
      <c r="K38" s="2540">
        <f>F38+H38+J38</f>
        <v>1</v>
      </c>
      <c r="L38" s="2952"/>
      <c r="M38" s="2953"/>
      <c r="N38" s="2953"/>
      <c r="O38" s="2953"/>
      <c r="P38" s="3343" t="str">
        <f>A38</f>
        <v>比较价值（元/平方米）</v>
      </c>
      <c r="Q38" s="3343"/>
      <c r="R38" s="3344">
        <f>IF(F1="售价",ROUND(PRODUCT(R37,AA7:AA36),0),ROUND(PRODUCT(R37,AA7:AA36),1))</f>
        <v>139861</v>
      </c>
      <c r="S38" s="3344"/>
      <c r="T38" s="3344">
        <f>IF(F1="售价",ROUND(PRODUCT(T37,AB7:AB36),0),ROUND(PRODUCT(T37,AB7:AB36),1))</f>
        <v>257599</v>
      </c>
      <c r="U38" s="3344"/>
      <c r="V38" s="3344">
        <f>IF(F1="售价",ROUND(PRODUCT(V37,AC7:AC36),0),ROUND(PRODUCT(V37,AC7:AC36),1))</f>
        <v>258070</v>
      </c>
      <c r="W38" s="3344"/>
      <c r="X38" s="699"/>
      <c r="Y38" s="699"/>
      <c r="Z38" s="699"/>
      <c r="AA38" s="699"/>
      <c r="AB38" s="699"/>
      <c r="AC38" s="699"/>
    </row>
    <row r="39" spans="1:29" ht="15.75" thickBot="1">
      <c r="A39" s="449" t="s">
        <v>2543</v>
      </c>
      <c r="B39" s="450"/>
      <c r="C39" s="1325">
        <f>R39</f>
        <v>187050</v>
      </c>
      <c r="D39" s="1325"/>
      <c r="E39" s="1325"/>
      <c r="F39" s="1325"/>
      <c r="G39" s="1325"/>
      <c r="H39" s="1325"/>
      <c r="I39" s="1325"/>
      <c r="J39" s="1325"/>
      <c r="K39" s="577"/>
      <c r="L39" s="2952"/>
      <c r="M39" s="2953"/>
      <c r="N39" s="2953"/>
      <c r="O39" s="2953"/>
      <c r="P39" s="3378" t="str">
        <f>A39</f>
        <v>估价对象XX用房的比较价值（楼面单价，元/平方米）</v>
      </c>
      <c r="Q39" s="3379"/>
      <c r="R39" s="3416">
        <f>IF(F1="售价",ROUND(IF(D38="简单平均",AVERAGE(R38:W38),R38*F38+T38*H38+V38*J38),0),ROUND(IF(D38="简单平均",AVERAGE(R38:V38),R38*F38+T38*H38+V38*J38),1))</f>
        <v>187050</v>
      </c>
      <c r="S39" s="3416"/>
      <c r="T39" s="3416"/>
      <c r="U39" s="3416"/>
      <c r="V39" s="3416"/>
      <c r="W39" s="3416"/>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f>IF(E37&lt;E38,E38/E37-1,E37/E38-1)</f>
        <v>0.13064672594987869</v>
      </c>
      <c r="F42" s="457" t="str">
        <f>IF(OR(E42&gt;=0.3,E42&lt;=-0.3),"超过30%","")</f>
        <v/>
      </c>
      <c r="G42" s="456">
        <f>IF(G37&lt;G38,G38/G37-1,G37/G38-1)</f>
        <v>6.1339523833555232E-2</v>
      </c>
      <c r="H42" s="457" t="str">
        <f>IF(OR(G42&gt;=0.3,G42&lt;=-0.3),"超过30%","")</f>
        <v/>
      </c>
      <c r="I42" s="456">
        <f>IF(I37&lt;I38,I38/I37-1,I37/I38-1)</f>
        <v>6.1339946526136391E-2</v>
      </c>
      <c r="J42" s="457" t="str">
        <f>IF(OR(I42&gt;=0.3,I42&lt;=-0.3),"超过30%","")</f>
        <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f>IF(E38&lt;G38,G38/E38-1,E38/G38-1)</f>
        <v>0.84182152279763489</v>
      </c>
      <c r="F43" s="457" t="str">
        <f>IF(OR(E43&gt;=0.2,E43&lt;=-0.2),"超过20%","")</f>
        <v>超过20%</v>
      </c>
      <c r="G43" s="456">
        <f>IF(G38&lt;I38,I38/G38-1,G38/I38-1)</f>
        <v>1.8284232469847339E-3</v>
      </c>
      <c r="H43" s="457" t="str">
        <f>IF(OR(G43&gt;=0.2,G43&lt;=-0.2),"超过20%","")</f>
        <v/>
      </c>
      <c r="I43" s="456">
        <f>IF(I38&lt;E38,E38/I38-1,I38/E38-1)</f>
        <v>0.84518915208671475</v>
      </c>
      <c r="J43" s="457" t="str">
        <f>IF(OR(I43&gt;=0.2,I43&lt;=-0.2),"超过20%","")</f>
        <v>超过20%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f>IF(E37&lt;G37,G37/E37-1,E37/G37-1)</f>
        <v>1.2101859337105902</v>
      </c>
      <c r="F44" s="457" t="str">
        <f>IF(OR(E44&gt;=0.3,E44&lt;=-0.3),"超过30%","")</f>
        <v>超过30%</v>
      </c>
      <c r="G44" s="456">
        <f>IF(G37&lt;I37,I37/G37-1,G37/I37-1)</f>
        <v>1.8288222384783559E-3</v>
      </c>
      <c r="H44" s="457" t="str">
        <f>IF(OR(G44&gt;=0.3,G44&lt;=-0.3),"超过30%","")</f>
        <v/>
      </c>
      <c r="I44" s="456">
        <f>IF(I37&lt;E37,E37/I37-1,I37/E37-1)</f>
        <v>1.2142279708973325</v>
      </c>
      <c r="J44" s="457" t="str">
        <f>IF(OR(I44&gt;=0.3,I44&lt;=-0.3),"超过30%","")</f>
        <v>超过30%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2548</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95</v>
      </c>
      <c r="E64" s="501">
        <f>D64-$K14</f>
        <v>90</v>
      </c>
      <c r="F64" s="501">
        <f>E64-$K14</f>
        <v>85</v>
      </c>
      <c r="G64" s="501">
        <f>F64-$K14</f>
        <v>80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95</v>
      </c>
      <c r="E66" s="501">
        <f>D66-$K16</f>
        <v>90</v>
      </c>
      <c r="F66" s="501">
        <f>E66-$K16</f>
        <v>85</v>
      </c>
      <c r="G66" s="501">
        <f>F66-$K16</f>
        <v>80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98</v>
      </c>
      <c r="E70" s="501">
        <f>D70-$K20</f>
        <v>96</v>
      </c>
      <c r="F70" s="501">
        <f>E70-$K20</f>
        <v>94</v>
      </c>
      <c r="G70" s="501">
        <f>F70-$K20</f>
        <v>92</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2550</v>
      </c>
      <c r="C79" s="486" t="str">
        <f>C26</f>
        <v>办公</v>
      </c>
      <c r="D79" s="3095" t="s">
        <v>3129</v>
      </c>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120</v>
      </c>
      <c r="E80" s="501">
        <f t="shared" si="17"/>
        <v>140</v>
      </c>
      <c r="F80" s="501">
        <f t="shared" si="17"/>
        <v>160</v>
      </c>
      <c r="G80" s="501">
        <f t="shared" si="17"/>
        <v>180</v>
      </c>
      <c r="H80" s="501">
        <f t="shared" si="17"/>
        <v>200</v>
      </c>
      <c r="I80" s="501">
        <f t="shared" si="17"/>
        <v>220</v>
      </c>
      <c r="J80" s="501">
        <f t="shared" si="17"/>
        <v>240</v>
      </c>
      <c r="K80" s="501">
        <f t="shared" si="17"/>
        <v>260</v>
      </c>
      <c r="L80" s="501">
        <f t="shared" si="17"/>
        <v>280</v>
      </c>
      <c r="M80" s="502">
        <f t="shared" si="17"/>
        <v>300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0(含)-30</v>
      </c>
      <c r="D90" s="535" t="str">
        <f t="shared" ref="D90:L90" si="21">D91&amp;"(含)"&amp;"-"&amp;E91</f>
        <v>30(含)-40</v>
      </c>
      <c r="E90" s="535" t="str">
        <f t="shared" si="21"/>
        <v>40(含)-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v>0</v>
      </c>
      <c r="D91" s="552">
        <v>30</v>
      </c>
      <c r="E91" s="552">
        <v>40</v>
      </c>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v>100</v>
      </c>
      <c r="D92" s="493">
        <v>102</v>
      </c>
      <c r="E92" s="493">
        <v>104</v>
      </c>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4"/>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43"/>
      <c r="M4" s="2944"/>
      <c r="N4" s="2944"/>
      <c r="O4" s="2944"/>
      <c r="P4" s="3374" t="s">
        <v>2472</v>
      </c>
      <c r="Q4" s="3375"/>
      <c r="R4" s="3372" t="s">
        <v>2468</v>
      </c>
      <c r="S4" s="3373"/>
      <c r="T4" s="3372" t="s">
        <v>2469</v>
      </c>
      <c r="U4" s="3373"/>
      <c r="V4" s="3331" t="s">
        <v>2470</v>
      </c>
      <c r="W4" s="3331"/>
      <c r="X4" s="1539"/>
      <c r="Y4" s="3372" t="s">
        <v>2472</v>
      </c>
      <c r="Z4" s="3373"/>
      <c r="AA4" s="3371" t="s">
        <v>2468</v>
      </c>
      <c r="AB4" s="3298" t="s">
        <v>2469</v>
      </c>
      <c r="AC4" s="3371" t="s">
        <v>2470</v>
      </c>
    </row>
    <row r="5" spans="1:29" ht="15">
      <c r="A5" s="364"/>
      <c r="B5" s="365"/>
      <c r="C5" s="3308" t="s">
        <v>2363</v>
      </c>
      <c r="D5" s="3309"/>
      <c r="E5" s="3306" t="s">
        <v>2364</v>
      </c>
      <c r="F5" s="3307"/>
      <c r="G5" s="3308" t="s">
        <v>2365</v>
      </c>
      <c r="H5" s="3309"/>
      <c r="I5" s="3308" t="s">
        <v>2366</v>
      </c>
      <c r="J5" s="3309"/>
      <c r="K5" s="567"/>
      <c r="L5" s="2943"/>
      <c r="M5" s="2944"/>
      <c r="N5" s="2944"/>
      <c r="O5" s="2944"/>
      <c r="P5" s="3376"/>
      <c r="Q5" s="3325"/>
      <c r="R5" s="3304"/>
      <c r="S5" s="3305"/>
      <c r="T5" s="3304"/>
      <c r="U5" s="3305"/>
      <c r="V5" s="3331"/>
      <c r="W5" s="3331"/>
      <c r="X5" s="1539"/>
      <c r="Y5" s="3304"/>
      <c r="Z5" s="3305"/>
      <c r="AA5" s="3298"/>
      <c r="AB5" s="3298"/>
      <c r="AC5" s="3298"/>
    </row>
    <row r="6" spans="1:29" ht="15.75" thickBot="1">
      <c r="A6" s="366"/>
      <c r="B6" s="367"/>
      <c r="C6" s="3310" t="s">
        <v>2367</v>
      </c>
      <c r="D6" s="3311"/>
      <c r="E6" s="3312" t="s">
        <v>2367</v>
      </c>
      <c r="F6" s="3313"/>
      <c r="G6" s="3310" t="s">
        <v>2367</v>
      </c>
      <c r="H6" s="3311"/>
      <c r="I6" s="3310" t="s">
        <v>2367</v>
      </c>
      <c r="J6" s="3311"/>
      <c r="K6" s="567" t="s">
        <v>2368</v>
      </c>
      <c r="L6" s="2943"/>
      <c r="M6" s="2944"/>
      <c r="N6" s="2944"/>
      <c r="O6" s="2944"/>
      <c r="P6" s="3377"/>
      <c r="Q6" s="3327"/>
      <c r="R6" s="3304"/>
      <c r="S6" s="3305"/>
      <c r="T6" s="3328"/>
      <c r="U6" s="3329"/>
      <c r="V6" s="3331"/>
      <c r="W6" s="3331"/>
      <c r="X6" s="1539"/>
      <c r="Y6" s="3328"/>
      <c r="Z6" s="3329"/>
      <c r="AA6" s="3299"/>
      <c r="AB6" s="3299"/>
      <c r="AC6" s="3299"/>
    </row>
    <row r="7" spans="1:29" s="113" customFormat="1" ht="15.75" thickBot="1">
      <c r="A7" s="368" t="s">
        <v>2369</v>
      </c>
      <c r="B7" s="369"/>
      <c r="C7" s="370">
        <f>'数据-取费表'!B2</f>
        <v>44442</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00" t="s">
        <v>2370</v>
      </c>
      <c r="Q7" s="3333"/>
      <c r="R7" s="710" t="s">
        <v>17</v>
      </c>
      <c r="S7" s="711">
        <f t="shared" ref="S7:S14" si="0">F7</f>
        <v>0</v>
      </c>
      <c r="T7" s="710" t="s">
        <v>17</v>
      </c>
      <c r="U7" s="711">
        <f t="shared" ref="U7:U14" si="1">H7</f>
        <v>0</v>
      </c>
      <c r="V7" s="710" t="s">
        <v>17</v>
      </c>
      <c r="W7" s="711">
        <f t="shared" ref="W7:W14" si="2">J7</f>
        <v>0</v>
      </c>
      <c r="X7" s="712"/>
      <c r="Y7" s="3300" t="s">
        <v>2370</v>
      </c>
      <c r="Z7" s="330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0" t="s">
        <v>2373</v>
      </c>
      <c r="Q8" s="3301"/>
      <c r="R8" s="710" t="s">
        <v>17</v>
      </c>
      <c r="S8" s="711">
        <f t="shared" si="0"/>
        <v>0</v>
      </c>
      <c r="T8" s="710" t="s">
        <v>17</v>
      </c>
      <c r="U8" s="711">
        <f t="shared" si="1"/>
        <v>0</v>
      </c>
      <c r="V8" s="710" t="s">
        <v>17</v>
      </c>
      <c r="W8" s="711">
        <f t="shared" si="2"/>
        <v>0</v>
      </c>
      <c r="X8" s="712"/>
      <c r="Y8" s="3300" t="s">
        <v>2373</v>
      </c>
      <c r="Z8" s="330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3" t="s">
        <v>2376</v>
      </c>
      <c r="Q9" s="1527" t="str">
        <f t="shared" ref="Q9:Q14" si="6">B9</f>
        <v>用途</v>
      </c>
      <c r="R9" s="710" t="s">
        <v>17</v>
      </c>
      <c r="S9" s="711">
        <f t="shared" si="0"/>
        <v>100</v>
      </c>
      <c r="T9" s="710" t="s">
        <v>17</v>
      </c>
      <c r="U9" s="711">
        <f t="shared" si="1"/>
        <v>100</v>
      </c>
      <c r="V9" s="710" t="s">
        <v>17</v>
      </c>
      <c r="W9" s="711">
        <f t="shared" si="2"/>
        <v>100</v>
      </c>
      <c r="X9" s="712"/>
      <c r="Y9" s="326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3"/>
      <c r="Q10" s="1527" t="str">
        <f t="shared" si="6"/>
        <v>土地使用年限（年）</v>
      </c>
      <c r="R10" s="710" t="s">
        <v>17</v>
      </c>
      <c r="S10" s="711">
        <f t="shared" si="0"/>
        <v>100</v>
      </c>
      <c r="T10" s="710" t="s">
        <v>17</v>
      </c>
      <c r="U10" s="711">
        <f t="shared" si="1"/>
        <v>100</v>
      </c>
      <c r="V10" s="710" t="s">
        <v>17</v>
      </c>
      <c r="W10" s="711">
        <f t="shared" si="2"/>
        <v>100</v>
      </c>
      <c r="X10" s="712"/>
      <c r="Y10" s="3265"/>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3"/>
      <c r="Q11" s="1527">
        <f t="shared" si="6"/>
        <v>111</v>
      </c>
      <c r="R11" s="710" t="s">
        <v>17</v>
      </c>
      <c r="S11" s="711">
        <f t="shared" si="0"/>
        <v>100</v>
      </c>
      <c r="T11" s="710" t="s">
        <v>17</v>
      </c>
      <c r="U11" s="711">
        <f t="shared" si="1"/>
        <v>100</v>
      </c>
      <c r="V11" s="710" t="s">
        <v>17</v>
      </c>
      <c r="W11" s="711">
        <f t="shared" si="2"/>
        <v>100</v>
      </c>
      <c r="X11" s="712"/>
      <c r="Y11" s="3265"/>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3"/>
      <c r="Q12" s="1527">
        <f t="shared" si="6"/>
        <v>111</v>
      </c>
      <c r="R12" s="710" t="s">
        <v>17</v>
      </c>
      <c r="S12" s="711">
        <f t="shared" si="0"/>
        <v>100</v>
      </c>
      <c r="T12" s="710" t="s">
        <v>17</v>
      </c>
      <c r="U12" s="711">
        <f t="shared" si="1"/>
        <v>100</v>
      </c>
      <c r="V12" s="710" t="s">
        <v>17</v>
      </c>
      <c r="W12" s="711">
        <f t="shared" si="2"/>
        <v>100</v>
      </c>
      <c r="X12" s="712"/>
      <c r="Y12" s="3265"/>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43"/>
      <c r="Q13" s="1527">
        <f t="shared" si="6"/>
        <v>111</v>
      </c>
      <c r="R13" s="710" t="s">
        <v>17</v>
      </c>
      <c r="S13" s="711">
        <f t="shared" si="0"/>
        <v>100</v>
      </c>
      <c r="T13" s="710" t="s">
        <v>17</v>
      </c>
      <c r="U13" s="711">
        <f t="shared" si="1"/>
        <v>100</v>
      </c>
      <c r="V13" s="710" t="s">
        <v>17</v>
      </c>
      <c r="W13" s="711">
        <f t="shared" si="2"/>
        <v>100</v>
      </c>
      <c r="X13" s="712"/>
      <c r="Y13" s="3265"/>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36" t="s">
        <v>2381</v>
      </c>
      <c r="Q14" s="1536" t="str">
        <f t="shared" si="6"/>
        <v>交通便捷度</v>
      </c>
      <c r="R14" s="714" t="s">
        <v>17</v>
      </c>
      <c r="S14" s="715">
        <f t="shared" si="0"/>
        <v>100</v>
      </c>
      <c r="T14" s="714" t="s">
        <v>17</v>
      </c>
      <c r="U14" s="715">
        <f t="shared" si="1"/>
        <v>100</v>
      </c>
      <c r="V14" s="714" t="s">
        <v>17</v>
      </c>
      <c r="W14" s="715">
        <f t="shared" si="2"/>
        <v>100</v>
      </c>
      <c r="X14" s="1539"/>
      <c r="Y14" s="333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37"/>
      <c r="Q15" s="1536"/>
      <c r="R15" s="714"/>
      <c r="S15" s="715"/>
      <c r="T15" s="714"/>
      <c r="U15" s="715"/>
      <c r="V15" s="714"/>
      <c r="W15" s="715"/>
      <c r="X15" s="1539"/>
      <c r="Y15" s="3337"/>
      <c r="Z15" s="1540"/>
      <c r="AA15" s="1537">
        <v>1</v>
      </c>
      <c r="AB15" s="1537">
        <v>1</v>
      </c>
      <c r="AC15" s="1537">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337"/>
      <c r="Q17" s="1536"/>
      <c r="R17" s="714"/>
      <c r="S17" s="715"/>
      <c r="T17" s="714"/>
      <c r="U17" s="715"/>
      <c r="V17" s="714"/>
      <c r="W17" s="715"/>
      <c r="X17" s="1539"/>
      <c r="Y17" s="3337"/>
      <c r="Z17" s="1540"/>
      <c r="AA17" s="1537">
        <v>1</v>
      </c>
      <c r="AB17" s="1537">
        <v>1</v>
      </c>
      <c r="AC17" s="1537">
        <v>1</v>
      </c>
    </row>
    <row r="18" spans="1:29" ht="28.5">
      <c r="A18" s="387"/>
      <c r="B18" s="1293"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337"/>
      <c r="Q19" s="1536"/>
      <c r="R19" s="714"/>
      <c r="S19" s="715"/>
      <c r="T19" s="714"/>
      <c r="U19" s="715"/>
      <c r="V19" s="714"/>
      <c r="W19" s="715"/>
      <c r="X19" s="1539"/>
      <c r="Y19" s="3337"/>
      <c r="Z19" s="1540"/>
      <c r="AA19" s="1537">
        <v>1</v>
      </c>
      <c r="AB19" s="1537">
        <v>1</v>
      </c>
      <c r="AC19" s="1537">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37"/>
      <c r="Q21" s="1536"/>
      <c r="R21" s="714"/>
      <c r="S21" s="715"/>
      <c r="T21" s="714"/>
      <c r="U21" s="715"/>
      <c r="V21" s="714"/>
      <c r="W21" s="715"/>
      <c r="X21" s="1539"/>
      <c r="Y21" s="333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37"/>
      <c r="Q24" s="1536">
        <f t="shared" ref="Q24:Q34"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8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41"/>
      <c r="Q27" s="716" t="str">
        <f t="shared" si="11"/>
        <v>成新率</v>
      </c>
      <c r="R27" s="717" t="s">
        <v>17</v>
      </c>
      <c r="S27" s="718" t="e">
        <f t="shared" si="12"/>
        <v>#N/A</v>
      </c>
      <c r="T27" s="717" t="s">
        <v>17</v>
      </c>
      <c r="U27" s="718" t="e">
        <f t="shared" si="13"/>
        <v>#N/A</v>
      </c>
      <c r="V27" s="717" t="s">
        <v>17</v>
      </c>
      <c r="W27" s="718" t="e">
        <f t="shared" si="14"/>
        <v>#N/A</v>
      </c>
      <c r="X27" s="719"/>
      <c r="Y27" s="334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41"/>
      <c r="Q28" s="1536" t="str">
        <f t="shared" si="11"/>
        <v>物业等级</v>
      </c>
      <c r="R28" s="714" t="s">
        <v>17</v>
      </c>
      <c r="S28" s="715">
        <f t="shared" si="12"/>
        <v>100</v>
      </c>
      <c r="T28" s="714" t="s">
        <v>17</v>
      </c>
      <c r="U28" s="715">
        <f t="shared" si="13"/>
        <v>100</v>
      </c>
      <c r="V28" s="714" t="s">
        <v>17</v>
      </c>
      <c r="W28" s="715">
        <f t="shared" si="14"/>
        <v>100</v>
      </c>
      <c r="X28" s="1539"/>
      <c r="Y28" s="3341"/>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41"/>
      <c r="Q29" s="1536" t="str">
        <f t="shared" si="11"/>
        <v>有无电梯</v>
      </c>
      <c r="R29" s="714" t="s">
        <v>17</v>
      </c>
      <c r="S29" s="715">
        <f t="shared" si="12"/>
        <v>100</v>
      </c>
      <c r="T29" s="714" t="s">
        <v>17</v>
      </c>
      <c r="U29" s="715">
        <f t="shared" si="13"/>
        <v>100</v>
      </c>
      <c r="V29" s="714" t="s">
        <v>17</v>
      </c>
      <c r="W29" s="715">
        <f t="shared" si="14"/>
        <v>100</v>
      </c>
      <c r="X29" s="1539"/>
      <c r="Y29" s="3341"/>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41"/>
      <c r="Q30" s="1536" t="str">
        <f t="shared" si="11"/>
        <v>建筑面积</v>
      </c>
      <c r="R30" s="714" t="s">
        <v>17</v>
      </c>
      <c r="S30" s="715" t="e">
        <f t="shared" si="12"/>
        <v>#N/A</v>
      </c>
      <c r="T30" s="714" t="s">
        <v>17</v>
      </c>
      <c r="U30" s="715" t="e">
        <f t="shared" si="13"/>
        <v>#N/A</v>
      </c>
      <c r="V30" s="714" t="s">
        <v>17</v>
      </c>
      <c r="W30" s="715" t="e">
        <f t="shared" si="14"/>
        <v>#N/A</v>
      </c>
      <c r="X30" s="1539"/>
      <c r="Y30" s="3341"/>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41"/>
      <c r="Q31" s="1527" t="str">
        <f t="shared" si="11"/>
        <v>是否封闭</v>
      </c>
      <c r="R31" s="710" t="s">
        <v>17</v>
      </c>
      <c r="S31" s="711">
        <f t="shared" si="12"/>
        <v>100</v>
      </c>
      <c r="T31" s="710" t="s">
        <v>17</v>
      </c>
      <c r="U31" s="711">
        <f t="shared" si="13"/>
        <v>100</v>
      </c>
      <c r="V31" s="710" t="s">
        <v>17</v>
      </c>
      <c r="W31" s="711">
        <f t="shared" si="14"/>
        <v>100</v>
      </c>
      <c r="X31" s="712"/>
      <c r="Y31" s="3341"/>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41" t="s">
        <v>2386</v>
      </c>
      <c r="Q32" s="1536">
        <f t="shared" si="11"/>
        <v>111</v>
      </c>
      <c r="R32" s="714" t="s">
        <v>17</v>
      </c>
      <c r="S32" s="715">
        <f t="shared" si="12"/>
        <v>100</v>
      </c>
      <c r="T32" s="714" t="s">
        <v>17</v>
      </c>
      <c r="U32" s="715">
        <f t="shared" si="13"/>
        <v>100</v>
      </c>
      <c r="V32" s="714" t="s">
        <v>17</v>
      </c>
      <c r="W32" s="715">
        <f t="shared" si="14"/>
        <v>100</v>
      </c>
      <c r="X32" s="1539"/>
      <c r="Y32" s="3341" t="s">
        <v>2386</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41"/>
      <c r="Q33" s="1536">
        <f t="shared" si="11"/>
        <v>111</v>
      </c>
      <c r="R33" s="714" t="s">
        <v>17</v>
      </c>
      <c r="S33" s="715">
        <f t="shared" si="12"/>
        <v>100</v>
      </c>
      <c r="T33" s="714" t="s">
        <v>17</v>
      </c>
      <c r="U33" s="715">
        <f t="shared" si="13"/>
        <v>100</v>
      </c>
      <c r="V33" s="714" t="s">
        <v>17</v>
      </c>
      <c r="W33" s="715">
        <f t="shared" si="14"/>
        <v>100</v>
      </c>
      <c r="X33" s="1539"/>
      <c r="Y33" s="3341"/>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43" t="str">
        <f>A35</f>
        <v>成交单价（元/平方米）</v>
      </c>
      <c r="Q35" s="3343"/>
      <c r="R35" s="3344">
        <f>E35</f>
        <v>0</v>
      </c>
      <c r="S35" s="3344"/>
      <c r="T35" s="3344">
        <f>G35</f>
        <v>0</v>
      </c>
      <c r="U35" s="3344"/>
      <c r="V35" s="3344">
        <f>I35</f>
        <v>0</v>
      </c>
      <c r="W35" s="3344"/>
      <c r="X35" s="699"/>
      <c r="Y35" s="721"/>
      <c r="Z35" s="699"/>
      <c r="AA35" s="699"/>
      <c r="AB35" s="699"/>
      <c r="AC35" s="699"/>
    </row>
    <row r="36" spans="1:30" ht="15.75" thickBot="1">
      <c r="A36" s="445" t="s">
        <v>2490</v>
      </c>
      <c r="B36" s="446"/>
      <c r="C36" s="1322" t="e">
        <f>R37</f>
        <v>#DIV/0!</v>
      </c>
      <c r="D36" s="2537" t="s">
        <v>2878</v>
      </c>
      <c r="E36" s="1323" t="e">
        <f>R36</f>
        <v>#DIV/0!</v>
      </c>
      <c r="F36" s="2538"/>
      <c r="G36" s="1322" t="e">
        <f>T36</f>
        <v>#DIV/0!</v>
      </c>
      <c r="H36" s="2538"/>
      <c r="I36" s="1323" t="e">
        <f>V36</f>
        <v>#DIV/0!</v>
      </c>
      <c r="J36" s="2538"/>
      <c r="K36" s="2540">
        <f>F36+H36+J36</f>
        <v>0</v>
      </c>
      <c r="L36" s="2952"/>
      <c r="M36" s="2953"/>
      <c r="N36" s="2944"/>
      <c r="O36" s="2953"/>
      <c r="P36" s="3343" t="str">
        <f>A36</f>
        <v>比较价值（元/平方米）</v>
      </c>
      <c r="Q36" s="334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78" t="str">
        <f>A37</f>
        <v>估价对象XX用房的比较价值（楼面单价，元/平方米）</v>
      </c>
      <c r="Q37" s="3379"/>
      <c r="R37" s="3416" t="e">
        <f>IF(F1="售价",ROUND(IF(D36="简单平均",AVERAGE(R36:W36),R36*F36+T36*H36+V36*J36),0),ROUND(IF(D36="简单平均",AVERAGE(R36:V36),R36*F36+T36*H36+V36*J36),1))</f>
        <v>#DIV/0!</v>
      </c>
      <c r="S37" s="3416"/>
      <c r="T37" s="3416"/>
      <c r="U37" s="3416"/>
      <c r="V37" s="3416"/>
      <c r="W37" s="3416"/>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2560</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18" t="s">
        <v>2467</v>
      </c>
      <c r="D4" s="3319"/>
      <c r="E4" s="3320" t="s">
        <v>2468</v>
      </c>
      <c r="F4" s="3321"/>
      <c r="G4" s="3318" t="s">
        <v>2469</v>
      </c>
      <c r="H4" s="3319"/>
      <c r="I4" s="3318" t="s">
        <v>2470</v>
      </c>
      <c r="J4" s="3319"/>
      <c r="K4" s="567" t="s">
        <v>2471</v>
      </c>
      <c r="L4" s="2943"/>
      <c r="M4" s="2944"/>
      <c r="N4" s="2944"/>
      <c r="O4" s="2944"/>
      <c r="P4" s="3374" t="s">
        <v>2472</v>
      </c>
      <c r="Q4" s="3375"/>
      <c r="R4" s="3372" t="s">
        <v>2468</v>
      </c>
      <c r="S4" s="3373"/>
      <c r="T4" s="3372" t="s">
        <v>2469</v>
      </c>
      <c r="U4" s="3373"/>
      <c r="V4" s="3331" t="s">
        <v>2470</v>
      </c>
      <c r="W4" s="3331"/>
      <c r="X4" s="1539"/>
      <c r="Y4" s="3372" t="s">
        <v>2472</v>
      </c>
      <c r="Z4" s="3373"/>
      <c r="AA4" s="3371" t="s">
        <v>2468</v>
      </c>
      <c r="AB4" s="3298" t="s">
        <v>2469</v>
      </c>
      <c r="AC4" s="3371" t="s">
        <v>2470</v>
      </c>
    </row>
    <row r="5" spans="1:30" ht="15">
      <c r="A5" s="364"/>
      <c r="B5" s="365"/>
      <c r="C5" s="3308" t="s">
        <v>2363</v>
      </c>
      <c r="D5" s="3309"/>
      <c r="E5" s="3306" t="s">
        <v>2364</v>
      </c>
      <c r="F5" s="3307"/>
      <c r="G5" s="3308" t="s">
        <v>2365</v>
      </c>
      <c r="H5" s="3309"/>
      <c r="I5" s="3308" t="s">
        <v>2366</v>
      </c>
      <c r="J5" s="3309"/>
      <c r="K5" s="567"/>
      <c r="L5" s="2943"/>
      <c r="M5" s="2944"/>
      <c r="N5" s="2944"/>
      <c r="O5" s="2944"/>
      <c r="P5" s="3376"/>
      <c r="Q5" s="3325"/>
      <c r="R5" s="3304"/>
      <c r="S5" s="3305"/>
      <c r="T5" s="3304"/>
      <c r="U5" s="3305"/>
      <c r="V5" s="3331"/>
      <c r="W5" s="3331"/>
      <c r="X5" s="1539"/>
      <c r="Y5" s="3304"/>
      <c r="Z5" s="3305"/>
      <c r="AA5" s="3298"/>
      <c r="AB5" s="3298"/>
      <c r="AC5" s="3298"/>
    </row>
    <row r="6" spans="1:30" ht="15.75" thickBot="1">
      <c r="A6" s="366"/>
      <c r="B6" s="367"/>
      <c r="C6" s="3310" t="s">
        <v>2367</v>
      </c>
      <c r="D6" s="3311"/>
      <c r="E6" s="3312" t="s">
        <v>2367</v>
      </c>
      <c r="F6" s="3313"/>
      <c r="G6" s="3310" t="s">
        <v>2367</v>
      </c>
      <c r="H6" s="3311"/>
      <c r="I6" s="3310" t="s">
        <v>2367</v>
      </c>
      <c r="J6" s="3311"/>
      <c r="K6" s="567" t="s">
        <v>2368</v>
      </c>
      <c r="L6" s="2943"/>
      <c r="M6" s="2944"/>
      <c r="N6" s="2944"/>
      <c r="O6" s="2944"/>
      <c r="P6" s="3377"/>
      <c r="Q6" s="3327"/>
      <c r="R6" s="3304"/>
      <c r="S6" s="3305"/>
      <c r="T6" s="3328"/>
      <c r="U6" s="3329"/>
      <c r="V6" s="3331"/>
      <c r="W6" s="3331"/>
      <c r="X6" s="1539"/>
      <c r="Y6" s="3328"/>
      <c r="Z6" s="3329"/>
      <c r="AA6" s="3299"/>
      <c r="AB6" s="3299"/>
      <c r="AC6" s="3299"/>
    </row>
    <row r="7" spans="1:30" s="113" customFormat="1" ht="15.75" thickBot="1">
      <c r="A7" s="368" t="s">
        <v>2369</v>
      </c>
      <c r="B7" s="369"/>
      <c r="C7" s="370">
        <f>'数据-取费表'!B2</f>
        <v>44442</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00" t="s">
        <v>2370</v>
      </c>
      <c r="Q7" s="3333"/>
      <c r="R7" s="710" t="s">
        <v>17</v>
      </c>
      <c r="S7" s="711">
        <f t="shared" ref="S7:S15" si="0">F7</f>
        <v>0</v>
      </c>
      <c r="T7" s="710" t="s">
        <v>17</v>
      </c>
      <c r="U7" s="711">
        <f t="shared" ref="U7:U15" si="1">H7</f>
        <v>0</v>
      </c>
      <c r="V7" s="710" t="s">
        <v>17</v>
      </c>
      <c r="W7" s="711">
        <f t="shared" ref="W7:W15" si="2">J7</f>
        <v>0</v>
      </c>
      <c r="X7" s="712"/>
      <c r="Y7" s="3300" t="s">
        <v>2370</v>
      </c>
      <c r="Z7" s="330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00" t="s">
        <v>2373</v>
      </c>
      <c r="Q8" s="3301"/>
      <c r="R8" s="710" t="s">
        <v>17</v>
      </c>
      <c r="S8" s="711">
        <f t="shared" si="0"/>
        <v>0</v>
      </c>
      <c r="T8" s="710" t="s">
        <v>17</v>
      </c>
      <c r="U8" s="711">
        <f t="shared" si="1"/>
        <v>0</v>
      </c>
      <c r="V8" s="710" t="s">
        <v>17</v>
      </c>
      <c r="W8" s="711">
        <f t="shared" si="2"/>
        <v>0</v>
      </c>
      <c r="X8" s="712"/>
      <c r="Y8" s="3300" t="s">
        <v>2373</v>
      </c>
      <c r="Z8" s="3301"/>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43" t="s">
        <v>2376</v>
      </c>
      <c r="Q9" s="1527" t="str">
        <f t="shared" ref="Q9:Q15" si="6">B9</f>
        <v>用途</v>
      </c>
      <c r="R9" s="710" t="s">
        <v>17</v>
      </c>
      <c r="S9" s="711">
        <f t="shared" si="0"/>
        <v>100</v>
      </c>
      <c r="T9" s="710" t="s">
        <v>17</v>
      </c>
      <c r="U9" s="711">
        <f t="shared" si="1"/>
        <v>100</v>
      </c>
      <c r="V9" s="710" t="s">
        <v>17</v>
      </c>
      <c r="W9" s="711">
        <f t="shared" si="2"/>
        <v>100</v>
      </c>
      <c r="X9" s="712"/>
      <c r="Y9" s="326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118</v>
      </c>
      <c r="G10" s="422"/>
      <c r="H10" s="132">
        <f>ROUND(100/'数据-取费表'!G16,0)</f>
        <v>118</v>
      </c>
      <c r="I10" s="422"/>
      <c r="J10" s="132">
        <f>ROUND(100/'数据-取费表'!G16,0)</f>
        <v>118</v>
      </c>
      <c r="K10" s="628"/>
      <c r="L10" s="2947"/>
      <c r="M10" s="2948"/>
      <c r="N10" s="2948"/>
      <c r="O10" s="3001"/>
      <c r="P10" s="3343"/>
      <c r="Q10" s="1527" t="str">
        <f t="shared" si="6"/>
        <v>土地使用年限（年）</v>
      </c>
      <c r="R10" s="710" t="s">
        <v>17</v>
      </c>
      <c r="S10" s="711">
        <f t="shared" si="0"/>
        <v>118</v>
      </c>
      <c r="T10" s="710" t="s">
        <v>17</v>
      </c>
      <c r="U10" s="711">
        <f t="shared" si="1"/>
        <v>118</v>
      </c>
      <c r="V10" s="710" t="s">
        <v>17</v>
      </c>
      <c r="W10" s="711">
        <f t="shared" si="2"/>
        <v>118</v>
      </c>
      <c r="X10" s="712"/>
      <c r="Y10" s="3265"/>
      <c r="Z10" s="55" t="str">
        <f t="shared" si="7"/>
        <v>土地使用年限（年）</v>
      </c>
      <c r="AA10" s="713">
        <f t="shared" si="3"/>
        <v>0.84745762711864403</v>
      </c>
      <c r="AB10" s="713">
        <f t="shared" si="4"/>
        <v>0.84745762711864403</v>
      </c>
      <c r="AC10" s="713">
        <f t="shared" si="5"/>
        <v>0.84745762711864403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3"/>
      <c r="Q11" s="1527" t="str">
        <f t="shared" si="6"/>
        <v>容积率</v>
      </c>
      <c r="R11" s="710" t="s">
        <v>17</v>
      </c>
      <c r="S11" s="711" t="e">
        <f t="shared" si="0"/>
        <v>#N/A</v>
      </c>
      <c r="T11" s="710" t="s">
        <v>17</v>
      </c>
      <c r="U11" s="711" t="e">
        <f t="shared" si="1"/>
        <v>#N/A</v>
      </c>
      <c r="V11" s="710" t="s">
        <v>17</v>
      </c>
      <c r="W11" s="711" t="e">
        <f t="shared" si="2"/>
        <v>#N/A</v>
      </c>
      <c r="X11" s="712"/>
      <c r="Y11" s="3265"/>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3"/>
      <c r="Q12" s="1527" t="str">
        <f t="shared" si="6"/>
        <v>配建</v>
      </c>
      <c r="R12" s="710" t="s">
        <v>17</v>
      </c>
      <c r="S12" s="711">
        <f t="shared" si="0"/>
        <v>100</v>
      </c>
      <c r="T12" s="710" t="s">
        <v>17</v>
      </c>
      <c r="U12" s="711">
        <f t="shared" si="1"/>
        <v>100</v>
      </c>
      <c r="V12" s="710" t="s">
        <v>17</v>
      </c>
      <c r="W12" s="711">
        <f t="shared" si="2"/>
        <v>100</v>
      </c>
      <c r="X12" s="712"/>
      <c r="Y12" s="3265"/>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3"/>
      <c r="Q13" s="1527">
        <f t="shared" si="6"/>
        <v>111</v>
      </c>
      <c r="R13" s="710" t="s">
        <v>17</v>
      </c>
      <c r="S13" s="711">
        <f t="shared" si="0"/>
        <v>100</v>
      </c>
      <c r="T13" s="710" t="s">
        <v>17</v>
      </c>
      <c r="U13" s="711">
        <f t="shared" si="1"/>
        <v>100</v>
      </c>
      <c r="V13" s="710" t="s">
        <v>17</v>
      </c>
      <c r="W13" s="711">
        <f t="shared" si="2"/>
        <v>100</v>
      </c>
      <c r="X13" s="712"/>
      <c r="Y13" s="3265"/>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3"/>
      <c r="Q14" s="1527">
        <f t="shared" si="6"/>
        <v>111</v>
      </c>
      <c r="R14" s="710" t="s">
        <v>17</v>
      </c>
      <c r="S14" s="711">
        <f t="shared" si="0"/>
        <v>100</v>
      </c>
      <c r="T14" s="710" t="s">
        <v>17</v>
      </c>
      <c r="U14" s="711">
        <f t="shared" si="1"/>
        <v>100</v>
      </c>
      <c r="V14" s="710" t="s">
        <v>17</v>
      </c>
      <c r="W14" s="711">
        <f t="shared" si="2"/>
        <v>100</v>
      </c>
      <c r="X14" s="712"/>
      <c r="Y14" s="3265"/>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36" t="s">
        <v>2381</v>
      </c>
      <c r="Q15" s="1536" t="str">
        <f t="shared" si="6"/>
        <v>居住社区成熟度</v>
      </c>
      <c r="R15" s="714" t="s">
        <v>17</v>
      </c>
      <c r="S15" s="715">
        <f t="shared" si="0"/>
        <v>100</v>
      </c>
      <c r="T15" s="714" t="s">
        <v>17</v>
      </c>
      <c r="U15" s="715">
        <f t="shared" si="1"/>
        <v>100</v>
      </c>
      <c r="V15" s="714" t="s">
        <v>17</v>
      </c>
      <c r="W15" s="715">
        <f t="shared" si="2"/>
        <v>100</v>
      </c>
      <c r="X15" s="1539"/>
      <c r="Y15" s="3336" t="s">
        <v>2381</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50"/>
      <c r="M16" s="2944"/>
      <c r="N16" s="2944"/>
      <c r="O16" s="3002"/>
      <c r="P16" s="3337"/>
      <c r="Q16" s="1536"/>
      <c r="R16" s="714"/>
      <c r="S16" s="715"/>
      <c r="T16" s="714"/>
      <c r="U16" s="715"/>
      <c r="V16" s="714"/>
      <c r="W16" s="715"/>
      <c r="X16" s="1539"/>
      <c r="Y16" s="3337"/>
      <c r="Z16" s="1540"/>
      <c r="AA16" s="1537">
        <v>1</v>
      </c>
      <c r="AB16" s="1537">
        <v>1</v>
      </c>
      <c r="AC16" s="1537">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37"/>
      <c r="Q17" s="1536" t="str">
        <f>B17</f>
        <v>商业繁华度</v>
      </c>
      <c r="R17" s="714" t="s">
        <v>17</v>
      </c>
      <c r="S17" s="715">
        <f>F17</f>
        <v>100</v>
      </c>
      <c r="T17" s="714" t="s">
        <v>17</v>
      </c>
      <c r="U17" s="715">
        <f>H17</f>
        <v>100</v>
      </c>
      <c r="V17" s="714" t="s">
        <v>17</v>
      </c>
      <c r="W17" s="715">
        <f>J17</f>
        <v>100</v>
      </c>
      <c r="X17" s="1539"/>
      <c r="Y17" s="3337"/>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50"/>
      <c r="M18" s="2944"/>
      <c r="N18" s="2944"/>
      <c r="O18" s="3002"/>
      <c r="P18" s="3337"/>
      <c r="Q18" s="1536"/>
      <c r="R18" s="714"/>
      <c r="S18" s="715"/>
      <c r="T18" s="714"/>
      <c r="U18" s="715"/>
      <c r="V18" s="714"/>
      <c r="W18" s="715"/>
      <c r="X18" s="1539"/>
      <c r="Y18" s="3337"/>
      <c r="Z18" s="1540"/>
      <c r="AA18" s="1537">
        <v>1</v>
      </c>
      <c r="AB18" s="1537">
        <v>1</v>
      </c>
      <c r="AC18" s="1537">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37"/>
      <c r="Q19" s="1536" t="str">
        <f>B19</f>
        <v>办公集聚程度</v>
      </c>
      <c r="R19" s="714" t="s">
        <v>17</v>
      </c>
      <c r="S19" s="715">
        <f>F19</f>
        <v>100</v>
      </c>
      <c r="T19" s="714" t="s">
        <v>17</v>
      </c>
      <c r="U19" s="715">
        <f>H19</f>
        <v>100</v>
      </c>
      <c r="V19" s="714" t="s">
        <v>17</v>
      </c>
      <c r="W19" s="715">
        <f>J19</f>
        <v>100</v>
      </c>
      <c r="X19" s="1539"/>
      <c r="Y19" s="3337"/>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50"/>
      <c r="M20" s="2944"/>
      <c r="N20" s="2944"/>
      <c r="O20" s="3002"/>
      <c r="P20" s="3337"/>
      <c r="Q20" s="1536"/>
      <c r="R20" s="714"/>
      <c r="S20" s="715"/>
      <c r="T20" s="714"/>
      <c r="U20" s="715"/>
      <c r="V20" s="714"/>
      <c r="W20" s="715"/>
      <c r="X20" s="1539"/>
      <c r="Y20" s="3337"/>
      <c r="Z20" s="1540"/>
      <c r="AA20" s="1537">
        <v>1</v>
      </c>
      <c r="AB20" s="1537">
        <v>1</v>
      </c>
      <c r="AC20" s="1537">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37"/>
      <c r="Q21" s="1536" t="str">
        <f>B21</f>
        <v>交通便捷度</v>
      </c>
      <c r="R21" s="714" t="s">
        <v>17</v>
      </c>
      <c r="S21" s="715">
        <f>F21</f>
        <v>100</v>
      </c>
      <c r="T21" s="714" t="s">
        <v>17</v>
      </c>
      <c r="U21" s="715">
        <f>H21</f>
        <v>100</v>
      </c>
      <c r="V21" s="714" t="s">
        <v>17</v>
      </c>
      <c r="W21" s="715">
        <f>J21</f>
        <v>100</v>
      </c>
      <c r="X21" s="1539"/>
      <c r="Y21" s="3337"/>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50"/>
      <c r="M22" s="2944"/>
      <c r="N22" s="2944"/>
      <c r="O22" s="3002"/>
      <c r="P22" s="3337"/>
      <c r="Q22" s="1536"/>
      <c r="R22" s="714"/>
      <c r="S22" s="715"/>
      <c r="T22" s="714"/>
      <c r="U22" s="715"/>
      <c r="V22" s="714"/>
      <c r="W22" s="715"/>
      <c r="X22" s="1539"/>
      <c r="Y22" s="3337"/>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37"/>
      <c r="Q23" s="1536" t="str">
        <f t="shared" ref="Q23:Q37" si="8">B23</f>
        <v>区域土地利用方向</v>
      </c>
      <c r="R23" s="714" t="s">
        <v>17</v>
      </c>
      <c r="S23" s="715">
        <f>F23</f>
        <v>100</v>
      </c>
      <c r="T23" s="714" t="s">
        <v>17</v>
      </c>
      <c r="U23" s="715">
        <f>H23</f>
        <v>100</v>
      </c>
      <c r="V23" s="714" t="s">
        <v>17</v>
      </c>
      <c r="W23" s="715">
        <f>J23</f>
        <v>100</v>
      </c>
      <c r="X23" s="1539"/>
      <c r="Y23" s="3337"/>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50"/>
      <c r="M24" s="2944"/>
      <c r="N24" s="2944"/>
      <c r="O24" s="3002"/>
      <c r="P24" s="3337"/>
      <c r="Q24" s="1536"/>
      <c r="R24" s="714"/>
      <c r="S24" s="715"/>
      <c r="T24" s="714"/>
      <c r="U24" s="715"/>
      <c r="V24" s="714"/>
      <c r="W24" s="715"/>
      <c r="X24" s="1539"/>
      <c r="Y24" s="3337"/>
      <c r="Z24" s="1540"/>
      <c r="AA24" s="1537"/>
      <c r="AB24" s="1537"/>
      <c r="AC24" s="1537"/>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37"/>
      <c r="Q25" s="1536" t="str">
        <f t="shared" si="8"/>
        <v>自然及人文环境状况</v>
      </c>
      <c r="R25" s="714" t="s">
        <v>17</v>
      </c>
      <c r="S25" s="715">
        <f>F25</f>
        <v>100</v>
      </c>
      <c r="T25" s="714" t="s">
        <v>17</v>
      </c>
      <c r="U25" s="715">
        <f>H25</f>
        <v>100</v>
      </c>
      <c r="V25" s="714" t="s">
        <v>17</v>
      </c>
      <c r="W25" s="715">
        <f>J25</f>
        <v>100</v>
      </c>
      <c r="X25" s="1539"/>
      <c r="Y25" s="3337"/>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50"/>
      <c r="M26" s="2944"/>
      <c r="N26" s="2944"/>
      <c r="O26" s="3002"/>
      <c r="P26" s="3337"/>
      <c r="Q26" s="1536"/>
      <c r="R26" s="714"/>
      <c r="S26" s="715"/>
      <c r="T26" s="714"/>
      <c r="U26" s="715"/>
      <c r="V26" s="714"/>
      <c r="W26" s="715"/>
      <c r="X26" s="1539"/>
      <c r="Y26" s="3337"/>
      <c r="Z26" s="1540"/>
      <c r="AA26" s="1537">
        <v>1</v>
      </c>
      <c r="AB26" s="1537">
        <v>1</v>
      </c>
      <c r="AC26" s="1537">
        <v>1</v>
      </c>
    </row>
    <row r="27" spans="1:29" s="113" customFormat="1" ht="42.75">
      <c r="A27" s="605"/>
      <c r="B27" s="1293"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37"/>
      <c r="Q27" s="1527" t="str">
        <f t="shared" si="8"/>
        <v>公共配套设施</v>
      </c>
      <c r="R27" s="710" t="s">
        <v>17</v>
      </c>
      <c r="S27" s="711">
        <f>F27</f>
        <v>100</v>
      </c>
      <c r="T27" s="710" t="s">
        <v>17</v>
      </c>
      <c r="U27" s="711">
        <f>H27</f>
        <v>100</v>
      </c>
      <c r="V27" s="710" t="s">
        <v>17</v>
      </c>
      <c r="W27" s="711">
        <f>J27</f>
        <v>100</v>
      </c>
      <c r="X27" s="712"/>
      <c r="Y27" s="3337"/>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45"/>
      <c r="M28" s="2946"/>
      <c r="N28" s="2946"/>
      <c r="O28" s="3000"/>
      <c r="P28" s="3337"/>
      <c r="Q28" s="1527"/>
      <c r="R28" s="710"/>
      <c r="S28" s="711"/>
      <c r="T28" s="710"/>
      <c r="U28" s="711"/>
      <c r="V28" s="710"/>
      <c r="W28" s="711"/>
      <c r="X28" s="712"/>
      <c r="Y28" s="3337"/>
      <c r="Z28" s="55"/>
      <c r="AA28" s="1537">
        <v>1</v>
      </c>
      <c r="AB28" s="1537">
        <v>1</v>
      </c>
      <c r="AC28" s="1537">
        <v>1</v>
      </c>
    </row>
    <row r="29" spans="1:29" s="113" customFormat="1" ht="28.5">
      <c r="A29" s="605"/>
      <c r="B29" s="1293"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37"/>
      <c r="Q29" s="1527" t="str">
        <f t="shared" ref="Q29" si="9">B29</f>
        <v>基础设施水平</v>
      </c>
      <c r="R29" s="710" t="s">
        <v>17</v>
      </c>
      <c r="S29" s="711">
        <f>F29</f>
        <v>100</v>
      </c>
      <c r="T29" s="710" t="s">
        <v>17</v>
      </c>
      <c r="U29" s="711">
        <f>H29</f>
        <v>100</v>
      </c>
      <c r="V29" s="710" t="s">
        <v>17</v>
      </c>
      <c r="W29" s="711">
        <f>J29</f>
        <v>100</v>
      </c>
      <c r="X29" s="712"/>
      <c r="Y29" s="3337"/>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45"/>
      <c r="M30" s="2946"/>
      <c r="N30" s="2946"/>
      <c r="O30" s="3000"/>
      <c r="P30" s="3337"/>
      <c r="Q30" s="1527"/>
      <c r="R30" s="710"/>
      <c r="S30" s="711"/>
      <c r="T30" s="710"/>
      <c r="U30" s="711"/>
      <c r="V30" s="710"/>
      <c r="W30" s="711"/>
      <c r="X30" s="712"/>
      <c r="Y30" s="333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3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37"/>
      <c r="Q32" s="1536" t="str">
        <f t="shared" si="8"/>
        <v>毗邻道路的类型与等级</v>
      </c>
      <c r="R32" s="714" t="s">
        <v>17</v>
      </c>
      <c r="S32" s="715">
        <f t="shared" si="10"/>
        <v>100</v>
      </c>
      <c r="T32" s="714" t="s">
        <v>17</v>
      </c>
      <c r="U32" s="715">
        <f t="shared" si="11"/>
        <v>100</v>
      </c>
      <c r="V32" s="714" t="s">
        <v>17</v>
      </c>
      <c r="W32" s="715">
        <f t="shared" si="12"/>
        <v>100</v>
      </c>
      <c r="X32" s="1539"/>
      <c r="Y32" s="3337"/>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50"/>
      <c r="M33" s="2944"/>
      <c r="N33" s="2944"/>
      <c r="O33" s="3002"/>
      <c r="P33" s="3337"/>
      <c r="Q33" s="1536"/>
      <c r="R33" s="714"/>
      <c r="S33" s="715"/>
      <c r="T33" s="714"/>
      <c r="U33" s="715"/>
      <c r="V33" s="714"/>
      <c r="W33" s="715"/>
      <c r="X33" s="1539"/>
      <c r="Y33" s="3337"/>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37"/>
      <c r="Q34" s="1536" t="str">
        <f t="shared" si="8"/>
        <v>土地级别</v>
      </c>
      <c r="R34" s="714" t="s">
        <v>17</v>
      </c>
      <c r="S34" s="715">
        <f t="shared" si="10"/>
        <v>100</v>
      </c>
      <c r="T34" s="714" t="s">
        <v>17</v>
      </c>
      <c r="U34" s="715">
        <f t="shared" si="11"/>
        <v>100</v>
      </c>
      <c r="V34" s="714" t="s">
        <v>17</v>
      </c>
      <c r="W34" s="715">
        <f t="shared" si="12"/>
        <v>100</v>
      </c>
      <c r="X34" s="1539"/>
      <c r="Y34" s="333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37"/>
      <c r="Q35" s="1536">
        <f t="shared" si="8"/>
        <v>111</v>
      </c>
      <c r="R35" s="714" t="s">
        <v>17</v>
      </c>
      <c r="S35" s="715">
        <f t="shared" si="10"/>
        <v>100</v>
      </c>
      <c r="T35" s="714" t="s">
        <v>17</v>
      </c>
      <c r="U35" s="715">
        <f t="shared" si="11"/>
        <v>100</v>
      </c>
      <c r="V35" s="714" t="s">
        <v>17</v>
      </c>
      <c r="W35" s="715">
        <f t="shared" si="12"/>
        <v>100</v>
      </c>
      <c r="X35" s="1539"/>
      <c r="Y35" s="333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81" t="s">
        <v>2386</v>
      </c>
      <c r="Q36" s="1536">
        <f t="shared" si="8"/>
        <v>111</v>
      </c>
      <c r="R36" s="714" t="s">
        <v>17</v>
      </c>
      <c r="S36" s="715">
        <f t="shared" si="10"/>
        <v>100</v>
      </c>
      <c r="T36" s="714" t="s">
        <v>17</v>
      </c>
      <c r="U36" s="715">
        <f t="shared" si="11"/>
        <v>100</v>
      </c>
      <c r="V36" s="714" t="s">
        <v>17</v>
      </c>
      <c r="W36" s="715">
        <f t="shared" si="12"/>
        <v>100</v>
      </c>
      <c r="X36" s="1539"/>
      <c r="Y36" s="334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41"/>
      <c r="Q37" s="1536">
        <f t="shared" si="8"/>
        <v>111</v>
      </c>
      <c r="R37" s="717" t="s">
        <v>17</v>
      </c>
      <c r="S37" s="718">
        <f t="shared" si="10"/>
        <v>100</v>
      </c>
      <c r="T37" s="717" t="s">
        <v>17</v>
      </c>
      <c r="U37" s="718">
        <f t="shared" si="11"/>
        <v>100</v>
      </c>
      <c r="V37" s="717" t="s">
        <v>17</v>
      </c>
      <c r="W37" s="718">
        <f t="shared" si="12"/>
        <v>100</v>
      </c>
      <c r="X37" s="719"/>
      <c r="Y37" s="3341"/>
      <c r="Z37" s="720">
        <f t="shared" si="13"/>
        <v>111</v>
      </c>
      <c r="AA37" s="1537">
        <f t="shared" si="3"/>
        <v>1</v>
      </c>
      <c r="AB37" s="1537">
        <f t="shared" si="4"/>
        <v>1</v>
      </c>
      <c r="AC37" s="1537">
        <f t="shared" si="5"/>
        <v>1</v>
      </c>
    </row>
    <row r="38" spans="1:29" ht="15">
      <c r="A38" s="431" t="s">
        <v>2384</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41"/>
      <c r="Q38" s="1536" t="str">
        <f>B38</f>
        <v>宗地面积</v>
      </c>
      <c r="R38" s="714" t="s">
        <v>17</v>
      </c>
      <c r="S38" s="715" t="e">
        <f t="shared" si="10"/>
        <v>#N/A</v>
      </c>
      <c r="T38" s="714" t="s">
        <v>17</v>
      </c>
      <c r="U38" s="715" t="e">
        <f t="shared" si="11"/>
        <v>#N/A</v>
      </c>
      <c r="V38" s="714" t="s">
        <v>17</v>
      </c>
      <c r="W38" s="715" t="e">
        <f t="shared" si="12"/>
        <v>#N/A</v>
      </c>
      <c r="X38" s="1539"/>
      <c r="Y38" s="3341"/>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41"/>
      <c r="Q39" s="1536" t="str">
        <f t="shared" ref="Q39:Q45" si="14">B39</f>
        <v>宗地形状</v>
      </c>
      <c r="R39" s="714" t="s">
        <v>17</v>
      </c>
      <c r="S39" s="715">
        <f t="shared" si="10"/>
        <v>100</v>
      </c>
      <c r="T39" s="714" t="s">
        <v>17</v>
      </c>
      <c r="U39" s="715">
        <f t="shared" si="11"/>
        <v>100</v>
      </c>
      <c r="V39" s="714" t="s">
        <v>17</v>
      </c>
      <c r="W39" s="715">
        <f t="shared" si="12"/>
        <v>100</v>
      </c>
      <c r="X39" s="1539"/>
      <c r="Y39" s="3341"/>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41"/>
      <c r="Q40" s="1536" t="str">
        <f t="shared" si="14"/>
        <v>临街宽度及深度</v>
      </c>
      <c r="R40" s="714" t="s">
        <v>17</v>
      </c>
      <c r="S40" s="715">
        <f t="shared" si="10"/>
        <v>100</v>
      </c>
      <c r="T40" s="714" t="s">
        <v>17</v>
      </c>
      <c r="U40" s="715">
        <f t="shared" si="11"/>
        <v>100</v>
      </c>
      <c r="V40" s="714" t="s">
        <v>17</v>
      </c>
      <c r="W40" s="715">
        <f t="shared" si="12"/>
        <v>100</v>
      </c>
      <c r="X40" s="1539"/>
      <c r="Y40" s="3341"/>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41"/>
      <c r="Q41" s="1536" t="str">
        <f t="shared" si="14"/>
        <v>宗地开发程度</v>
      </c>
      <c r="R41" s="710" t="s">
        <v>17</v>
      </c>
      <c r="S41" s="711">
        <f t="shared" si="10"/>
        <v>100</v>
      </c>
      <c r="T41" s="710" t="s">
        <v>17</v>
      </c>
      <c r="U41" s="711">
        <f t="shared" si="11"/>
        <v>100</v>
      </c>
      <c r="V41" s="710" t="s">
        <v>17</v>
      </c>
      <c r="W41" s="711">
        <f t="shared" si="12"/>
        <v>100</v>
      </c>
      <c r="X41" s="712"/>
      <c r="Y41" s="3341"/>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41" t="s">
        <v>2386</v>
      </c>
      <c r="Q42" s="1536" t="str">
        <f t="shared" si="14"/>
        <v>工程地质条件</v>
      </c>
      <c r="R42" s="714" t="s">
        <v>17</v>
      </c>
      <c r="S42" s="715">
        <f t="shared" si="10"/>
        <v>100</v>
      </c>
      <c r="T42" s="714" t="s">
        <v>17</v>
      </c>
      <c r="U42" s="715">
        <f t="shared" si="11"/>
        <v>100</v>
      </c>
      <c r="V42" s="714" t="s">
        <v>17</v>
      </c>
      <c r="W42" s="715">
        <f t="shared" si="12"/>
        <v>100</v>
      </c>
      <c r="X42" s="1539"/>
      <c r="Y42" s="334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41"/>
      <c r="Q43" s="1536">
        <f t="shared" si="14"/>
        <v>111</v>
      </c>
      <c r="R43" s="714" t="s">
        <v>17</v>
      </c>
      <c r="S43" s="715">
        <f t="shared" si="10"/>
        <v>100</v>
      </c>
      <c r="T43" s="714" t="s">
        <v>17</v>
      </c>
      <c r="U43" s="715">
        <f t="shared" si="11"/>
        <v>100</v>
      </c>
      <c r="V43" s="714" t="s">
        <v>17</v>
      </c>
      <c r="W43" s="715">
        <f t="shared" si="12"/>
        <v>100</v>
      </c>
      <c r="X43" s="1539"/>
      <c r="Y43" s="334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41"/>
      <c r="Q44" s="1536">
        <f t="shared" si="14"/>
        <v>111</v>
      </c>
      <c r="R44" s="714" t="s">
        <v>17</v>
      </c>
      <c r="S44" s="715">
        <f t="shared" si="10"/>
        <v>100</v>
      </c>
      <c r="T44" s="714" t="s">
        <v>17</v>
      </c>
      <c r="U44" s="715">
        <f t="shared" si="11"/>
        <v>100</v>
      </c>
      <c r="V44" s="714" t="s">
        <v>17</v>
      </c>
      <c r="W44" s="715">
        <f t="shared" si="12"/>
        <v>100</v>
      </c>
      <c r="X44" s="1539"/>
      <c r="Y44" s="3341"/>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41"/>
      <c r="Q45" s="1536">
        <f t="shared" si="14"/>
        <v>111</v>
      </c>
      <c r="R45" s="717" t="s">
        <v>17</v>
      </c>
      <c r="S45" s="718">
        <f t="shared" si="10"/>
        <v>100</v>
      </c>
      <c r="T45" s="717" t="s">
        <v>17</v>
      </c>
      <c r="U45" s="718">
        <f t="shared" si="11"/>
        <v>100</v>
      </c>
      <c r="V45" s="717" t="s">
        <v>17</v>
      </c>
      <c r="W45" s="718">
        <f t="shared" si="12"/>
        <v>100</v>
      </c>
      <c r="X45" s="719"/>
      <c r="Y45" s="3341"/>
      <c r="Z45" s="720">
        <f t="shared" si="13"/>
        <v>111</v>
      </c>
      <c r="AA45" s="1537">
        <f t="shared" si="3"/>
        <v>1</v>
      </c>
      <c r="AB45" s="1537">
        <f t="shared" si="4"/>
        <v>1</v>
      </c>
      <c r="AC45" s="1537">
        <f t="shared" si="5"/>
        <v>1</v>
      </c>
    </row>
    <row r="46" spans="1:29" ht="15">
      <c r="A46" s="438" t="s">
        <v>2541</v>
      </c>
      <c r="B46" s="2167" t="s">
        <v>2576</v>
      </c>
      <c r="C46" s="638" t="s">
        <v>1</v>
      </c>
      <c r="D46" s="440"/>
      <c r="E46" s="441"/>
      <c r="F46" s="442"/>
      <c r="G46" s="443"/>
      <c r="H46" s="444"/>
      <c r="I46" s="441"/>
      <c r="J46" s="444"/>
      <c r="K46" s="723"/>
      <c r="L46" s="2952"/>
      <c r="M46" s="2953"/>
      <c r="N46" s="2944"/>
      <c r="O46" s="2953"/>
      <c r="P46" s="3343" t="str">
        <f>A46</f>
        <v>成交单价</v>
      </c>
      <c r="Q46" s="3343"/>
      <c r="R46" s="3331">
        <f>E46</f>
        <v>0</v>
      </c>
      <c r="S46" s="3331"/>
      <c r="T46" s="3331">
        <f>G46</f>
        <v>0</v>
      </c>
      <c r="U46" s="3331"/>
      <c r="V46" s="3331">
        <f>I46</f>
        <v>0</v>
      </c>
      <c r="W46" s="3331"/>
      <c r="X46" s="699"/>
      <c r="Y46" s="721"/>
      <c r="Z46" s="699"/>
      <c r="AA46" s="699"/>
      <c r="AB46" s="699"/>
      <c r="AC46" s="699"/>
    </row>
    <row r="47" spans="1:29" ht="15.75" thickBot="1">
      <c r="A47" s="445" t="s">
        <v>2490</v>
      </c>
      <c r="B47" s="639"/>
      <c r="C47" s="448" t="e">
        <f>R48</f>
        <v>#DIV/0!</v>
      </c>
      <c r="D47" s="2537" t="s">
        <v>2878</v>
      </c>
      <c r="E47" s="448" t="e">
        <f>R47</f>
        <v>#DIV/0!</v>
      </c>
      <c r="F47" s="2538"/>
      <c r="G47" s="447" t="e">
        <f>T47</f>
        <v>#DIV/0!</v>
      </c>
      <c r="H47" s="2538"/>
      <c r="I47" s="448" t="e">
        <f>V47</f>
        <v>#DIV/0!</v>
      </c>
      <c r="J47" s="2538"/>
      <c r="K47" s="2540">
        <f>F47+H47+J47</f>
        <v>0</v>
      </c>
      <c r="L47" s="2952"/>
      <c r="M47" s="2953"/>
      <c r="N47" s="2953"/>
      <c r="O47" s="2953"/>
      <c r="P47" s="3343" t="str">
        <f>A47</f>
        <v>比较价值（元/平方米）</v>
      </c>
      <c r="Q47" s="3343"/>
      <c r="R47" s="3417" t="e">
        <f>ROUND(PRODUCT(R46,AA7:AA45),0)</f>
        <v>#DIV/0!</v>
      </c>
      <c r="S47" s="3417"/>
      <c r="T47" s="3417" t="e">
        <f>ROUND(PRODUCT(T46,AB7:AB45),0)</f>
        <v>#DIV/0!</v>
      </c>
      <c r="U47" s="3417"/>
      <c r="V47" s="3417" t="e">
        <f>ROUND(PRODUCT(V46,AC7:AC45),0)</f>
        <v>#DIV/0!</v>
      </c>
      <c r="W47" s="3417"/>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2"/>
      <c r="M48" s="2953"/>
      <c r="N48" s="2953"/>
      <c r="O48" s="2953"/>
      <c r="P48" s="3378" t="str">
        <f>A48</f>
        <v>估价对象XX用房的比较价值（楼面单价，元/平方米）</v>
      </c>
      <c r="Q48" s="3379"/>
      <c r="R48" s="3418" t="e">
        <f>ROUND(IF(D47="简单平均",AVERAGE(R47:W47),R47*F47+T47*H47+V47*J47),0)</f>
        <v>#DIV/0!</v>
      </c>
      <c r="S48" s="3418"/>
      <c r="T48" s="3418"/>
      <c r="U48" s="3418"/>
      <c r="V48" s="3418"/>
      <c r="W48" s="3418"/>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18" t="s">
        <v>2584</v>
      </c>
      <c r="H55" s="3419"/>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5">
        <v>1</v>
      </c>
      <c r="E56" s="646">
        <f>'数据-汇总表'!E8+'数据-汇总表'!E9</f>
        <v>2399.3100000000004</v>
      </c>
      <c r="F56" s="1017" t="e">
        <f t="shared" ref="F56:F65" si="15">ROUND(B56*E56/10000,0)</f>
        <v>#DIV/0!</v>
      </c>
      <c r="G56" s="3314"/>
      <c r="H56" s="3343"/>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v>
      </c>
      <c r="D57" s="1076">
        <v>0.25</v>
      </c>
      <c r="E57" s="650"/>
      <c r="F57" s="1017" t="e">
        <f t="shared" si="15"/>
        <v>#DIV/0!</v>
      </c>
      <c r="G57" s="3420"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v>
      </c>
      <c r="D58" s="1076">
        <v>0.25</v>
      </c>
      <c r="E58" s="650"/>
      <c r="F58" s="1017" t="e">
        <f t="shared" si="15"/>
        <v>#DIV/0!</v>
      </c>
      <c r="G58" s="3420"/>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v>
      </c>
      <c r="D59" s="1076">
        <v>0.25</v>
      </c>
      <c r="E59" s="650"/>
      <c r="F59" s="1017" t="e">
        <f t="shared" si="15"/>
        <v>#DIV/0!</v>
      </c>
      <c r="G59" s="3420"/>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v>
      </c>
      <c r="D60" s="1076">
        <v>0.25</v>
      </c>
      <c r="E60" s="650"/>
      <c r="F60" s="1017" t="e">
        <f t="shared" si="15"/>
        <v>#DIV/0!</v>
      </c>
      <c r="G60" s="3420"/>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五级</v>
      </c>
      <c r="I61" s="1022">
        <f>SUMIF(修正!A45:A56,H61,修正!F45:F56)</f>
        <v>0.25</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0.25</v>
      </c>
      <c r="D62" s="1076">
        <v>0.25</v>
      </c>
      <c r="E62" s="223">
        <f>'数据-汇总表'!E12</f>
        <v>0</v>
      </c>
      <c r="F62" s="1017" t="e">
        <f t="shared" si="15"/>
        <v>#DIV/0!</v>
      </c>
      <c r="G62" s="1023" t="s">
        <v>2596</v>
      </c>
      <c r="H62" s="1018" t="str">
        <f>IF(G62="商业",项目基本情况!B37,IF(G62="办公",项目基本情况!C37,IF(G62="住宅",项目基本情况!D37,项目基本情况!E37)))</f>
        <v>五级</v>
      </c>
      <c r="I62" s="1022">
        <f>SUMIF(修正!A45:A56,H62,修正!G45:G56)</f>
        <v>0.25</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五级</v>
      </c>
      <c r="I65" s="1024">
        <f>SUMIF(修正!A45:A56,H65,修正!H45:H56)</f>
        <v>0.2</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2399.3100000000004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43"/>
      <c r="M4" s="2944"/>
      <c r="N4" s="2944"/>
      <c r="O4" s="2944"/>
      <c r="P4" s="3374" t="s">
        <v>2472</v>
      </c>
      <c r="Q4" s="3375"/>
      <c r="R4" s="3372" t="s">
        <v>2468</v>
      </c>
      <c r="S4" s="3373"/>
      <c r="T4" s="3372" t="s">
        <v>2469</v>
      </c>
      <c r="U4" s="3373"/>
      <c r="V4" s="3331" t="s">
        <v>2470</v>
      </c>
      <c r="W4" s="3331"/>
      <c r="X4" s="1539"/>
      <c r="Y4" s="3372" t="s">
        <v>2472</v>
      </c>
      <c r="Z4" s="3373"/>
      <c r="AA4" s="3371" t="s">
        <v>2468</v>
      </c>
      <c r="AB4" s="3298" t="s">
        <v>2469</v>
      </c>
      <c r="AC4" s="3371" t="s">
        <v>2470</v>
      </c>
    </row>
    <row r="5" spans="1:29" ht="15">
      <c r="A5" s="364"/>
      <c r="B5" s="365"/>
      <c r="C5" s="3308" t="s">
        <v>2363</v>
      </c>
      <c r="D5" s="3309"/>
      <c r="E5" s="3306" t="s">
        <v>2364</v>
      </c>
      <c r="F5" s="3307"/>
      <c r="G5" s="3308" t="s">
        <v>2365</v>
      </c>
      <c r="H5" s="3309"/>
      <c r="I5" s="3308" t="s">
        <v>2366</v>
      </c>
      <c r="J5" s="3309"/>
      <c r="K5" s="567"/>
      <c r="L5" s="2943"/>
      <c r="M5" s="2944"/>
      <c r="N5" s="2944"/>
      <c r="O5" s="2944"/>
      <c r="P5" s="3376"/>
      <c r="Q5" s="3325"/>
      <c r="R5" s="3304"/>
      <c r="S5" s="3305"/>
      <c r="T5" s="3304"/>
      <c r="U5" s="3305"/>
      <c r="V5" s="3331"/>
      <c r="W5" s="3331"/>
      <c r="X5" s="1539"/>
      <c r="Y5" s="3304"/>
      <c r="Z5" s="3305"/>
      <c r="AA5" s="3298"/>
      <c r="AB5" s="3298"/>
      <c r="AC5" s="3298"/>
    </row>
    <row r="6" spans="1:29" ht="15.75" thickBot="1">
      <c r="A6" s="366"/>
      <c r="B6" s="367"/>
      <c r="C6" s="3421" t="s">
        <v>2617</v>
      </c>
      <c r="D6" s="3422"/>
      <c r="E6" s="3423" t="s">
        <v>2617</v>
      </c>
      <c r="F6" s="3424"/>
      <c r="G6" s="3421" t="s">
        <v>2617</v>
      </c>
      <c r="H6" s="3422"/>
      <c r="I6" s="3421" t="s">
        <v>2617</v>
      </c>
      <c r="J6" s="3422"/>
      <c r="K6" s="567" t="s">
        <v>2368</v>
      </c>
      <c r="L6" s="2943"/>
      <c r="M6" s="2944"/>
      <c r="N6" s="2944"/>
      <c r="O6" s="2944"/>
      <c r="P6" s="3377"/>
      <c r="Q6" s="3327"/>
      <c r="R6" s="3304"/>
      <c r="S6" s="3305"/>
      <c r="T6" s="3328"/>
      <c r="U6" s="3329"/>
      <c r="V6" s="3331"/>
      <c r="W6" s="3331"/>
      <c r="X6" s="1539"/>
      <c r="Y6" s="3328"/>
      <c r="Z6" s="3329"/>
      <c r="AA6" s="3299"/>
      <c r="AB6" s="3299"/>
      <c r="AC6" s="3299"/>
    </row>
    <row r="7" spans="1:29" s="113" customFormat="1" ht="15.75" thickBot="1">
      <c r="A7" s="368" t="s">
        <v>2369</v>
      </c>
      <c r="B7" s="369"/>
      <c r="C7" s="370">
        <f>'数据-取费表'!B2</f>
        <v>44442</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00" t="s">
        <v>2370</v>
      </c>
      <c r="Q7" s="3333"/>
      <c r="R7" s="710" t="s">
        <v>17</v>
      </c>
      <c r="S7" s="711">
        <f t="shared" ref="S7:S15" si="0">F7</f>
        <v>0</v>
      </c>
      <c r="T7" s="710" t="s">
        <v>17</v>
      </c>
      <c r="U7" s="711">
        <f t="shared" ref="U7:U15" si="1">H7</f>
        <v>0</v>
      </c>
      <c r="V7" s="710" t="s">
        <v>17</v>
      </c>
      <c r="W7" s="711">
        <f t="shared" ref="W7:W15" si="2">J7</f>
        <v>0</v>
      </c>
      <c r="X7" s="712"/>
      <c r="Y7" s="3300" t="s">
        <v>2370</v>
      </c>
      <c r="Z7" s="330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00" t="s">
        <v>2373</v>
      </c>
      <c r="Q8" s="3301"/>
      <c r="R8" s="710" t="s">
        <v>17</v>
      </c>
      <c r="S8" s="711">
        <f t="shared" si="0"/>
        <v>0</v>
      </c>
      <c r="T8" s="710" t="s">
        <v>17</v>
      </c>
      <c r="U8" s="711">
        <f t="shared" si="1"/>
        <v>0</v>
      </c>
      <c r="V8" s="710" t="s">
        <v>17</v>
      </c>
      <c r="W8" s="711">
        <f t="shared" si="2"/>
        <v>0</v>
      </c>
      <c r="X8" s="712"/>
      <c r="Y8" s="3300" t="s">
        <v>2373</v>
      </c>
      <c r="Z8" s="3301"/>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43" t="s">
        <v>2376</v>
      </c>
      <c r="Q9" s="1527" t="str">
        <f t="shared" ref="Q9:Q15" si="6">B9</f>
        <v>用途</v>
      </c>
      <c r="R9" s="710" t="s">
        <v>17</v>
      </c>
      <c r="S9" s="711">
        <f t="shared" si="0"/>
        <v>100</v>
      </c>
      <c r="T9" s="710" t="s">
        <v>17</v>
      </c>
      <c r="U9" s="711">
        <f t="shared" si="1"/>
        <v>100</v>
      </c>
      <c r="V9" s="710" t="s">
        <v>17</v>
      </c>
      <c r="W9" s="711">
        <f t="shared" si="2"/>
        <v>100</v>
      </c>
      <c r="X9" s="712"/>
      <c r="Y9" s="326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118</v>
      </c>
      <c r="G10" s="391"/>
      <c r="H10" s="132">
        <f>ROUND(100/'数据-取费表'!G16,0)</f>
        <v>118</v>
      </c>
      <c r="I10" s="391"/>
      <c r="J10" s="132">
        <f>ROUND(100/'数据-取费表'!G16,0)</f>
        <v>118</v>
      </c>
      <c r="K10" s="628"/>
      <c r="L10" s="2947"/>
      <c r="M10" s="2948"/>
      <c r="N10" s="2948"/>
      <c r="O10" s="3001"/>
      <c r="P10" s="3343"/>
      <c r="Q10" s="1527" t="str">
        <f t="shared" si="6"/>
        <v>土地使用年限（年）</v>
      </c>
      <c r="R10" s="710" t="s">
        <v>17</v>
      </c>
      <c r="S10" s="711">
        <f t="shared" si="0"/>
        <v>118</v>
      </c>
      <c r="T10" s="710" t="s">
        <v>17</v>
      </c>
      <c r="U10" s="711">
        <f t="shared" si="1"/>
        <v>118</v>
      </c>
      <c r="V10" s="710" t="s">
        <v>17</v>
      </c>
      <c r="W10" s="711">
        <f t="shared" si="2"/>
        <v>118</v>
      </c>
      <c r="X10" s="712"/>
      <c r="Y10" s="3265"/>
      <c r="Z10" s="55" t="str">
        <f t="shared" si="7"/>
        <v>土地使用年限（年）</v>
      </c>
      <c r="AA10" s="713">
        <f t="shared" si="3"/>
        <v>0.84745762711864403</v>
      </c>
      <c r="AB10" s="713">
        <f t="shared" si="4"/>
        <v>0.84745762711864403</v>
      </c>
      <c r="AC10" s="713">
        <f t="shared" si="5"/>
        <v>0.84745762711864403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3"/>
      <c r="Q11" s="1527" t="str">
        <f t="shared" si="6"/>
        <v>容积率</v>
      </c>
      <c r="R11" s="710" t="s">
        <v>17</v>
      </c>
      <c r="S11" s="711" t="e">
        <f t="shared" si="0"/>
        <v>#N/A</v>
      </c>
      <c r="T11" s="710" t="s">
        <v>17</v>
      </c>
      <c r="U11" s="711" t="e">
        <f t="shared" si="1"/>
        <v>#N/A</v>
      </c>
      <c r="V11" s="710" t="s">
        <v>17</v>
      </c>
      <c r="W11" s="711" t="e">
        <f t="shared" si="2"/>
        <v>#N/A</v>
      </c>
      <c r="X11" s="712"/>
      <c r="Y11" s="3265"/>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3"/>
      <c r="Q12" s="1527">
        <f t="shared" si="6"/>
        <v>111</v>
      </c>
      <c r="R12" s="710" t="s">
        <v>17</v>
      </c>
      <c r="S12" s="711">
        <f t="shared" si="0"/>
        <v>100</v>
      </c>
      <c r="T12" s="710" t="s">
        <v>17</v>
      </c>
      <c r="U12" s="711">
        <f t="shared" si="1"/>
        <v>100</v>
      </c>
      <c r="V12" s="710" t="s">
        <v>17</v>
      </c>
      <c r="W12" s="711">
        <f t="shared" si="2"/>
        <v>100</v>
      </c>
      <c r="X12" s="712"/>
      <c r="Y12" s="3265"/>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3"/>
      <c r="Q13" s="1527">
        <f t="shared" si="6"/>
        <v>111</v>
      </c>
      <c r="R13" s="710" t="s">
        <v>17</v>
      </c>
      <c r="S13" s="711">
        <f t="shared" si="0"/>
        <v>100</v>
      </c>
      <c r="T13" s="710" t="s">
        <v>17</v>
      </c>
      <c r="U13" s="711">
        <f t="shared" si="1"/>
        <v>100</v>
      </c>
      <c r="V13" s="710" t="s">
        <v>17</v>
      </c>
      <c r="W13" s="711">
        <f t="shared" si="2"/>
        <v>100</v>
      </c>
      <c r="X13" s="712"/>
      <c r="Y13" s="3265"/>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3"/>
      <c r="Q14" s="1527">
        <f t="shared" si="6"/>
        <v>111</v>
      </c>
      <c r="R14" s="710" t="s">
        <v>17</v>
      </c>
      <c r="S14" s="711">
        <f t="shared" si="0"/>
        <v>100</v>
      </c>
      <c r="T14" s="710" t="s">
        <v>17</v>
      </c>
      <c r="U14" s="711">
        <f t="shared" si="1"/>
        <v>100</v>
      </c>
      <c r="V14" s="710" t="s">
        <v>17</v>
      </c>
      <c r="W14" s="711">
        <f t="shared" si="2"/>
        <v>100</v>
      </c>
      <c r="X14" s="712"/>
      <c r="Y14" s="3265"/>
      <c r="Z14" s="55">
        <f t="shared" si="7"/>
        <v>111</v>
      </c>
      <c r="AA14" s="713">
        <f t="shared" si="3"/>
        <v>1</v>
      </c>
      <c r="AB14" s="713">
        <f t="shared" si="4"/>
        <v>1</v>
      </c>
      <c r="AC14" s="713">
        <f t="shared" si="5"/>
        <v>1</v>
      </c>
    </row>
    <row r="15" spans="1:29" ht="57">
      <c r="A15" s="399" t="s">
        <v>2380</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36" t="s">
        <v>2381</v>
      </c>
      <c r="Q15" s="1536" t="str">
        <f t="shared" si="6"/>
        <v>产业集聚程度</v>
      </c>
      <c r="R15" s="714" t="s">
        <v>17</v>
      </c>
      <c r="S15" s="715">
        <f t="shared" si="0"/>
        <v>100</v>
      </c>
      <c r="T15" s="714" t="s">
        <v>17</v>
      </c>
      <c r="U15" s="715">
        <f t="shared" si="1"/>
        <v>100</v>
      </c>
      <c r="V15" s="714" t="s">
        <v>17</v>
      </c>
      <c r="W15" s="715">
        <f t="shared" si="2"/>
        <v>100</v>
      </c>
      <c r="X15" s="1539"/>
      <c r="Y15" s="3336" t="s">
        <v>2381</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337"/>
      <c r="Q16" s="1536"/>
      <c r="R16" s="714"/>
      <c r="S16" s="715"/>
      <c r="T16" s="714"/>
      <c r="U16" s="715"/>
      <c r="V16" s="714"/>
      <c r="W16" s="715"/>
      <c r="X16" s="1539"/>
      <c r="Y16" s="3337"/>
      <c r="Z16" s="1540"/>
      <c r="AA16" s="1537">
        <v>1</v>
      </c>
      <c r="AB16" s="1537">
        <v>1</v>
      </c>
      <c r="AC16" s="1537">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337"/>
      <c r="Q18" s="1536"/>
      <c r="R18" s="714"/>
      <c r="S18" s="715"/>
      <c r="T18" s="714"/>
      <c r="U18" s="715"/>
      <c r="V18" s="714"/>
      <c r="W18" s="715"/>
      <c r="X18" s="1539"/>
      <c r="Y18" s="3337"/>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37"/>
      <c r="Q19" s="1536" t="str">
        <f t="shared" ref="Q19:Q33" si="8">B19</f>
        <v>区域土地利用方向</v>
      </c>
      <c r="R19" s="714" t="s">
        <v>17</v>
      </c>
      <c r="S19" s="715">
        <f>F19</f>
        <v>100</v>
      </c>
      <c r="T19" s="714" t="s">
        <v>17</v>
      </c>
      <c r="U19" s="715">
        <f>H19</f>
        <v>100</v>
      </c>
      <c r="V19" s="714" t="s">
        <v>17</v>
      </c>
      <c r="W19" s="715">
        <f>J19</f>
        <v>100</v>
      </c>
      <c r="X19" s="1539"/>
      <c r="Y19" s="3337"/>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337"/>
      <c r="Q20" s="1536"/>
      <c r="R20" s="714"/>
      <c r="S20" s="715"/>
      <c r="T20" s="714"/>
      <c r="U20" s="715"/>
      <c r="V20" s="714"/>
      <c r="W20" s="715"/>
      <c r="X20" s="1539"/>
      <c r="Y20" s="3337"/>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37"/>
      <c r="Q21" s="1536" t="str">
        <f t="shared" si="8"/>
        <v>环境状况</v>
      </c>
      <c r="R21" s="714" t="s">
        <v>17</v>
      </c>
      <c r="S21" s="715">
        <f>F21</f>
        <v>100</v>
      </c>
      <c r="T21" s="714" t="s">
        <v>17</v>
      </c>
      <c r="U21" s="715">
        <f>H21</f>
        <v>100</v>
      </c>
      <c r="V21" s="714" t="s">
        <v>17</v>
      </c>
      <c r="W21" s="715">
        <f>J21</f>
        <v>100</v>
      </c>
      <c r="X21" s="1539"/>
      <c r="Y21" s="3337"/>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337"/>
      <c r="Q22" s="1536"/>
      <c r="R22" s="714"/>
      <c r="S22" s="715"/>
      <c r="T22" s="714"/>
      <c r="U22" s="715"/>
      <c r="V22" s="714"/>
      <c r="W22" s="715"/>
      <c r="X22" s="1539"/>
      <c r="Y22" s="3337"/>
      <c r="Z22" s="1540"/>
      <c r="AA22" s="1537">
        <v>1</v>
      </c>
      <c r="AB22" s="1537">
        <v>1</v>
      </c>
      <c r="AC22" s="1537">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37"/>
      <c r="Q23" s="1527" t="str">
        <f t="shared" si="8"/>
        <v>公共配套设施</v>
      </c>
      <c r="R23" s="710" t="s">
        <v>17</v>
      </c>
      <c r="S23" s="711">
        <f>F23</f>
        <v>100</v>
      </c>
      <c r="T23" s="710" t="s">
        <v>17</v>
      </c>
      <c r="U23" s="711">
        <f>H23</f>
        <v>100</v>
      </c>
      <c r="V23" s="710" t="s">
        <v>17</v>
      </c>
      <c r="W23" s="711">
        <f>J23</f>
        <v>100</v>
      </c>
      <c r="X23" s="712"/>
      <c r="Y23" s="3337"/>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337"/>
      <c r="Q24" s="1527"/>
      <c r="R24" s="710"/>
      <c r="S24" s="711"/>
      <c r="T24" s="710"/>
      <c r="U24" s="711"/>
      <c r="V24" s="710"/>
      <c r="W24" s="711"/>
      <c r="X24" s="712"/>
      <c r="Y24" s="3337"/>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37"/>
      <c r="Q25" s="1527" t="str">
        <f t="shared" ref="Q25" si="9">B25</f>
        <v>基础设施水平</v>
      </c>
      <c r="R25" s="710" t="s">
        <v>17</v>
      </c>
      <c r="S25" s="711">
        <f>F25</f>
        <v>100</v>
      </c>
      <c r="T25" s="710" t="s">
        <v>17</v>
      </c>
      <c r="U25" s="711">
        <f>H25</f>
        <v>100</v>
      </c>
      <c r="V25" s="710" t="s">
        <v>17</v>
      </c>
      <c r="W25" s="711">
        <f>J25</f>
        <v>100</v>
      </c>
      <c r="X25" s="712"/>
      <c r="Y25" s="3337"/>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337"/>
      <c r="Q26" s="1527"/>
      <c r="R26" s="710"/>
      <c r="S26" s="711"/>
      <c r="T26" s="710"/>
      <c r="U26" s="711"/>
      <c r="V26" s="710"/>
      <c r="W26" s="711"/>
      <c r="X26" s="712"/>
      <c r="Y26" s="333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3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7"/>
      <c r="Z27" s="1540" t="str">
        <f t="shared" ref="Z27:Z40" si="13">Q27</f>
        <v>临街状况</v>
      </c>
      <c r="AA27" s="1537">
        <f t="shared" si="3"/>
        <v>1</v>
      </c>
      <c r="AB27" s="1537">
        <f t="shared" si="4"/>
        <v>1</v>
      </c>
      <c r="AC27" s="1537">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37"/>
      <c r="Q28" s="1536" t="str">
        <f t="shared" si="8"/>
        <v>毗邻道路的类型与等级</v>
      </c>
      <c r="R28" s="714" t="s">
        <v>17</v>
      </c>
      <c r="S28" s="715">
        <f t="shared" si="10"/>
        <v>100</v>
      </c>
      <c r="T28" s="714" t="s">
        <v>17</v>
      </c>
      <c r="U28" s="715">
        <f t="shared" si="11"/>
        <v>100</v>
      </c>
      <c r="V28" s="714" t="s">
        <v>17</v>
      </c>
      <c r="W28" s="715">
        <f t="shared" si="12"/>
        <v>100</v>
      </c>
      <c r="X28" s="1539"/>
      <c r="Y28" s="3337"/>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337"/>
      <c r="Q29" s="1536"/>
      <c r="R29" s="714"/>
      <c r="S29" s="715"/>
      <c r="T29" s="714"/>
      <c r="U29" s="715"/>
      <c r="V29" s="714"/>
      <c r="W29" s="715"/>
      <c r="X29" s="1539"/>
      <c r="Y29" s="3337"/>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37"/>
      <c r="Q30" s="1536" t="str">
        <f t="shared" si="8"/>
        <v>土地级别</v>
      </c>
      <c r="R30" s="714" t="s">
        <v>17</v>
      </c>
      <c r="S30" s="715">
        <f t="shared" si="10"/>
        <v>100</v>
      </c>
      <c r="T30" s="714" t="s">
        <v>17</v>
      </c>
      <c r="U30" s="715">
        <f t="shared" si="11"/>
        <v>100</v>
      </c>
      <c r="V30" s="714" t="s">
        <v>17</v>
      </c>
      <c r="W30" s="715">
        <f t="shared" si="12"/>
        <v>100</v>
      </c>
      <c r="X30" s="1539"/>
      <c r="Y30" s="3337"/>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37"/>
      <c r="Q31" s="1536">
        <f t="shared" si="8"/>
        <v>111</v>
      </c>
      <c r="R31" s="714" t="s">
        <v>17</v>
      </c>
      <c r="S31" s="715">
        <f t="shared" si="10"/>
        <v>100</v>
      </c>
      <c r="T31" s="714" t="s">
        <v>17</v>
      </c>
      <c r="U31" s="715">
        <f t="shared" si="11"/>
        <v>100</v>
      </c>
      <c r="V31" s="714" t="s">
        <v>17</v>
      </c>
      <c r="W31" s="715">
        <f t="shared" si="12"/>
        <v>100</v>
      </c>
      <c r="X31" s="1539"/>
      <c r="Y31" s="3337"/>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81" t="s">
        <v>2386</v>
      </c>
      <c r="Q32" s="1536">
        <f t="shared" si="8"/>
        <v>111</v>
      </c>
      <c r="R32" s="714" t="s">
        <v>17</v>
      </c>
      <c r="S32" s="715">
        <f t="shared" si="10"/>
        <v>100</v>
      </c>
      <c r="T32" s="714" t="s">
        <v>17</v>
      </c>
      <c r="U32" s="715">
        <f t="shared" si="11"/>
        <v>100</v>
      </c>
      <c r="V32" s="714" t="s">
        <v>17</v>
      </c>
      <c r="W32" s="715">
        <f t="shared" si="12"/>
        <v>100</v>
      </c>
      <c r="X32" s="1539"/>
      <c r="Y32" s="3341" t="s">
        <v>2386</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41"/>
      <c r="Q33" s="1536">
        <f t="shared" si="8"/>
        <v>111</v>
      </c>
      <c r="R33" s="717" t="s">
        <v>17</v>
      </c>
      <c r="S33" s="718">
        <f t="shared" si="10"/>
        <v>100</v>
      </c>
      <c r="T33" s="717" t="s">
        <v>17</v>
      </c>
      <c r="U33" s="718">
        <f t="shared" si="11"/>
        <v>100</v>
      </c>
      <c r="V33" s="717" t="s">
        <v>17</v>
      </c>
      <c r="W33" s="718">
        <f t="shared" si="12"/>
        <v>100</v>
      </c>
      <c r="X33" s="719"/>
      <c r="Y33" s="3341"/>
      <c r="Z33" s="720">
        <f t="shared" si="13"/>
        <v>111</v>
      </c>
      <c r="AA33" s="1537">
        <f t="shared" si="3"/>
        <v>1</v>
      </c>
      <c r="AB33" s="1537">
        <f t="shared" si="4"/>
        <v>1</v>
      </c>
      <c r="AC33" s="1537">
        <f t="shared" si="5"/>
        <v>1</v>
      </c>
    </row>
    <row r="34" spans="1:31" ht="15">
      <c r="A34" s="399" t="s">
        <v>2384</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41"/>
      <c r="Q34" s="1536" t="str">
        <f>B34</f>
        <v>宗地面积</v>
      </c>
      <c r="R34" s="714" t="s">
        <v>17</v>
      </c>
      <c r="S34" s="715" t="e">
        <f t="shared" si="10"/>
        <v>#N/A</v>
      </c>
      <c r="T34" s="714" t="s">
        <v>17</v>
      </c>
      <c r="U34" s="715" t="e">
        <f t="shared" si="11"/>
        <v>#N/A</v>
      </c>
      <c r="V34" s="714" t="s">
        <v>17</v>
      </c>
      <c r="W34" s="715" t="e">
        <f t="shared" si="12"/>
        <v>#N/A</v>
      </c>
      <c r="X34" s="1539"/>
      <c r="Y34" s="3341"/>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41"/>
      <c r="Q35" s="1536" t="str">
        <f t="shared" ref="Q35:Q40" si="14">B35</f>
        <v>宗地形状</v>
      </c>
      <c r="R35" s="714" t="s">
        <v>17</v>
      </c>
      <c r="S35" s="715">
        <f t="shared" si="10"/>
        <v>100</v>
      </c>
      <c r="T35" s="714" t="s">
        <v>17</v>
      </c>
      <c r="U35" s="715">
        <f t="shared" si="11"/>
        <v>100</v>
      </c>
      <c r="V35" s="714" t="s">
        <v>17</v>
      </c>
      <c r="W35" s="715">
        <f t="shared" si="12"/>
        <v>100</v>
      </c>
      <c r="X35" s="1539"/>
      <c r="Y35" s="3341"/>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41"/>
      <c r="Q36" s="1536" t="str">
        <f t="shared" si="14"/>
        <v>宗地开发程度</v>
      </c>
      <c r="R36" s="710" t="s">
        <v>17</v>
      </c>
      <c r="S36" s="711">
        <f t="shared" si="10"/>
        <v>100</v>
      </c>
      <c r="T36" s="710" t="s">
        <v>17</v>
      </c>
      <c r="U36" s="711">
        <f t="shared" si="11"/>
        <v>100</v>
      </c>
      <c r="V36" s="710" t="s">
        <v>17</v>
      </c>
      <c r="W36" s="711">
        <f t="shared" si="12"/>
        <v>100</v>
      </c>
      <c r="X36" s="712"/>
      <c r="Y36" s="3341"/>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41" t="s">
        <v>2386</v>
      </c>
      <c r="Q37" s="1536" t="str">
        <f t="shared" si="14"/>
        <v>工程地质条件</v>
      </c>
      <c r="R37" s="714" t="s">
        <v>17</v>
      </c>
      <c r="S37" s="715">
        <f t="shared" si="10"/>
        <v>100</v>
      </c>
      <c r="T37" s="714" t="s">
        <v>17</v>
      </c>
      <c r="U37" s="715">
        <f t="shared" si="11"/>
        <v>100</v>
      </c>
      <c r="V37" s="714" t="s">
        <v>17</v>
      </c>
      <c r="W37" s="715">
        <f t="shared" si="12"/>
        <v>100</v>
      </c>
      <c r="X37" s="1539"/>
      <c r="Y37" s="334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41"/>
      <c r="Q38" s="1536">
        <f t="shared" si="14"/>
        <v>111</v>
      </c>
      <c r="R38" s="714" t="s">
        <v>17</v>
      </c>
      <c r="S38" s="715">
        <f t="shared" si="10"/>
        <v>100</v>
      </c>
      <c r="T38" s="714" t="s">
        <v>17</v>
      </c>
      <c r="U38" s="715">
        <f t="shared" si="11"/>
        <v>100</v>
      </c>
      <c r="V38" s="714" t="s">
        <v>17</v>
      </c>
      <c r="W38" s="715">
        <f t="shared" si="12"/>
        <v>100</v>
      </c>
      <c r="X38" s="1539"/>
      <c r="Y38" s="334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41"/>
      <c r="Q39" s="1536">
        <f t="shared" si="14"/>
        <v>111</v>
      </c>
      <c r="R39" s="714" t="s">
        <v>17</v>
      </c>
      <c r="S39" s="715">
        <f t="shared" si="10"/>
        <v>100</v>
      </c>
      <c r="T39" s="714" t="s">
        <v>17</v>
      </c>
      <c r="U39" s="715">
        <f t="shared" si="11"/>
        <v>100</v>
      </c>
      <c r="V39" s="714" t="s">
        <v>17</v>
      </c>
      <c r="W39" s="715">
        <f t="shared" si="12"/>
        <v>100</v>
      </c>
      <c r="X39" s="1539"/>
      <c r="Y39" s="3341"/>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41"/>
      <c r="Q40" s="1536">
        <f t="shared" si="14"/>
        <v>111</v>
      </c>
      <c r="R40" s="717" t="s">
        <v>17</v>
      </c>
      <c r="S40" s="718">
        <f t="shared" si="10"/>
        <v>100</v>
      </c>
      <c r="T40" s="717" t="s">
        <v>17</v>
      </c>
      <c r="U40" s="718">
        <f t="shared" si="11"/>
        <v>100</v>
      </c>
      <c r="V40" s="717" t="s">
        <v>17</v>
      </c>
      <c r="W40" s="718">
        <f t="shared" si="12"/>
        <v>100</v>
      </c>
      <c r="X40" s="719"/>
      <c r="Y40" s="3341"/>
      <c r="Z40" s="720">
        <f t="shared" si="13"/>
        <v>111</v>
      </c>
      <c r="AA40" s="1537">
        <f t="shared" si="3"/>
        <v>1</v>
      </c>
      <c r="AB40" s="1537">
        <f t="shared" si="4"/>
        <v>1</v>
      </c>
      <c r="AC40" s="1537">
        <f t="shared" si="5"/>
        <v>1</v>
      </c>
    </row>
    <row r="41" spans="1:31" ht="15">
      <c r="A41" s="438" t="s">
        <v>2541</v>
      </c>
      <c r="B41" s="2167" t="s">
        <v>2620</v>
      </c>
      <c r="C41" s="638" t="s">
        <v>1</v>
      </c>
      <c r="D41" s="440"/>
      <c r="E41" s="441"/>
      <c r="F41" s="442"/>
      <c r="G41" s="443"/>
      <c r="H41" s="444"/>
      <c r="I41" s="441"/>
      <c r="J41" s="444"/>
      <c r="K41" s="723"/>
      <c r="L41" s="2952"/>
      <c r="M41" s="2944"/>
      <c r="N41" s="2944"/>
      <c r="O41" s="2953"/>
      <c r="P41" s="3343" t="str">
        <f>A41</f>
        <v>成交单价</v>
      </c>
      <c r="Q41" s="3343"/>
      <c r="R41" s="3331">
        <f>E41</f>
        <v>0</v>
      </c>
      <c r="S41" s="3331"/>
      <c r="T41" s="3331">
        <f>G41</f>
        <v>0</v>
      </c>
      <c r="U41" s="3331"/>
      <c r="V41" s="3331">
        <f>I41</f>
        <v>0</v>
      </c>
      <c r="W41" s="3331"/>
      <c r="X41" s="699"/>
      <c r="Y41" s="721"/>
      <c r="Z41" s="699"/>
      <c r="AA41" s="699"/>
      <c r="AB41" s="699"/>
      <c r="AC41" s="699"/>
    </row>
    <row r="42" spans="1:31" ht="15.75" thickBot="1">
      <c r="A42" s="445" t="s">
        <v>2490</v>
      </c>
      <c r="B42" s="639"/>
      <c r="C42" s="448" t="e">
        <f>R43</f>
        <v>#DIV/0!</v>
      </c>
      <c r="D42" s="2537" t="s">
        <v>2878</v>
      </c>
      <c r="E42" s="448" t="e">
        <f>R42</f>
        <v>#DIV/0!</v>
      </c>
      <c r="F42" s="2538"/>
      <c r="G42" s="447" t="e">
        <f>T42</f>
        <v>#DIV/0!</v>
      </c>
      <c r="H42" s="2538"/>
      <c r="I42" s="448" t="e">
        <f>V42</f>
        <v>#DIV/0!</v>
      </c>
      <c r="J42" s="2538"/>
      <c r="K42" s="2540">
        <f>F42+H42+J42</f>
        <v>0</v>
      </c>
      <c r="L42" s="2952"/>
      <c r="M42" s="2944"/>
      <c r="N42" s="2944"/>
      <c r="O42" s="2953"/>
      <c r="P42" s="3343" t="str">
        <f>A42</f>
        <v>比较价值（元/平方米）</v>
      </c>
      <c r="Q42" s="3343"/>
      <c r="R42" s="3417" t="e">
        <f>ROUND(PRODUCT(R41,AA7:AA40),0)</f>
        <v>#DIV/0!</v>
      </c>
      <c r="S42" s="3417"/>
      <c r="T42" s="3417" t="e">
        <f>ROUND(PRODUCT(T41,AB7:AB40),0)</f>
        <v>#DIV/0!</v>
      </c>
      <c r="U42" s="3417"/>
      <c r="V42" s="3417" t="e">
        <f>ROUND(PRODUCT(V41,AC7:AC40),0)</f>
        <v>#DIV/0!</v>
      </c>
      <c r="W42" s="341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78" t="str">
        <f>A43</f>
        <v>估价对象XX用房的比较价值（楼面单价，元/平方米）</v>
      </c>
      <c r="Q43" s="3379"/>
      <c r="R43" s="3418" t="e">
        <f>ROUND(IF(D42="简单平均",AVERAGE(R42:W42),R42*F42+T42*H42+V42*J42),0)</f>
        <v>#DIV/0!</v>
      </c>
      <c r="S43" s="3418"/>
      <c r="T43" s="3418"/>
      <c r="U43" s="3418"/>
      <c r="V43" s="3418"/>
      <c r="W43" s="3418"/>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18" t="s">
        <v>2584</v>
      </c>
      <c r="H50" s="3419"/>
      <c r="I50" s="1540" t="s">
        <v>2621</v>
      </c>
      <c r="J50" s="1540">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2399.3100000000004</v>
      </c>
      <c r="F51" s="647" t="e">
        <f t="shared" ref="F51:F60" si="15">ROUND(B51*E51/10000,0)</f>
        <v>#DIV/0!</v>
      </c>
      <c r="G51" s="3314"/>
      <c r="H51" s="3343"/>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420"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420"/>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420"/>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420"/>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五级</v>
      </c>
      <c r="I56" s="879">
        <f>SUMIF(修正!A45:A56,H56,修正!F45:F56)</f>
        <v>0.25</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0.25</v>
      </c>
      <c r="D57" s="1076">
        <v>0.25</v>
      </c>
      <c r="E57" s="223">
        <f>'数据-汇总表'!E12</f>
        <v>0</v>
      </c>
      <c r="F57" s="647" t="e">
        <f t="shared" si="15"/>
        <v>#DIV/0!</v>
      </c>
      <c r="G57" s="1023" t="s">
        <v>2596</v>
      </c>
      <c r="H57" s="1018" t="str">
        <f>IF(G57="商业",项目基本情况!B37,IF(G57="办公",项目基本情况!C37,IF(G57="住宅",项目基本情况!D37,项目基本情况!E37)))</f>
        <v>五级</v>
      </c>
      <c r="I57" s="879">
        <f>SUMIF(修正!A45:A56,H57,修正!G45:G56)</f>
        <v>0.25</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五级</v>
      </c>
      <c r="I60" s="879">
        <f>SUMIF(修正!A45:A56,H60,修正!H45:H56)</f>
        <v>0.2</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587.99</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5" t="s">
        <v>183</v>
      </c>
      <c r="B18" s="821" t="s">
        <v>560</v>
      </c>
      <c r="C18" s="822" t="s">
        <v>561</v>
      </c>
      <c r="D18" s="823"/>
      <c r="E18" s="821">
        <v>1</v>
      </c>
      <c r="F18" s="824" t="s">
        <v>562</v>
      </c>
      <c r="G18" s="825"/>
      <c r="H18" s="817"/>
      <c r="I18" s="817"/>
    </row>
    <row r="19" spans="1:9" s="826" customFormat="1" ht="19.5" customHeight="1">
      <c r="A19" s="3425"/>
      <c r="B19" s="3425" t="s">
        <v>563</v>
      </c>
      <c r="C19" s="822" t="s">
        <v>564</v>
      </c>
      <c r="D19" s="823"/>
      <c r="E19" s="821">
        <v>0.9</v>
      </c>
      <c r="F19" s="824" t="s">
        <v>565</v>
      </c>
      <c r="G19" s="825"/>
      <c r="H19" s="817"/>
      <c r="I19" s="817"/>
    </row>
    <row r="20" spans="1:9" s="826" customFormat="1" ht="19.5" customHeight="1">
      <c r="A20" s="3425"/>
      <c r="B20" s="3425"/>
      <c r="C20" s="822" t="s">
        <v>566</v>
      </c>
      <c r="D20" s="823"/>
      <c r="E20" s="821">
        <v>1.1000000000000001</v>
      </c>
      <c r="F20" s="824" t="s">
        <v>567</v>
      </c>
      <c r="G20" s="825"/>
      <c r="H20" s="817"/>
      <c r="I20" s="817"/>
    </row>
    <row r="21" spans="1:9" s="826" customFormat="1" ht="19.5" customHeight="1">
      <c r="A21" s="3425"/>
      <c r="B21" s="3425"/>
      <c r="C21" s="822" t="s">
        <v>568</v>
      </c>
      <c r="D21" s="823"/>
      <c r="E21" s="821">
        <v>0.8</v>
      </c>
      <c r="F21" s="824" t="s">
        <v>569</v>
      </c>
      <c r="G21" s="825"/>
      <c r="H21" s="817"/>
      <c r="I21" s="817"/>
    </row>
    <row r="22" spans="1:9" s="826" customFormat="1" ht="19.5" customHeight="1">
      <c r="A22" s="3425"/>
      <c r="B22" s="3425"/>
      <c r="C22" s="822" t="s">
        <v>570</v>
      </c>
      <c r="D22" s="823"/>
      <c r="E22" s="821">
        <v>0.5</v>
      </c>
      <c r="F22" s="824"/>
      <c r="G22" s="825"/>
      <c r="H22" s="817"/>
      <c r="I22" s="817"/>
    </row>
    <row r="23" spans="1:9" s="826" customFormat="1" ht="19.5" customHeight="1">
      <c r="A23" s="3425" t="s">
        <v>184</v>
      </c>
      <c r="B23" s="821" t="s">
        <v>560</v>
      </c>
      <c r="C23" s="822" t="s">
        <v>571</v>
      </c>
      <c r="D23" s="823"/>
      <c r="E23" s="821">
        <v>1</v>
      </c>
      <c r="F23" s="824" t="s">
        <v>572</v>
      </c>
      <c r="G23" s="825"/>
      <c r="H23" s="817"/>
      <c r="I23" s="817"/>
    </row>
    <row r="24" spans="1:9" s="826" customFormat="1" ht="19.5" customHeight="1">
      <c r="A24" s="3425"/>
      <c r="B24" s="3425" t="s">
        <v>563</v>
      </c>
      <c r="C24" s="822" t="s">
        <v>573</v>
      </c>
      <c r="D24" s="823"/>
      <c r="E24" s="821">
        <v>0.5</v>
      </c>
      <c r="F24" s="824"/>
      <c r="G24" s="825"/>
      <c r="H24" s="817"/>
      <c r="I24" s="817"/>
    </row>
    <row r="25" spans="1:9" s="826" customFormat="1" ht="19.5" customHeight="1">
      <c r="A25" s="3425"/>
      <c r="B25" s="3425"/>
      <c r="C25" s="822" t="s">
        <v>574</v>
      </c>
      <c r="D25" s="823"/>
      <c r="E25" s="821">
        <v>1.1000000000000001</v>
      </c>
      <c r="F25" s="824"/>
      <c r="G25" s="825"/>
      <c r="H25" s="817"/>
      <c r="I25" s="817"/>
    </row>
    <row r="26" spans="1:9" s="826" customFormat="1" ht="19.5" customHeight="1">
      <c r="A26" s="3425"/>
      <c r="B26" s="3425"/>
      <c r="C26" s="822" t="s">
        <v>575</v>
      </c>
      <c r="D26" s="823"/>
      <c r="E26" s="821">
        <v>1.1000000000000001</v>
      </c>
      <c r="F26" s="824"/>
      <c r="G26" s="825"/>
      <c r="H26" s="817"/>
      <c r="I26" s="817"/>
    </row>
    <row r="27" spans="1:9" s="826" customFormat="1" ht="19.5" customHeight="1">
      <c r="A27" s="3425"/>
      <c r="B27" s="3425"/>
      <c r="C27" s="822" t="s">
        <v>576</v>
      </c>
      <c r="D27" s="823"/>
      <c r="E27" s="821">
        <v>0.9</v>
      </c>
      <c r="F27" s="824" t="s">
        <v>577</v>
      </c>
      <c r="G27" s="825"/>
      <c r="H27" s="817"/>
      <c r="I27" s="817"/>
    </row>
    <row r="28" spans="1:9" s="826" customFormat="1" ht="19.5" customHeight="1">
      <c r="A28" s="3425"/>
      <c r="B28" s="3425"/>
      <c r="C28" s="822" t="s">
        <v>578</v>
      </c>
      <c r="D28" s="823"/>
      <c r="E28" s="821">
        <v>0.9</v>
      </c>
      <c r="F28" s="824" t="s">
        <v>579</v>
      </c>
      <c r="G28" s="825"/>
      <c r="H28" s="817"/>
      <c r="I28" s="817"/>
    </row>
    <row r="29" spans="1:9" s="826" customFormat="1" ht="19.5" customHeight="1">
      <c r="A29" s="3425"/>
      <c r="B29" s="3425"/>
      <c r="C29" s="822" t="s">
        <v>580</v>
      </c>
      <c r="D29" s="823"/>
      <c r="E29" s="821">
        <v>0.9</v>
      </c>
      <c r="F29" s="824" t="s">
        <v>581</v>
      </c>
      <c r="G29" s="825"/>
      <c r="H29" s="817"/>
      <c r="I29" s="817"/>
    </row>
    <row r="30" spans="1:9" s="826" customFormat="1" ht="19.5" customHeight="1">
      <c r="A30" s="3425"/>
      <c r="B30" s="3425"/>
      <c r="C30" s="822" t="s">
        <v>582</v>
      </c>
      <c r="D30" s="823"/>
      <c r="E30" s="821">
        <v>0.9</v>
      </c>
      <c r="F30" s="824" t="s">
        <v>583</v>
      </c>
      <c r="G30" s="825"/>
      <c r="H30" s="817"/>
      <c r="I30" s="817"/>
    </row>
    <row r="31" spans="1:9" s="826" customFormat="1" ht="19.5" customHeight="1">
      <c r="A31" s="3425"/>
      <c r="B31" s="3425"/>
      <c r="C31" s="822" t="s">
        <v>584</v>
      </c>
      <c r="D31" s="823"/>
      <c r="E31" s="821">
        <v>0.8</v>
      </c>
      <c r="F31" s="824" t="s">
        <v>585</v>
      </c>
      <c r="G31" s="825"/>
      <c r="H31" s="817"/>
      <c r="I31" s="817"/>
    </row>
    <row r="32" spans="1:9" s="826" customFormat="1" ht="19.5" customHeight="1">
      <c r="A32" s="3425"/>
      <c r="B32" s="3425"/>
      <c r="C32" s="822" t="s">
        <v>586</v>
      </c>
      <c r="D32" s="823"/>
      <c r="E32" s="821">
        <v>0.8</v>
      </c>
      <c r="F32" s="824" t="s">
        <v>587</v>
      </c>
      <c r="G32" s="825"/>
      <c r="H32" s="817"/>
      <c r="I32" s="817"/>
    </row>
    <row r="33" spans="1:9" s="826" customFormat="1" ht="19.5" customHeight="1">
      <c r="A33" s="3425" t="s">
        <v>185</v>
      </c>
      <c r="B33" s="821" t="s">
        <v>560</v>
      </c>
      <c r="C33" s="822" t="s">
        <v>588</v>
      </c>
      <c r="D33" s="823"/>
      <c r="E33" s="821">
        <v>1</v>
      </c>
      <c r="F33" s="824" t="s">
        <v>589</v>
      </c>
      <c r="G33" s="825"/>
      <c r="H33" s="817"/>
      <c r="I33" s="817"/>
    </row>
    <row r="34" spans="1:9" s="826" customFormat="1" ht="19.5" customHeight="1">
      <c r="A34" s="3425"/>
      <c r="B34" s="821" t="s">
        <v>563</v>
      </c>
      <c r="C34" s="822" t="s">
        <v>590</v>
      </c>
      <c r="D34" s="823"/>
      <c r="E34" s="821">
        <v>1.5</v>
      </c>
      <c r="F34" s="824" t="s">
        <v>591</v>
      </c>
      <c r="G34" s="825"/>
      <c r="H34" s="817"/>
      <c r="I34" s="817"/>
    </row>
    <row r="35" spans="1:9" s="826" customFormat="1" ht="19.5" customHeight="1">
      <c r="A35" s="3425" t="s">
        <v>186</v>
      </c>
      <c r="B35" s="821" t="s">
        <v>560</v>
      </c>
      <c r="C35" s="822" t="s">
        <v>592</v>
      </c>
      <c r="D35" s="823"/>
      <c r="E35" s="821">
        <v>1</v>
      </c>
      <c r="F35" s="824" t="s">
        <v>593</v>
      </c>
      <c r="G35" s="825"/>
      <c r="H35" s="817"/>
      <c r="I35" s="817"/>
    </row>
    <row r="36" spans="1:9" s="826" customFormat="1" ht="19.5" customHeight="1">
      <c r="A36" s="3425"/>
      <c r="B36" s="3425" t="s">
        <v>563</v>
      </c>
      <c r="C36" s="822" t="s">
        <v>594</v>
      </c>
      <c r="D36" s="823"/>
      <c r="E36" s="821">
        <v>1</v>
      </c>
      <c r="F36" s="824" t="s">
        <v>595</v>
      </c>
      <c r="G36" s="825"/>
      <c r="H36" s="817"/>
      <c r="I36" s="817"/>
    </row>
    <row r="37" spans="1:9" s="826" customFormat="1" ht="19.5" customHeight="1">
      <c r="A37" s="3425"/>
      <c r="B37" s="3425"/>
      <c r="C37" s="822" t="s">
        <v>596</v>
      </c>
      <c r="D37" s="823"/>
      <c r="E37" s="821">
        <v>1.5</v>
      </c>
      <c r="F37" s="824" t="s">
        <v>597</v>
      </c>
      <c r="G37" s="825"/>
      <c r="H37" s="817"/>
      <c r="I37" s="817"/>
    </row>
    <row r="38" spans="1:9" s="826" customFormat="1" ht="19.5" customHeight="1">
      <c r="A38" s="3425"/>
      <c r="B38" s="3425"/>
      <c r="C38" s="822" t="s">
        <v>598</v>
      </c>
      <c r="D38" s="823"/>
      <c r="E38" s="821">
        <v>1</v>
      </c>
      <c r="F38" s="824" t="s">
        <v>599</v>
      </c>
      <c r="G38" s="825"/>
      <c r="H38" s="817"/>
      <c r="I38" s="817"/>
    </row>
    <row r="39" spans="1:9" s="826" customFormat="1" ht="19.5" customHeight="1">
      <c r="A39" s="3425"/>
      <c r="B39" s="34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5" t="s">
        <v>614</v>
      </c>
      <c r="C61" s="757" t="s">
        <v>615</v>
      </c>
      <c r="D61" s="757" t="s">
        <v>616</v>
      </c>
      <c r="E61" s="834">
        <v>0.5</v>
      </c>
      <c r="F61" s="821">
        <v>80</v>
      </c>
    </row>
    <row r="62" spans="1:8" s="817" customFormat="1" ht="24">
      <c r="A62" s="821">
        <v>2</v>
      </c>
      <c r="B62" s="3425"/>
      <c r="C62" s="757" t="s">
        <v>617</v>
      </c>
      <c r="D62" s="757" t="s">
        <v>618</v>
      </c>
      <c r="E62" s="834">
        <v>0.5</v>
      </c>
      <c r="F62" s="821">
        <v>80</v>
      </c>
    </row>
    <row r="63" spans="1:8" s="817" customFormat="1" ht="36">
      <c r="A63" s="821">
        <v>3</v>
      </c>
      <c r="B63" s="3425"/>
      <c r="C63" s="757" t="s">
        <v>619</v>
      </c>
      <c r="D63" s="757" t="s">
        <v>620</v>
      </c>
      <c r="E63" s="834">
        <v>0.5</v>
      </c>
      <c r="F63" s="821">
        <v>80</v>
      </c>
    </row>
    <row r="64" spans="1:8" s="817" customFormat="1" ht="36">
      <c r="A64" s="821">
        <v>4</v>
      </c>
      <c r="B64" s="3425"/>
      <c r="C64" s="757" t="s">
        <v>621</v>
      </c>
      <c r="D64" s="757" t="s">
        <v>622</v>
      </c>
      <c r="E64" s="834">
        <v>0.4</v>
      </c>
      <c r="F64" s="821">
        <v>60</v>
      </c>
    </row>
    <row r="65" spans="1:6" s="817" customFormat="1" ht="36">
      <c r="A65" s="821">
        <v>5</v>
      </c>
      <c r="B65" s="3425"/>
      <c r="C65" s="757" t="s">
        <v>623</v>
      </c>
      <c r="D65" s="757" t="s">
        <v>624</v>
      </c>
      <c r="E65" s="834">
        <v>0.2</v>
      </c>
      <c r="F65" s="821">
        <v>30</v>
      </c>
    </row>
    <row r="66" spans="1:6" s="817" customFormat="1" ht="36">
      <c r="A66" s="821">
        <v>6</v>
      </c>
      <c r="B66" s="3425"/>
      <c r="C66" s="757" t="s">
        <v>625</v>
      </c>
      <c r="D66" s="757" t="s">
        <v>626</v>
      </c>
      <c r="E66" s="834">
        <v>0.3</v>
      </c>
      <c r="F66" s="821">
        <v>50</v>
      </c>
    </row>
    <row r="67" spans="1:6" s="817" customFormat="1" ht="36">
      <c r="A67" s="821">
        <v>7</v>
      </c>
      <c r="B67" s="3425"/>
      <c r="C67" s="757" t="s">
        <v>627</v>
      </c>
      <c r="D67" s="757" t="s">
        <v>628</v>
      </c>
      <c r="E67" s="834">
        <v>0.2</v>
      </c>
      <c r="F67" s="821">
        <v>30</v>
      </c>
    </row>
    <row r="68" spans="1:6" s="817" customFormat="1" ht="36">
      <c r="A68" s="821">
        <v>8</v>
      </c>
      <c r="B68" s="3425"/>
      <c r="C68" s="757" t="s">
        <v>629</v>
      </c>
      <c r="D68" s="757" t="s">
        <v>630</v>
      </c>
      <c r="E68" s="834">
        <v>0.2</v>
      </c>
      <c r="F68" s="821">
        <v>30</v>
      </c>
    </row>
    <row r="69" spans="1:6" s="817" customFormat="1" ht="36">
      <c r="A69" s="821">
        <v>9</v>
      </c>
      <c r="B69" s="3425"/>
      <c r="C69" s="757" t="s">
        <v>631</v>
      </c>
      <c r="D69" s="757" t="s">
        <v>632</v>
      </c>
      <c r="E69" s="834">
        <v>0.2</v>
      </c>
      <c r="F69" s="821">
        <v>30</v>
      </c>
    </row>
    <row r="70" spans="1:6" s="817" customFormat="1" ht="48">
      <c r="A70" s="821">
        <v>10</v>
      </c>
      <c r="B70" s="3425"/>
      <c r="C70" s="757" t="s">
        <v>633</v>
      </c>
      <c r="D70" s="757" t="s">
        <v>634</v>
      </c>
      <c r="E70" s="834">
        <v>0.2</v>
      </c>
      <c r="F70" s="821">
        <v>30</v>
      </c>
    </row>
    <row r="71" spans="1:6" s="817" customFormat="1" ht="48">
      <c r="A71" s="821">
        <v>11</v>
      </c>
      <c r="B71" s="3425"/>
      <c r="C71" s="757" t="s">
        <v>635</v>
      </c>
      <c r="D71" s="757" t="s">
        <v>636</v>
      </c>
      <c r="E71" s="834">
        <v>0.2</v>
      </c>
      <c r="F71" s="821">
        <v>30</v>
      </c>
    </row>
    <row r="72" spans="1:6" s="817" customFormat="1" ht="36">
      <c r="A72" s="821">
        <v>12</v>
      </c>
      <c r="B72" s="3425"/>
      <c r="C72" s="757" t="s">
        <v>637</v>
      </c>
      <c r="D72" s="757" t="s">
        <v>638</v>
      </c>
      <c r="E72" s="834">
        <v>0.5</v>
      </c>
      <c r="F72" s="821">
        <v>80</v>
      </c>
    </row>
    <row r="73" spans="1:6" s="817" customFormat="1" ht="24">
      <c r="A73" s="821">
        <v>13</v>
      </c>
      <c r="B73" s="3425"/>
      <c r="C73" s="757" t="s">
        <v>639</v>
      </c>
      <c r="D73" s="757" t="s">
        <v>640</v>
      </c>
      <c r="E73" s="834">
        <v>0.4</v>
      </c>
      <c r="F73" s="821">
        <v>60</v>
      </c>
    </row>
    <row r="74" spans="1:6" s="817" customFormat="1" ht="24">
      <c r="A74" s="821">
        <v>14</v>
      </c>
      <c r="B74" s="3425"/>
      <c r="C74" s="757" t="s">
        <v>641</v>
      </c>
      <c r="D74" s="757" t="s">
        <v>642</v>
      </c>
      <c r="E74" s="834">
        <v>0.2</v>
      </c>
      <c r="F74" s="821">
        <v>30</v>
      </c>
    </row>
    <row r="75" spans="1:6" s="817" customFormat="1" ht="24">
      <c r="A75" s="821">
        <v>15</v>
      </c>
      <c r="B75" s="3425"/>
      <c r="C75" s="757" t="s">
        <v>643</v>
      </c>
      <c r="D75" s="757" t="s">
        <v>644</v>
      </c>
      <c r="E75" s="834">
        <v>0.2</v>
      </c>
      <c r="F75" s="821">
        <v>30</v>
      </c>
    </row>
    <row r="76" spans="1:6" s="817" customFormat="1" ht="24">
      <c r="A76" s="821">
        <v>16</v>
      </c>
      <c r="B76" s="3425" t="s">
        <v>645</v>
      </c>
      <c r="C76" s="757" t="s">
        <v>646</v>
      </c>
      <c r="D76" s="757" t="s">
        <v>647</v>
      </c>
      <c r="E76" s="834">
        <v>0.5</v>
      </c>
      <c r="F76" s="821">
        <v>80</v>
      </c>
    </row>
    <row r="77" spans="1:6" s="817" customFormat="1" ht="24">
      <c r="A77" s="821">
        <v>17</v>
      </c>
      <c r="B77" s="3425"/>
      <c r="C77" s="757" t="s">
        <v>648</v>
      </c>
      <c r="D77" s="757" t="s">
        <v>649</v>
      </c>
      <c r="E77" s="834">
        <v>0.5</v>
      </c>
      <c r="F77" s="821">
        <v>80</v>
      </c>
    </row>
    <row r="78" spans="1:6" s="817" customFormat="1" ht="24">
      <c r="A78" s="821">
        <v>18</v>
      </c>
      <c r="B78" s="3425"/>
      <c r="C78" s="757" t="s">
        <v>650</v>
      </c>
      <c r="D78" s="757" t="s">
        <v>651</v>
      </c>
      <c r="E78" s="834">
        <v>0.2</v>
      </c>
      <c r="F78" s="821">
        <v>30</v>
      </c>
    </row>
    <row r="79" spans="1:6" s="817" customFormat="1" ht="24">
      <c r="A79" s="821">
        <v>19</v>
      </c>
      <c r="B79" s="3425"/>
      <c r="C79" s="757" t="s">
        <v>652</v>
      </c>
      <c r="D79" s="757" t="s">
        <v>653</v>
      </c>
      <c r="E79" s="834">
        <v>0.5</v>
      </c>
      <c r="F79" s="821">
        <v>80</v>
      </c>
    </row>
    <row r="80" spans="1:6" s="817" customFormat="1" ht="36">
      <c r="A80" s="821">
        <v>20</v>
      </c>
      <c r="B80" s="3425"/>
      <c r="C80" s="757" t="s">
        <v>654</v>
      </c>
      <c r="D80" s="757" t="s">
        <v>655</v>
      </c>
      <c r="E80" s="834">
        <v>0.2</v>
      </c>
      <c r="F80" s="821">
        <v>30</v>
      </c>
    </row>
    <row r="81" spans="1:6" s="817" customFormat="1" ht="36">
      <c r="A81" s="821">
        <v>21</v>
      </c>
      <c r="B81" s="3425"/>
      <c r="C81" s="757" t="s">
        <v>656</v>
      </c>
      <c r="D81" s="757" t="s">
        <v>657</v>
      </c>
      <c r="E81" s="834">
        <v>0.2</v>
      </c>
      <c r="F81" s="821">
        <v>30</v>
      </c>
    </row>
    <row r="82" spans="1:6" s="817" customFormat="1" ht="48">
      <c r="A82" s="821">
        <v>22</v>
      </c>
      <c r="B82" s="3425"/>
      <c r="C82" s="757" t="s">
        <v>658</v>
      </c>
      <c r="D82" s="757" t="s">
        <v>659</v>
      </c>
      <c r="E82" s="834">
        <v>0.2</v>
      </c>
      <c r="F82" s="821">
        <v>30</v>
      </c>
    </row>
    <row r="83" spans="1:6" s="817" customFormat="1" ht="48">
      <c r="A83" s="821">
        <v>23</v>
      </c>
      <c r="B83" s="3425"/>
      <c r="C83" s="757" t="s">
        <v>660</v>
      </c>
      <c r="D83" s="757" t="s">
        <v>661</v>
      </c>
      <c r="E83" s="834">
        <v>0.2</v>
      </c>
      <c r="F83" s="821">
        <v>30</v>
      </c>
    </row>
    <row r="84" spans="1:6" s="817" customFormat="1" ht="36">
      <c r="A84" s="821">
        <v>24</v>
      </c>
      <c r="B84" s="3425"/>
      <c r="C84" s="757" t="s">
        <v>662</v>
      </c>
      <c r="D84" s="757" t="s">
        <v>663</v>
      </c>
      <c r="E84" s="834">
        <v>0.2</v>
      </c>
      <c r="F84" s="821">
        <v>30</v>
      </c>
    </row>
    <row r="85" spans="1:6" s="817" customFormat="1" ht="36">
      <c r="A85" s="821">
        <v>25</v>
      </c>
      <c r="B85" s="3425"/>
      <c r="C85" s="757" t="s">
        <v>664</v>
      </c>
      <c r="D85" s="757" t="s">
        <v>665</v>
      </c>
      <c r="E85" s="834">
        <v>0.5</v>
      </c>
      <c r="F85" s="821">
        <v>80</v>
      </c>
    </row>
    <row r="86" spans="1:6" s="817" customFormat="1" ht="36">
      <c r="A86" s="821">
        <v>26</v>
      </c>
      <c r="B86" s="3425"/>
      <c r="C86" s="757" t="s">
        <v>666</v>
      </c>
      <c r="D86" s="757" t="s">
        <v>667</v>
      </c>
      <c r="E86" s="834">
        <v>0.2</v>
      </c>
      <c r="F86" s="821">
        <v>30</v>
      </c>
    </row>
    <row r="87" spans="1:6" s="817" customFormat="1" ht="36">
      <c r="A87" s="821">
        <v>27</v>
      </c>
      <c r="B87" s="3425"/>
      <c r="C87" s="757" t="s">
        <v>668</v>
      </c>
      <c r="D87" s="757" t="s">
        <v>669</v>
      </c>
      <c r="E87" s="834">
        <v>0.2</v>
      </c>
      <c r="F87" s="821">
        <v>30</v>
      </c>
    </row>
    <row r="88" spans="1:6" s="817" customFormat="1" ht="36">
      <c r="A88" s="821">
        <v>28</v>
      </c>
      <c r="B88" s="3425"/>
      <c r="C88" s="757" t="s">
        <v>670</v>
      </c>
      <c r="D88" s="757" t="s">
        <v>671</v>
      </c>
      <c r="E88" s="834">
        <v>0.2</v>
      </c>
      <c r="F88" s="821">
        <v>30</v>
      </c>
    </row>
    <row r="89" spans="1:6" s="817" customFormat="1" ht="24">
      <c r="A89" s="821">
        <v>29</v>
      </c>
      <c r="B89" s="3425"/>
      <c r="C89" s="757" t="s">
        <v>672</v>
      </c>
      <c r="D89" s="757" t="s">
        <v>673</v>
      </c>
      <c r="E89" s="834">
        <v>0.2</v>
      </c>
      <c r="F89" s="821">
        <v>30</v>
      </c>
    </row>
    <row r="90" spans="1:6" s="817" customFormat="1" ht="24">
      <c r="A90" s="821">
        <v>30</v>
      </c>
      <c r="B90" s="3425"/>
      <c r="C90" s="757" t="s">
        <v>674</v>
      </c>
      <c r="D90" s="757" t="s">
        <v>675</v>
      </c>
      <c r="E90" s="834">
        <v>0.2</v>
      </c>
      <c r="F90" s="821">
        <v>30</v>
      </c>
    </row>
    <row r="91" spans="1:6" s="817" customFormat="1" ht="36">
      <c r="A91" s="821">
        <v>31</v>
      </c>
      <c r="B91" s="3425"/>
      <c r="C91" s="757" t="s">
        <v>676</v>
      </c>
      <c r="D91" s="757" t="s">
        <v>677</v>
      </c>
      <c r="E91" s="834">
        <v>0.2</v>
      </c>
      <c r="F91" s="821">
        <v>30</v>
      </c>
    </row>
    <row r="92" spans="1:6" s="817" customFormat="1" ht="24">
      <c r="A92" s="821">
        <v>32</v>
      </c>
      <c r="B92" s="3425" t="s">
        <v>678</v>
      </c>
      <c r="C92" s="821" t="s">
        <v>679</v>
      </c>
      <c r="D92" s="757" t="s">
        <v>680</v>
      </c>
      <c r="E92" s="834">
        <v>0.2</v>
      </c>
      <c r="F92" s="821">
        <v>30</v>
      </c>
    </row>
    <row r="93" spans="1:6" s="817" customFormat="1" ht="36">
      <c r="A93" s="821">
        <v>33</v>
      </c>
      <c r="B93" s="3425"/>
      <c r="C93" s="821" t="s">
        <v>681</v>
      </c>
      <c r="D93" s="757" t="s">
        <v>682</v>
      </c>
      <c r="E93" s="834">
        <v>0.2</v>
      </c>
      <c r="F93" s="821">
        <v>30</v>
      </c>
    </row>
    <row r="94" spans="1:6" s="817" customFormat="1" ht="48">
      <c r="A94" s="821">
        <v>34</v>
      </c>
      <c r="B94" s="3425"/>
      <c r="C94" s="821" t="s">
        <v>683</v>
      </c>
      <c r="D94" s="757" t="s">
        <v>684</v>
      </c>
      <c r="E94" s="834">
        <v>0.2</v>
      </c>
      <c r="F94" s="821">
        <v>30</v>
      </c>
    </row>
    <row r="95" spans="1:6" s="817" customFormat="1" ht="36">
      <c r="A95" s="821">
        <v>35</v>
      </c>
      <c r="B95" s="3425"/>
      <c r="C95" s="821" t="s">
        <v>685</v>
      </c>
      <c r="D95" s="757" t="s">
        <v>686</v>
      </c>
      <c r="E95" s="834">
        <v>0.2</v>
      </c>
      <c r="F95" s="821">
        <v>30</v>
      </c>
    </row>
    <row r="96" spans="1:6" s="817" customFormat="1" ht="48">
      <c r="A96" s="821">
        <v>36</v>
      </c>
      <c r="B96" s="3425"/>
      <c r="C96" s="757" t="s">
        <v>687</v>
      </c>
      <c r="D96" s="757" t="s">
        <v>688</v>
      </c>
      <c r="E96" s="834">
        <v>0.2</v>
      </c>
      <c r="F96" s="821">
        <v>30</v>
      </c>
    </row>
    <row r="97" spans="1:6" s="817" customFormat="1" ht="36">
      <c r="A97" s="821">
        <v>37</v>
      </c>
      <c r="B97" s="3425"/>
      <c r="C97" s="821" t="s">
        <v>689</v>
      </c>
      <c r="D97" s="757" t="s">
        <v>690</v>
      </c>
      <c r="E97" s="834">
        <v>0.2</v>
      </c>
      <c r="F97" s="821">
        <v>30</v>
      </c>
    </row>
    <row r="98" spans="1:6" s="817" customFormat="1" ht="36">
      <c r="A98" s="821">
        <v>38</v>
      </c>
      <c r="B98" s="3425"/>
      <c r="C98" s="821" t="s">
        <v>691</v>
      </c>
      <c r="D98" s="757" t="s">
        <v>692</v>
      </c>
      <c r="E98" s="834">
        <v>0.2</v>
      </c>
      <c r="F98" s="821">
        <v>30</v>
      </c>
    </row>
    <row r="99" spans="1:6" s="817" customFormat="1" ht="36">
      <c r="A99" s="821">
        <v>39</v>
      </c>
      <c r="B99" s="3425" t="s">
        <v>693</v>
      </c>
      <c r="C99" s="821" t="s">
        <v>694</v>
      </c>
      <c r="D99" s="757" t="s">
        <v>695</v>
      </c>
      <c r="E99" s="834">
        <v>0.3</v>
      </c>
      <c r="F99" s="821">
        <v>50</v>
      </c>
    </row>
    <row r="100" spans="1:6" s="817" customFormat="1" ht="24">
      <c r="A100" s="821">
        <v>40</v>
      </c>
      <c r="B100" s="3425"/>
      <c r="C100" s="821" t="s">
        <v>696</v>
      </c>
      <c r="D100" s="757" t="s">
        <v>697</v>
      </c>
      <c r="E100" s="834">
        <v>0.2</v>
      </c>
      <c r="F100" s="821">
        <v>30</v>
      </c>
    </row>
    <row r="101" spans="1:6" s="817" customFormat="1" ht="36">
      <c r="A101" s="821">
        <v>41</v>
      </c>
      <c r="B101" s="34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5" t="s">
        <v>708</v>
      </c>
      <c r="C105" s="821" t="s">
        <v>709</v>
      </c>
      <c r="D105" s="757" t="s">
        <v>710</v>
      </c>
      <c r="E105" s="834">
        <v>0.2</v>
      </c>
      <c r="F105" s="821">
        <v>30</v>
      </c>
    </row>
    <row r="106" spans="1:6" s="817" customFormat="1" ht="36">
      <c r="A106" s="821">
        <v>46</v>
      </c>
      <c r="B106" s="3425"/>
      <c r="C106" s="821" t="s">
        <v>711</v>
      </c>
      <c r="D106" s="757" t="s">
        <v>712</v>
      </c>
      <c r="E106" s="834">
        <v>0.2</v>
      </c>
      <c r="F106" s="821">
        <v>30</v>
      </c>
    </row>
    <row r="107" spans="1:6" s="817" customFormat="1" ht="36">
      <c r="A107" s="821">
        <v>47</v>
      </c>
      <c r="B107" s="3425" t="s">
        <v>713</v>
      </c>
      <c r="C107" s="821" t="s">
        <v>714</v>
      </c>
      <c r="D107" s="757" t="s">
        <v>715</v>
      </c>
      <c r="E107" s="834">
        <v>0.3</v>
      </c>
      <c r="F107" s="821">
        <v>50</v>
      </c>
    </row>
    <row r="108" spans="1:6" s="817" customFormat="1" ht="36">
      <c r="A108" s="821">
        <v>48</v>
      </c>
      <c r="B108" s="34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5" t="s">
        <v>724</v>
      </c>
      <c r="C111" s="821" t="s">
        <v>725</v>
      </c>
      <c r="D111" s="757" t="s">
        <v>726</v>
      </c>
      <c r="E111" s="834">
        <v>0.2</v>
      </c>
      <c r="F111" s="821">
        <v>30</v>
      </c>
    </row>
    <row r="112" spans="1:6" s="817" customFormat="1" ht="24">
      <c r="A112" s="821">
        <v>52</v>
      </c>
      <c r="B112" s="3425"/>
      <c r="C112" s="821" t="s">
        <v>727</v>
      </c>
      <c r="D112" s="757" t="s">
        <v>728</v>
      </c>
      <c r="E112" s="834">
        <v>0.2</v>
      </c>
      <c r="F112" s="821">
        <v>30</v>
      </c>
    </row>
    <row r="113" spans="1:6" s="817" customFormat="1" ht="24">
      <c r="A113" s="821">
        <v>53</v>
      </c>
      <c r="B113" s="34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5" t="s">
        <v>737</v>
      </c>
      <c r="C116" s="821" t="s">
        <v>738</v>
      </c>
      <c r="D116" s="757" t="s">
        <v>739</v>
      </c>
      <c r="E116" s="834">
        <v>0.2</v>
      </c>
      <c r="F116" s="821">
        <v>30</v>
      </c>
    </row>
    <row r="117" spans="1:6" ht="36">
      <c r="A117" s="821">
        <v>57</v>
      </c>
      <c r="B117" s="34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0.86580000000000001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0</v>
      </c>
      <c r="C2" s="2360" t="s">
        <v>2814</v>
      </c>
      <c r="D2" s="2360" t="s">
        <v>2815</v>
      </c>
      <c r="E2" s="2837">
        <f ca="1">SUMIF(E6:E13,"&lt;&gt;#ref!",E6:E13)</f>
        <v>0</v>
      </c>
      <c r="F2" s="3023"/>
      <c r="G2" s="3023"/>
      <c r="H2" s="3023"/>
      <c r="I2" s="3023"/>
      <c r="J2" s="3023"/>
      <c r="K2" s="3023"/>
      <c r="L2" s="3023"/>
      <c r="M2" s="3023"/>
      <c r="N2" s="3023"/>
      <c r="O2" s="3023"/>
      <c r="P2" s="3023"/>
    </row>
    <row r="3" spans="1:16" ht="15.75">
      <c r="A3" s="2360" t="s">
        <v>2816</v>
      </c>
      <c r="B3" s="2827" t="e">
        <f ca="1">ROUND(B2*10000/E2,0)</f>
        <v>#DIV/0!</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0</v>
      </c>
      <c r="C6" s="2360" t="s">
        <v>2814</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9.5" thickBot="1">
      <c r="A4" s="1678"/>
      <c r="B4" s="3104" t="s">
        <v>1595</v>
      </c>
      <c r="C4" s="3104"/>
      <c r="D4" s="3104"/>
      <c r="E4" s="1678"/>
    </row>
    <row r="5" spans="1:5" ht="16.5" thickTop="1">
      <c r="A5" s="1676"/>
      <c r="B5" s="3102" t="s">
        <v>1587</v>
      </c>
      <c r="C5" s="1679" t="s">
        <v>1588</v>
      </c>
      <c r="D5" s="959">
        <f ca="1">结果表!H101</f>
        <v>851</v>
      </c>
      <c r="E5" s="1676"/>
    </row>
    <row r="6" spans="1:5" ht="15.75">
      <c r="A6" s="1676"/>
      <c r="B6" s="3102"/>
      <c r="C6" s="1679" t="s">
        <v>1589</v>
      </c>
      <c r="D6" s="959" t="str">
        <f ca="1">NUMBERSTRING(INT(D5*10000),2)&amp;"元整"</f>
        <v>捌佰伍拾壹万元整</v>
      </c>
      <c r="E6" s="1676"/>
    </row>
    <row r="7" spans="1:5" ht="15.75">
      <c r="A7" s="1676"/>
      <c r="B7" s="3107"/>
      <c r="C7" s="1680" t="s">
        <v>1590</v>
      </c>
      <c r="D7" s="960">
        <f ca="1">结果表!H102</f>
        <v>31370</v>
      </c>
      <c r="E7" s="1676"/>
    </row>
    <row r="8" spans="1:5" ht="15.75">
      <c r="A8" s="1676"/>
      <c r="B8" s="3108" t="str">
        <f>结果表!E103</f>
        <v>2.估价师知悉的法定优先受偿款</v>
      </c>
      <c r="C8" s="1681" t="s">
        <v>1591</v>
      </c>
      <c r="D8" s="960">
        <f>结果表!H103</f>
        <v>0</v>
      </c>
      <c r="E8" s="1676"/>
    </row>
    <row r="9" spans="1:5" ht="15.75">
      <c r="A9" s="1676"/>
      <c r="B9" s="311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01" t="str">
        <f>结果表!E107</f>
        <v>3.房地产抵押价值</v>
      </c>
      <c r="C13" s="1684" t="s">
        <v>1588</v>
      </c>
      <c r="D13" s="962">
        <f ca="1">结果表!H107</f>
        <v>851</v>
      </c>
      <c r="E13" s="1676"/>
    </row>
    <row r="14" spans="1:5" ht="15.75">
      <c r="A14" s="1676"/>
      <c r="B14" s="3102"/>
      <c r="C14" s="1679" t="s">
        <v>1589</v>
      </c>
      <c r="D14" s="959" t="str">
        <f ca="1">NUMBERSTRING(INT(D13*10000),2)&amp;"元整"</f>
        <v>捌佰伍拾壹万元整</v>
      </c>
      <c r="E14" s="1676"/>
    </row>
    <row r="15" spans="1:5" ht="15">
      <c r="A15" s="1676"/>
      <c r="B15" s="3107"/>
      <c r="C15" s="1680" t="s">
        <v>1599</v>
      </c>
      <c r="D15" s="968">
        <f ca="1">结果表!H108</f>
        <v>3547</v>
      </c>
      <c r="E15" s="1676"/>
    </row>
    <row r="16" spans="1:5" ht="15">
      <c r="A16" s="1676"/>
      <c r="B16" s="3108" t="str">
        <f>结果表!E109</f>
        <v>——</v>
      </c>
      <c r="C16" s="1684" t="s">
        <v>1600</v>
      </c>
      <c r="D16" s="1685" t="str">
        <f>结果表!H109</f>
        <v>——</v>
      </c>
      <c r="E16" s="1676"/>
    </row>
    <row r="17" spans="1:5" ht="15.75">
      <c r="A17" s="1676"/>
      <c r="B17" s="3109"/>
      <c r="C17" s="1679" t="s">
        <v>1601</v>
      </c>
      <c r="D17" s="959" t="e">
        <f>NUMBERSTRING(INT(D16*10000),2)&amp;"元整"</f>
        <v>#VALUE!</v>
      </c>
      <c r="E17" s="1676"/>
    </row>
    <row r="18" spans="1:5" ht="15">
      <c r="A18" s="1676"/>
      <c r="B18" s="3110"/>
      <c r="C18" s="1680" t="s">
        <v>1590</v>
      </c>
      <c r="D18" s="968" t="str">
        <f>结果表!H110</f>
        <v>——</v>
      </c>
      <c r="E18" s="1676"/>
    </row>
    <row r="19" spans="1:5" ht="15.75">
      <c r="A19" s="1676"/>
      <c r="B19" s="3101" t="str">
        <f>结果表!E111</f>
        <v>——</v>
      </c>
      <c r="C19" s="1684" t="s">
        <v>1588</v>
      </c>
      <c r="D19" s="960" t="str">
        <f>结果表!H111</f>
        <v>——</v>
      </c>
      <c r="E19" s="1676"/>
    </row>
    <row r="20" spans="1:5" ht="15.75">
      <c r="A20" s="1676"/>
      <c r="B20" s="3102"/>
      <c r="C20" s="1679" t="s">
        <v>1601</v>
      </c>
      <c r="D20" s="959" t="e">
        <f>NUMBERSTRING(INT(D19*10000),2)&amp;"元整"</f>
        <v>#VALUE!</v>
      </c>
      <c r="E20" s="1676"/>
    </row>
    <row r="21" spans="1:5" ht="15.75" thickBot="1">
      <c r="A21" s="1676"/>
      <c r="B21" s="310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31" t="s">
        <v>1117</v>
      </c>
      <c r="C1" s="3431"/>
      <c r="D1" s="3431"/>
      <c r="E1" s="3431"/>
      <c r="F1" s="3431"/>
      <c r="G1" s="3427" t="s">
        <v>1118</v>
      </c>
      <c r="H1" s="3427"/>
      <c r="I1" s="3427"/>
      <c r="J1" s="3427"/>
      <c r="K1" s="3427"/>
      <c r="L1" s="3427"/>
      <c r="N1" s="3427" t="s">
        <v>1119</v>
      </c>
      <c r="O1" s="3427"/>
      <c r="P1" s="3427"/>
      <c r="Q1" s="3427"/>
      <c r="S1" s="3427" t="s">
        <v>1120</v>
      </c>
      <c r="T1" s="3427"/>
      <c r="U1" s="3427"/>
      <c r="V1" s="3427"/>
      <c r="X1" s="3426" t="s">
        <v>1121</v>
      </c>
      <c r="Y1" s="3427"/>
      <c r="Z1" s="3427"/>
      <c r="AA1" s="3427"/>
      <c r="AB1" s="3427"/>
      <c r="AD1" s="3426" t="s">
        <v>1122</v>
      </c>
      <c r="AE1" s="3427"/>
      <c r="AF1" s="3427"/>
      <c r="AG1" s="3427"/>
      <c r="AH1" s="342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3061</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2854</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3060</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3059</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3057</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3056</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2870</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2868</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2867</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5" thickBot="1">
      <c r="A13" s="2422" t="s">
        <v>2866</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2864</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5" thickBot="1">
      <c r="A15" s="2422" t="s">
        <v>2862</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2865</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429">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5" customHeight="1">
      <c r="A17" s="2422" t="s">
        <v>2860</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429"/>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5" customHeight="1">
      <c r="A18" s="2422" t="s">
        <v>2859</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429"/>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2852</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36"/>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2850</v>
      </c>
      <c r="B20" s="2437">
        <v>439</v>
      </c>
      <c r="C20" s="2437">
        <v>327</v>
      </c>
      <c r="D20" s="2437">
        <f>C20</f>
        <v>327</v>
      </c>
      <c r="E20" s="2437">
        <v>627</v>
      </c>
      <c r="F20" s="2438">
        <v>283</v>
      </c>
      <c r="G20" s="3432">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5" customHeight="1">
      <c r="A21" s="2422" t="s">
        <v>2851</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429"/>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5"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429"/>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36"/>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432">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429"/>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429"/>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5"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430"/>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5" thickBot="1">
      <c r="A28" s="2422" t="s">
        <v>151</v>
      </c>
      <c r="B28" s="2437">
        <v>333</v>
      </c>
      <c r="C28" s="2437">
        <v>277</v>
      </c>
      <c r="D28" s="2437">
        <f t="shared" si="191"/>
        <v>277</v>
      </c>
      <c r="E28" s="2437">
        <v>459</v>
      </c>
      <c r="F28" s="2438">
        <v>249</v>
      </c>
      <c r="G28" s="3428">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429"/>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429"/>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430"/>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5" thickBot="1">
      <c r="A32" s="2422" t="s">
        <v>147</v>
      </c>
      <c r="B32" s="2451">
        <v>318</v>
      </c>
      <c r="C32" s="2451">
        <v>268</v>
      </c>
      <c r="D32" s="2451">
        <f t="shared" si="191"/>
        <v>268</v>
      </c>
      <c r="E32" s="2451">
        <v>437</v>
      </c>
      <c r="F32" s="2452">
        <v>237</v>
      </c>
      <c r="G32" s="3428">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429"/>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5"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429"/>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5"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430"/>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5" thickBot="1">
      <c r="A36" s="2422" t="s">
        <v>1130</v>
      </c>
      <c r="B36" s="2437">
        <v>299</v>
      </c>
      <c r="C36" s="2437">
        <v>252</v>
      </c>
      <c r="D36" s="2437">
        <f t="shared" si="191"/>
        <v>252</v>
      </c>
      <c r="E36" s="2437">
        <v>409</v>
      </c>
      <c r="F36" s="2438">
        <v>227</v>
      </c>
      <c r="G36" s="3433">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34"/>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34"/>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35"/>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5" thickBot="1">
      <c r="A40" s="2422" t="s">
        <v>1134</v>
      </c>
      <c r="B40" s="2472">
        <v>278</v>
      </c>
      <c r="C40" s="2472">
        <v>234</v>
      </c>
      <c r="D40" s="2472">
        <f t="shared" si="191"/>
        <v>234</v>
      </c>
      <c r="E40" s="2472">
        <v>379</v>
      </c>
      <c r="F40" s="2473">
        <v>220</v>
      </c>
      <c r="G40" s="3428">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429"/>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429"/>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5" thickBot="1">
      <c r="A43" s="2422" t="s">
        <v>1137</v>
      </c>
      <c r="B43" s="2423">
        <f>B42/(1+N42)</f>
        <v>275.19025476197027</v>
      </c>
      <c r="C43" s="2474">
        <v>232</v>
      </c>
      <c r="D43" s="2474">
        <f t="shared" si="191"/>
        <v>232</v>
      </c>
      <c r="E43" s="2423">
        <f t="shared" si="202"/>
        <v>375.65990977608692</v>
      </c>
      <c r="F43" s="2423">
        <f t="shared" si="202"/>
        <v>214.12518283971252</v>
      </c>
      <c r="G43" s="3430"/>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5" thickBot="1">
      <c r="A44" s="2422" t="s">
        <v>1138</v>
      </c>
      <c r="B44" s="2437">
        <v>275</v>
      </c>
      <c r="C44" s="2437">
        <v>232</v>
      </c>
      <c r="D44" s="2437">
        <f t="shared" si="191"/>
        <v>232</v>
      </c>
      <c r="E44" s="2437">
        <v>376</v>
      </c>
      <c r="F44" s="2438">
        <v>213</v>
      </c>
      <c r="G44" s="3428">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429">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429">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5"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430">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5" thickBot="1">
      <c r="A48" s="2422" t="s">
        <v>1142</v>
      </c>
      <c r="B48" s="2437">
        <v>269</v>
      </c>
      <c r="C48" s="2437">
        <v>221</v>
      </c>
      <c r="D48" s="2437">
        <f t="shared" si="191"/>
        <v>221</v>
      </c>
      <c r="E48" s="2437">
        <v>373</v>
      </c>
      <c r="F48" s="2438">
        <v>196</v>
      </c>
      <c r="G48" s="3428">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429">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429">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5"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430">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5" thickBot="1">
      <c r="A52" s="2422" t="s">
        <v>1146</v>
      </c>
      <c r="B52" s="2437">
        <v>220</v>
      </c>
      <c r="C52" s="2437">
        <v>187</v>
      </c>
      <c r="D52" s="2437">
        <f t="shared" si="191"/>
        <v>187</v>
      </c>
      <c r="E52" s="2437">
        <v>301</v>
      </c>
      <c r="F52" s="2438">
        <v>168</v>
      </c>
      <c r="G52" s="3428">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429">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429">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430">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5" thickBot="1">
      <c r="A56" s="2422" t="s">
        <v>1150</v>
      </c>
      <c r="B56" s="2472">
        <v>214</v>
      </c>
      <c r="C56" s="2472">
        <v>188</v>
      </c>
      <c r="D56" s="2472">
        <f t="shared" si="191"/>
        <v>188</v>
      </c>
      <c r="E56" s="2472">
        <v>289</v>
      </c>
      <c r="F56" s="2473">
        <v>166</v>
      </c>
      <c r="G56" s="3428">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429">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429">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5"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430">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5" thickBot="1">
      <c r="A60" s="2422" t="s">
        <v>1154</v>
      </c>
      <c r="B60" s="2437">
        <v>188</v>
      </c>
      <c r="C60" s="2437">
        <v>165</v>
      </c>
      <c r="D60" s="2437">
        <f t="shared" si="191"/>
        <v>165</v>
      </c>
      <c r="E60" s="2437">
        <v>254</v>
      </c>
      <c r="F60" s="2438">
        <v>148</v>
      </c>
      <c r="G60" s="3428">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429">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429">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430">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5" thickBot="1">
      <c r="A64" s="2422" t="s">
        <v>1158</v>
      </c>
      <c r="B64" s="2451">
        <v>159</v>
      </c>
      <c r="C64" s="2451">
        <v>141</v>
      </c>
      <c r="D64" s="2451">
        <f t="shared" si="191"/>
        <v>141</v>
      </c>
      <c r="E64" s="2451">
        <v>195</v>
      </c>
      <c r="F64" s="2452">
        <v>122</v>
      </c>
      <c r="G64" s="3428">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429">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429">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430">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5" thickBot="1">
      <c r="A68" s="2422" t="s">
        <v>1162</v>
      </c>
      <c r="B68" s="2451">
        <v>138</v>
      </c>
      <c r="C68" s="2451">
        <v>131</v>
      </c>
      <c r="D68" s="2451">
        <f t="shared" si="191"/>
        <v>131</v>
      </c>
      <c r="E68" s="2451">
        <v>155</v>
      </c>
      <c r="F68" s="2452">
        <v>114</v>
      </c>
      <c r="G68" s="3428">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429">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429">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430">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5" thickBot="1">
      <c r="A72" s="2422" t="s">
        <v>1166</v>
      </c>
      <c r="B72" s="2472">
        <v>121</v>
      </c>
      <c r="C72" s="2472">
        <v>122</v>
      </c>
      <c r="D72" s="2472">
        <f t="shared" si="191"/>
        <v>122</v>
      </c>
      <c r="E72" s="2472">
        <v>124</v>
      </c>
      <c r="F72" s="2473">
        <v>107</v>
      </c>
      <c r="G72" s="3428">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429">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429">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5"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430">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5" thickBot="1">
      <c r="A76" s="2422" t="s">
        <v>1170</v>
      </c>
      <c r="B76" s="2492">
        <v>111</v>
      </c>
      <c r="C76" s="2492">
        <v>114</v>
      </c>
      <c r="D76" s="2492">
        <f t="shared" si="191"/>
        <v>114</v>
      </c>
      <c r="E76" s="2492">
        <v>108</v>
      </c>
      <c r="F76" s="2493">
        <v>104</v>
      </c>
      <c r="G76" s="3428">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429">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429">
        <v>2003</v>
      </c>
      <c r="H78" s="2435">
        <v>2</v>
      </c>
      <c r="I78" s="2494"/>
      <c r="J78" s="2494"/>
      <c r="K78" s="2494"/>
      <c r="L78" s="2494"/>
      <c r="X78" s="2486"/>
      <c r="Y78" s="2486"/>
      <c r="Z78" s="2486"/>
    </row>
    <row r="79" spans="1:26" ht="13.5" thickBot="1">
      <c r="A79" s="2422" t="s">
        <v>1173</v>
      </c>
      <c r="B79" s="2496">
        <f t="shared" si="227"/>
        <v>107.25</v>
      </c>
      <c r="C79" s="2496">
        <f t="shared" si="227"/>
        <v>108.75</v>
      </c>
      <c r="D79" s="2496">
        <f t="shared" si="191"/>
        <v>108.75</v>
      </c>
      <c r="E79" s="2496">
        <f t="shared" si="228"/>
        <v>105.75</v>
      </c>
      <c r="F79" s="2496">
        <f t="shared" si="228"/>
        <v>102.5</v>
      </c>
      <c r="G79" s="3430">
        <v>2003</v>
      </c>
      <c r="H79" s="2497">
        <v>1</v>
      </c>
      <c r="I79" s="2494"/>
      <c r="J79" s="2494"/>
      <c r="K79" s="2494"/>
      <c r="L79" s="2494"/>
      <c r="S79" s="2425"/>
      <c r="T79" s="2410"/>
      <c r="U79" s="2410"/>
      <c r="X79" s="2486"/>
      <c r="Y79" s="2486"/>
      <c r="Z79" s="2486"/>
    </row>
    <row r="80" spans="1:26" ht="13.5" thickBot="1">
      <c r="A80" s="2422" t="s">
        <v>1174</v>
      </c>
      <c r="B80" s="2498">
        <v>106</v>
      </c>
      <c r="C80" s="2498">
        <v>107</v>
      </c>
      <c r="D80" s="2498">
        <f t="shared" si="191"/>
        <v>107</v>
      </c>
      <c r="E80" s="2498">
        <v>105</v>
      </c>
      <c r="F80" s="2499">
        <v>102</v>
      </c>
      <c r="G80" s="3428">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429">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429">
        <v>2002</v>
      </c>
      <c r="H82" s="2435">
        <v>2</v>
      </c>
      <c r="I82" s="2494"/>
      <c r="J82" s="2494"/>
      <c r="K82" s="2494"/>
      <c r="L82" s="2494"/>
      <c r="X82" s="2486"/>
      <c r="Y82" s="2486"/>
      <c r="Z82" s="2486"/>
    </row>
    <row r="83" spans="1:26" s="2459" customFormat="1" ht="13.5" thickBot="1">
      <c r="A83" s="2455" t="s">
        <v>1177</v>
      </c>
      <c r="B83" s="2462">
        <f t="shared" si="229"/>
        <v>103</v>
      </c>
      <c r="C83" s="2462">
        <f t="shared" si="229"/>
        <v>104</v>
      </c>
      <c r="D83" s="2462">
        <f t="shared" si="191"/>
        <v>104</v>
      </c>
      <c r="E83" s="2462">
        <f t="shared" si="230"/>
        <v>103.5</v>
      </c>
      <c r="F83" s="2462">
        <f t="shared" si="230"/>
        <v>100.5</v>
      </c>
      <c r="G83" s="3430">
        <v>2002</v>
      </c>
      <c r="H83" s="2500">
        <v>1</v>
      </c>
      <c r="I83" s="2501"/>
      <c r="J83" s="2501"/>
      <c r="K83" s="2501"/>
      <c r="L83" s="2501"/>
      <c r="N83" s="2502"/>
      <c r="S83" s="2502"/>
      <c r="X83" s="2503"/>
      <c r="Y83" s="2503"/>
      <c r="Z83" s="2503"/>
    </row>
    <row r="84" spans="1:26" ht="13.5"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5"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5"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3082</v>
      </c>
      <c r="D1" s="1546" t="s">
        <v>70</v>
      </c>
      <c r="E1" s="1547" t="s">
        <v>1352</v>
      </c>
      <c r="F1" s="1193">
        <f ca="1">J53</f>
        <v>30.64</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ROUND(D2/10000,0)</f>
        <v>14</v>
      </c>
      <c r="C2" s="1571" t="s">
        <v>1481</v>
      </c>
      <c r="D2" s="1655">
        <f ca="1">C40+J29+L46</f>
        <v>139615</v>
      </c>
      <c r="E2" s="1572" t="s">
        <v>1557</v>
      </c>
      <c r="F2" s="1573"/>
      <c r="G2" s="2934"/>
      <c r="H2" s="2923"/>
      <c r="I2" s="2923"/>
      <c r="J2" s="2923"/>
      <c r="K2" s="2924"/>
      <c r="L2" s="2923"/>
      <c r="M2" s="2923"/>
    </row>
    <row r="3" spans="1:37" ht="18" customHeight="1" thickBot="1">
      <c r="A3" s="1574" t="s">
        <v>1482</v>
      </c>
      <c r="B3" s="1575">
        <f ca="1">IF(ISERROR(D2/F43),0,ROUND(D2/F43,0))</f>
        <v>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8651</v>
      </c>
      <c r="D5" s="1548" t="s">
        <v>1367</v>
      </c>
      <c r="E5" s="1203"/>
      <c r="F5" s="1204"/>
      <c r="G5" s="1568"/>
      <c r="H5" s="305">
        <v>1</v>
      </c>
      <c r="I5" s="306" t="s">
        <v>1366</v>
      </c>
      <c r="J5" s="1202">
        <f ca="1">J6+J10+J12</f>
        <v>0</v>
      </c>
      <c r="K5" s="1548" t="s">
        <v>1367</v>
      </c>
      <c r="L5" s="1203"/>
      <c r="M5" s="1204"/>
    </row>
    <row r="6" spans="1:37" ht="18" customHeight="1">
      <c r="A6" s="1201" t="s">
        <v>1003</v>
      </c>
      <c r="B6" s="3294" t="s">
        <v>1368</v>
      </c>
      <c r="C6" s="1206">
        <f ca="1">ROUND(F6*F8*F7*(1-F9),0)</f>
        <v>8640</v>
      </c>
      <c r="D6" s="160" t="s">
        <v>2845</v>
      </c>
      <c r="E6" s="308" t="s">
        <v>1370</v>
      </c>
      <c r="F6" s="309">
        <f ca="1">INDIRECT("'数据-取费表'!u"&amp;$G$1)</f>
        <v>800</v>
      </c>
      <c r="G6" s="1568"/>
      <c r="H6" s="1201" t="s">
        <v>1003</v>
      </c>
      <c r="I6" s="3294" t="s">
        <v>1368</v>
      </c>
      <c r="J6" s="307">
        <f ca="1">ROUND(M6*M8*M7*(1-M9),0)</f>
        <v>0</v>
      </c>
      <c r="K6" s="1560" t="s">
        <v>2846</v>
      </c>
      <c r="L6" s="308" t="s">
        <v>1370</v>
      </c>
      <c r="M6" s="309">
        <f ca="1">INDIRECT("'数据-取费表'!z"&amp;$G$1)</f>
        <v>0</v>
      </c>
    </row>
    <row r="7" spans="1:37" ht="18" customHeight="1">
      <c r="A7" s="1205"/>
      <c r="B7" s="3295"/>
      <c r="C7" s="1207"/>
      <c r="D7" s="313"/>
      <c r="E7" s="3083" t="s">
        <v>1371</v>
      </c>
      <c r="F7" s="309">
        <f ca="1">IF(INDIRECT("'数据-取费表'!ah"&amp;$G$1)="",INDIRECT("'数据-取费表'!k"&amp;$G$1),INDIRECT("'数据-取费表'!ah"&amp;$G$1))</f>
        <v>1</v>
      </c>
      <c r="G7" s="1568"/>
      <c r="H7" s="310"/>
      <c r="I7" s="3295"/>
      <c r="J7" s="312"/>
      <c r="K7" s="313"/>
      <c r="L7" s="308" t="s">
        <v>1371</v>
      </c>
      <c r="M7" s="309">
        <f ca="1">F7</f>
        <v>1</v>
      </c>
    </row>
    <row r="8" spans="1:37" ht="18" customHeight="1">
      <c r="A8" s="310"/>
      <c r="B8" s="3295"/>
      <c r="C8" s="312"/>
      <c r="D8" s="313"/>
      <c r="E8" s="308" t="s">
        <v>1372</v>
      </c>
      <c r="F8" s="309">
        <f ca="1">INDIRECT("'数据-取费表'!ai"&amp;$G$1)</f>
        <v>12</v>
      </c>
      <c r="G8" s="1568"/>
      <c r="H8" s="310"/>
      <c r="I8" s="3295"/>
      <c r="J8" s="312"/>
      <c r="K8" s="313"/>
      <c r="L8" s="308" t="s">
        <v>1372</v>
      </c>
      <c r="M8" s="309">
        <f ca="1">INDIRECT("'数据-取费表'!ai"&amp;$G$1)</f>
        <v>12</v>
      </c>
    </row>
    <row r="9" spans="1:37" ht="18" customHeight="1">
      <c r="A9" s="310"/>
      <c r="B9" s="3296"/>
      <c r="C9" s="312"/>
      <c r="D9" s="313"/>
      <c r="E9" s="308" t="s">
        <v>1373</v>
      </c>
      <c r="F9" s="318">
        <f ca="1">INDIRECT("'数据-取费表'!w"&amp;$G$1)</f>
        <v>0.1</v>
      </c>
      <c r="G9" s="1568"/>
      <c r="H9" s="310"/>
      <c r="I9" s="3296"/>
      <c r="J9" s="312"/>
      <c r="K9" s="313"/>
      <c r="L9" s="319" t="s">
        <v>1373</v>
      </c>
      <c r="M9" s="320">
        <f ca="1">INDIRECT("'数据-取费表'!ab"&amp;$G$1)</f>
        <v>0</v>
      </c>
    </row>
    <row r="10" spans="1:37" ht="18" customHeight="1">
      <c r="A10" s="1201" t="s">
        <v>1007</v>
      </c>
      <c r="B10" s="1549" t="s">
        <v>1374</v>
      </c>
      <c r="C10" s="322">
        <f ca="1">ROUND(IF(F10="押一",C6/12*F11,IF(F10="押二",C6/12*2*F11,IF(F10="押三",C6/12*3*F11,C11*F11))),0)</f>
        <v>11</v>
      </c>
      <c r="D10" s="1550" t="s">
        <v>2855</v>
      </c>
      <c r="E10" s="319" t="s">
        <v>1375</v>
      </c>
      <c r="F10" s="1276" t="s">
        <v>3093</v>
      </c>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3061" t="s">
        <v>1380</v>
      </c>
      <c r="E13" s="306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3072" t="s">
        <v>1383</v>
      </c>
      <c r="E14" s="3065"/>
      <c r="F14" s="325"/>
      <c r="G14" s="1568"/>
      <c r="H14" s="1113" t="s">
        <v>1003</v>
      </c>
      <c r="I14" s="308" t="s">
        <v>1384</v>
      </c>
      <c r="J14" s="24">
        <f ca="1">C29</f>
        <v>0</v>
      </c>
      <c r="K14" s="3081"/>
      <c r="L14" s="916"/>
      <c r="M14" s="917"/>
    </row>
    <row r="15" spans="1:37" s="1581" customFormat="1" ht="18" customHeight="1" thickBot="1">
      <c r="A15" s="1113" t="s">
        <v>1004</v>
      </c>
      <c r="B15" s="308" t="s">
        <v>1385</v>
      </c>
      <c r="C15" s="24">
        <f ca="1">ROUND(C14*F15,0)</f>
        <v>0</v>
      </c>
      <c r="D15" s="3062" t="s">
        <v>1386</v>
      </c>
      <c r="E15" s="3062"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3075"/>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3072" t="s">
        <v>1395</v>
      </c>
      <c r="L17" s="3070"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3070"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3085"/>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85"/>
      <c r="F22" s="26"/>
      <c r="G22" s="1568"/>
      <c r="H22" s="1113" t="s">
        <v>1007</v>
      </c>
      <c r="I22" s="308" t="s">
        <v>1414</v>
      </c>
      <c r="J22" s="24">
        <f ca="1">ROUND(J14*M22,0)</f>
        <v>0</v>
      </c>
      <c r="K22" s="3070"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3070"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f ca="1">ROUND(J5*M24,0)</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3085"/>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0.06</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1.1999999999999999E-3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1535</v>
      </c>
      <c r="D30" s="1247" t="s">
        <v>1390</v>
      </c>
      <c r="E30" s="3075"/>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1448</v>
      </c>
      <c r="D31" s="3072" t="s">
        <v>1395</v>
      </c>
      <c r="E31" s="3070"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IF(项目基本情况!B11="自然人","——",ROUND(C6*F32/(1+'数据-取费表'!C42),0))</f>
        <v>461</v>
      </c>
      <c r="D32" s="3070"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987</v>
      </c>
      <c r="D33" s="1554" t="s">
        <v>3094</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3070" t="s">
        <v>1447</v>
      </c>
      <c r="E36" s="308" t="s">
        <v>1387</v>
      </c>
      <c r="F36" s="334">
        <f ca="1">INDIRECT("'数据-取费表'!Ak"&amp;$G$1)</f>
        <v>5.0000000000000001E-3</v>
      </c>
      <c r="G36" s="1568"/>
      <c r="H36" s="2928"/>
      <c r="I36" s="1582"/>
      <c r="J36" s="1583"/>
      <c r="K36" s="2769"/>
      <c r="L36" s="2928"/>
      <c r="M36" s="2928"/>
    </row>
    <row r="37" spans="1:18" ht="18" customHeight="1">
      <c r="A37" s="1113" t="s">
        <v>1043</v>
      </c>
      <c r="B37" s="308" t="s">
        <v>1418</v>
      </c>
      <c r="C37" s="24">
        <f ca="1">ROUND(C13*F37,0)</f>
        <v>0</v>
      </c>
      <c r="D37" s="3070" t="s">
        <v>1419</v>
      </c>
      <c r="E37" s="308" t="s">
        <v>1387</v>
      </c>
      <c r="F37" s="336">
        <f ca="1">INDIRECT("'数据-取费表'!Al"&amp;$G$1)</f>
        <v>1.5E-3</v>
      </c>
      <c r="G37" s="1568"/>
      <c r="H37" s="2928"/>
      <c r="I37" s="1582"/>
      <c r="J37" s="1583"/>
      <c r="K37" s="2769"/>
      <c r="L37" s="2928"/>
      <c r="M37" s="2928"/>
    </row>
    <row r="38" spans="1:18" ht="18" customHeight="1" thickBot="1">
      <c r="A38" s="1249" t="s">
        <v>1357</v>
      </c>
      <c r="B38" s="1250" t="s">
        <v>1404</v>
      </c>
      <c r="C38" s="1251">
        <f ca="1">ROUND(C5*F38,1)</f>
        <v>86.5</v>
      </c>
      <c r="D38" s="1252" t="s">
        <v>1424</v>
      </c>
      <c r="E38" s="1250" t="s">
        <v>1387</v>
      </c>
      <c r="F38" s="1246">
        <f ca="1">INDIRECT("'数据-取费表'!Am"&amp;$G$1)</f>
        <v>0.01</v>
      </c>
      <c r="G38" s="1568"/>
      <c r="H38" s="2928"/>
      <c r="I38" s="1582"/>
      <c r="J38" s="1583"/>
      <c r="K38" s="2932"/>
      <c r="L38" s="2928"/>
      <c r="M38" s="2928"/>
    </row>
    <row r="39" spans="1:18" ht="24.6" customHeight="1" thickTop="1">
      <c r="A39" s="1239" t="s">
        <v>999</v>
      </c>
      <c r="B39" s="1254" t="s">
        <v>1428</v>
      </c>
      <c r="C39" s="316">
        <f ca="1">C5-C30</f>
        <v>7116</v>
      </c>
      <c r="D39" s="1255" t="s">
        <v>1429</v>
      </c>
      <c r="E39" s="1256"/>
      <c r="F39" s="1257"/>
      <c r="G39" s="1568"/>
      <c r="H39" s="2928"/>
      <c r="I39" s="1582"/>
      <c r="J39" s="1583"/>
      <c r="K39" s="2932"/>
      <c r="L39" s="2928"/>
      <c r="M39" s="2928"/>
    </row>
    <row r="40" spans="1:18" ht="18" customHeight="1">
      <c r="A40" s="305" t="s">
        <v>1000</v>
      </c>
      <c r="B40" s="306" t="s">
        <v>1450</v>
      </c>
      <c r="C40" s="307">
        <f ca="1">ROUND(C39*(1-((1+F42)/(1+F40))^F41)/(F40-F42),0)</f>
        <v>139615</v>
      </c>
      <c r="D40" s="330" t="s">
        <v>1434</v>
      </c>
      <c r="E40" s="308" t="s">
        <v>1435</v>
      </c>
      <c r="F40" s="318">
        <f ca="1">INDIRECT("'数据-取费表'!I"&amp;$G$1)</f>
        <v>0.05</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30.64</v>
      </c>
      <c r="G41" s="1568"/>
      <c r="H41" s="1353"/>
      <c r="I41" s="1582"/>
      <c r="J41" s="1583"/>
      <c r="K41" s="2769"/>
      <c r="L41" s="1353"/>
      <c r="M41" s="1353"/>
    </row>
    <row r="42" spans="1:18" ht="18" customHeight="1">
      <c r="A42" s="314"/>
      <c r="B42" s="315"/>
      <c r="C42" s="316"/>
      <c r="D42" s="333"/>
      <c r="E42" s="308" t="s">
        <v>1442</v>
      </c>
      <c r="F42" s="318">
        <f ca="1">INDIRECT("'数据-取费表'!v"&amp;$G$1)</f>
        <v>0.02</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-139615</v>
      </c>
      <c r="D45" s="1657" t="s">
        <v>1569</v>
      </c>
      <c r="E45" s="1584"/>
      <c r="F45" s="1584"/>
      <c r="O45" s="1587" t="s">
        <v>1484</v>
      </c>
      <c r="P45" s="1645"/>
      <c r="Q45" s="1645"/>
      <c r="R45" s="1645"/>
    </row>
    <row r="46" spans="1:18" s="1568" customFormat="1" ht="13.5" thickBot="1">
      <c r="A46" s="1588" t="s">
        <v>1485</v>
      </c>
      <c r="C46" s="1589">
        <f ca="1">ROUND(C45/10000,0)</f>
        <v>-14</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3095</v>
      </c>
      <c r="K47" s="1600" t="s">
        <v>1492</v>
      </c>
      <c r="L47" s="1601">
        <f ca="1">INDIRECT("'数据-取费表'!d"&amp;$G$1)</f>
        <v>50</v>
      </c>
      <c r="M47" s="1564" t="str">
        <f>IF(ISNUMBER(FIND("住宅",C1)),"住宅","非住宅")</f>
        <v>非住宅</v>
      </c>
      <c r="O47" s="1602" t="s">
        <v>1008</v>
      </c>
      <c r="P47" s="1603" t="s">
        <v>1493</v>
      </c>
      <c r="Q47" s="1604">
        <f ca="1">C40+J29</f>
        <v>139615</v>
      </c>
      <c r="R47" s="1604" t="s">
        <v>1494</v>
      </c>
    </row>
    <row r="48" spans="1:18" s="1568" customFormat="1" ht="28.5" thickBot="1">
      <c r="A48" s="1270" t="s">
        <v>1103</v>
      </c>
      <c r="B48" s="306" t="s">
        <v>1366</v>
      </c>
      <c r="C48" s="3084">
        <f ca="1">C49+C53+C55</f>
        <v>0</v>
      </c>
      <c r="D48" s="1272"/>
      <c r="E48" s="1273"/>
      <c r="F48" s="1093"/>
      <c r="G48" s="731"/>
      <c r="H48" s="732"/>
      <c r="I48" s="1605" t="s">
        <v>1495</v>
      </c>
      <c r="J48" s="1606" t="s">
        <v>3096</v>
      </c>
      <c r="K48" s="1607" t="s">
        <v>1496</v>
      </c>
      <c r="L48" s="1608">
        <f ca="1">INDIRECT("'数据-取费表'!f"&amp;$G$1)</f>
        <v>30.64</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2003</v>
      </c>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42</v>
      </c>
      <c r="K51" s="1618" t="s">
        <v>1506</v>
      </c>
      <c r="L51" s="1619">
        <f ca="1">ROUND(-PV(INDIRECT("'数据-取费表'!h"&amp;$G$1),J51,(C39-C13*C76),0),0)</f>
        <v>143641</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30.64</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5">
        <f ca="1">IF(M47="住宅",IF(D1="——",MAX(J51,L48),MAX(J51,L48-'数据-取费表'!B24)),IF(D1="——",MIN(J51,L48),MIN(J51,L48-'数据-取费表'!B24)))</f>
        <v>30.64</v>
      </c>
      <c r="K53" s="3292" t="s">
        <v>1513</v>
      </c>
      <c r="L53" s="3293"/>
      <c r="O53" s="1602" t="s">
        <v>1014</v>
      </c>
      <c r="P53" s="1603" t="s">
        <v>1514</v>
      </c>
      <c r="Q53" s="1604">
        <f ca="1">Q47+Q48</f>
        <v>139615</v>
      </c>
      <c r="R53" s="1604" t="s">
        <v>1015</v>
      </c>
    </row>
    <row r="54" spans="1:18" s="1568" customFormat="1" ht="13.5" thickBot="1">
      <c r="A54" s="1106"/>
      <c r="B54" s="1658" t="s">
        <v>1568</v>
      </c>
      <c r="C54" s="1090"/>
      <c r="D54" s="1550"/>
      <c r="E54" s="307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77"/>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t="s">
        <v>3077</v>
      </c>
      <c r="K56" s="1605" t="s">
        <v>1520</v>
      </c>
      <c r="L56" s="1608" t="str">
        <f ca="1">IF(L48&lt;J51,"——",L48-J51)</f>
        <v>——</v>
      </c>
      <c r="O56" s="1602" t="s">
        <v>1008</v>
      </c>
      <c r="P56" s="1603" t="s">
        <v>1493</v>
      </c>
      <c r="Q56" s="1604">
        <f ca="1">C40+J29</f>
        <v>139615</v>
      </c>
      <c r="R56" s="1604" t="s">
        <v>1494</v>
      </c>
    </row>
    <row r="57" spans="1:18" s="1568" customFormat="1" ht="24.75" thickBot="1">
      <c r="A57" s="1635"/>
      <c r="B57" s="1081" t="s">
        <v>1443</v>
      </c>
      <c r="C57" s="244">
        <f ca="1">C29</f>
        <v>0</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IF(项目基本情况!B11="自然人","——",IF(D61="按租金收入计税",ROUND(C49*F61/(1+'数据-取费表'!C42),0),IF(D61="按房产原值计税",ROUND(C57*F61*0.7,0),INDIRECT("'数据-取费表'!Aj"&amp;$G$1))))</f>
        <v>0</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f ca="1">IF(项目基本情况!B11="自然人","——",ROUND(F62*F63,0))</f>
        <v>0</v>
      </c>
      <c r="D62" s="1096" t="s">
        <v>1407</v>
      </c>
      <c r="E62" s="1081" t="s">
        <v>1408</v>
      </c>
      <c r="F62" s="331">
        <f t="shared" si="0"/>
        <v>3</v>
      </c>
      <c r="I62" s="1646" t="s">
        <v>1535</v>
      </c>
      <c r="J62" s="1647" t="s">
        <v>1536</v>
      </c>
      <c r="K62" s="1647" t="s">
        <v>1537</v>
      </c>
      <c r="L62" s="1647" t="s">
        <v>1538</v>
      </c>
      <c r="M62" s="1648" t="s">
        <v>1539</v>
      </c>
      <c r="O62" s="1602" t="s">
        <v>1014</v>
      </c>
      <c r="P62" s="1603" t="s">
        <v>1514</v>
      </c>
      <c r="Q62" s="1604">
        <f ca="1">Q56+Q57</f>
        <v>139615</v>
      </c>
      <c r="R62" s="1604" t="s">
        <v>1015</v>
      </c>
    </row>
    <row r="63" spans="1:18" s="1568" customFormat="1" ht="13.5" thickBot="1">
      <c r="A63" s="332"/>
      <c r="B63" s="1087"/>
      <c r="C63" s="29"/>
      <c r="D63" s="1097"/>
      <c r="E63" s="1081" t="s">
        <v>1412</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ROUND(C57*F64,0)</f>
        <v>0</v>
      </c>
      <c r="D64" s="1095" t="s">
        <v>1447</v>
      </c>
      <c r="E64" s="1081" t="s">
        <v>1387</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1387</v>
      </c>
      <c r="F65" s="336">
        <f t="shared" ca="1" si="0"/>
        <v>1.5E-3</v>
      </c>
      <c r="I65" s="1646" t="s">
        <v>1544</v>
      </c>
      <c r="J65" s="1647">
        <v>40</v>
      </c>
      <c r="K65" s="1647">
        <v>30</v>
      </c>
      <c r="L65" s="1647">
        <v>50</v>
      </c>
      <c r="M65" s="1649">
        <v>0.02</v>
      </c>
      <c r="O65" s="1602" t="s">
        <v>1008</v>
      </c>
      <c r="P65" s="1603" t="s">
        <v>1493</v>
      </c>
      <c r="Q65" s="1604">
        <f ca="1">C40+J29</f>
        <v>139615</v>
      </c>
      <c r="R65" s="1604" t="s">
        <v>1494</v>
      </c>
    </row>
    <row r="66" spans="1:18" s="1568" customFormat="1" ht="16.5" thickBot="1">
      <c r="A66" s="1113" t="s">
        <v>1469</v>
      </c>
      <c r="B66" s="1081" t="s">
        <v>1404</v>
      </c>
      <c r="C66" s="24">
        <f ca="1">ROUND(C48*F66,0)</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143641</v>
      </c>
      <c r="R67" s="1604" t="s">
        <v>1547</v>
      </c>
    </row>
    <row r="68" spans="1:18" s="1568" customFormat="1" ht="16.5" thickBot="1">
      <c r="A68" s="1078" t="s">
        <v>1000</v>
      </c>
      <c r="B68" s="1079" t="s">
        <v>1450</v>
      </c>
      <c r="C68" s="307">
        <f ca="1">ROUND(C67*(1-((1+F70)/(1+F68))^F69)/(F68-F70),0)</f>
        <v>0</v>
      </c>
      <c r="D68" s="1096" t="s">
        <v>1434</v>
      </c>
      <c r="E68" s="1081" t="s">
        <v>1435</v>
      </c>
      <c r="F68" s="318">
        <f ca="1">F40</f>
        <v>0.05</v>
      </c>
      <c r="O68" s="1612" t="s">
        <v>1011</v>
      </c>
      <c r="P68" s="1651" t="s">
        <v>1548</v>
      </c>
      <c r="Q68" s="1604">
        <f ca="1">ROUND(Q69-Q70*Q71,0)</f>
        <v>7116</v>
      </c>
      <c r="R68" s="1604" t="s">
        <v>1019</v>
      </c>
    </row>
    <row r="69" spans="1:18" s="1568" customFormat="1" ht="13.5" thickBot="1">
      <c r="A69" s="1082"/>
      <c r="B69" s="1083"/>
      <c r="C69" s="312"/>
      <c r="D69" s="1101" t="s">
        <v>1438</v>
      </c>
      <c r="E69" s="1081" t="s">
        <v>1439</v>
      </c>
      <c r="F69" s="339">
        <f ca="1">F41</f>
        <v>30.64</v>
      </c>
      <c r="O69" s="1612" t="s">
        <v>1016</v>
      </c>
      <c r="P69" s="1651" t="s">
        <v>1549</v>
      </c>
      <c r="Q69" s="1604">
        <f ca="1">C39</f>
        <v>7116</v>
      </c>
      <c r="R69" s="1604" t="s">
        <v>1494</v>
      </c>
    </row>
    <row r="70" spans="1:18" s="1568" customFormat="1" ht="13.5" thickBot="1">
      <c r="A70" s="1085"/>
      <c r="B70" s="1086"/>
      <c r="C70" s="316"/>
      <c r="D70" s="1097"/>
      <c r="E70" s="1081" t="s">
        <v>1442</v>
      </c>
      <c r="F70" s="1185">
        <f ca="1">F42</f>
        <v>0.02</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f ca="1">Q65+Q66</f>
        <v>139615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1</v>
      </c>
    </row>
    <row r="83" spans="2:3">
      <c r="B83" s="279" t="s">
        <v>1479</v>
      </c>
      <c r="C83" s="280">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29433</v>
      </c>
      <c r="C2" s="2" t="s">
        <v>133</v>
      </c>
      <c r="D2" s="205"/>
      <c r="E2" s="205"/>
      <c r="F2" s="205"/>
      <c r="G2" s="205"/>
    </row>
    <row r="3" spans="1:7" s="206" customFormat="1" ht="18" customHeight="1" thickBot="1">
      <c r="A3" s="209" t="s">
        <v>85</v>
      </c>
      <c r="B3" s="210">
        <f ca="1">ROUND(B2*10000/'数据-汇总表'!E3,0)</f>
        <v>122673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48</v>
      </c>
      <c r="D10" s="954">
        <f>'数据-汇总表'!E6</f>
        <v>2399.3100000000004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48</v>
      </c>
      <c r="D19" s="958">
        <f>'数据-汇总表'!E3</f>
        <v>2399.3100000000004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3161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1080</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48</v>
      </c>
      <c r="D37" s="223">
        <f>'数据-汇总表'!E3</f>
        <v>2399.3100000000004</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24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52</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51</v>
      </c>
      <c r="D42" s="244"/>
      <c r="E42" s="244"/>
      <c r="F42" s="245"/>
      <c r="G42" s="3289" t="s">
        <v>121</v>
      </c>
    </row>
    <row r="43" spans="1:7" ht="13.5" customHeight="1">
      <c r="A43" s="888" t="s">
        <v>792</v>
      </c>
      <c r="B43" s="221" t="s">
        <v>1032</v>
      </c>
      <c r="C43" s="244">
        <f ca="1">ROUND(IF('数据-取费表'!B22&lt;=1,C39*F22*'数据-取费表'!B21/2,C39*(POWER((1+F22),'数据-取费表'!B21/2)-1)),0)</f>
        <v>1</v>
      </c>
      <c r="D43" s="244"/>
      <c r="E43" s="244"/>
      <c r="F43" s="245"/>
      <c r="G43" s="3290"/>
    </row>
    <row r="44" spans="1:7" ht="13.5" customHeight="1">
      <c r="A44" s="888" t="s">
        <v>793</v>
      </c>
      <c r="B44" s="221" t="s">
        <v>1034</v>
      </c>
      <c r="C44" s="244">
        <f ca="1">ROUND(IF('数据-取费表'!B22&lt;=1,C40*F22*'数据-取费表'!B21/2,C40*(POWER((1+F22),'数据-取费表'!B21/2)-1)),4)</f>
        <v>8.9999999999999998E-4</v>
      </c>
      <c r="D44" s="244"/>
      <c r="E44" s="244"/>
      <c r="F44" s="245"/>
      <c r="G44" s="3291"/>
    </row>
    <row r="45" spans="1:7" s="220" customFormat="1" ht="13.5" customHeight="1">
      <c r="A45" s="885" t="s">
        <v>786</v>
      </c>
      <c r="B45" s="250" t="s">
        <v>112</v>
      </c>
      <c r="C45" s="251">
        <f>C46</f>
        <v>180</v>
      </c>
      <c r="D45" s="241">
        <f>C47</f>
        <v>3.0000000000000001E-3</v>
      </c>
      <c r="E45" s="242" t="s">
        <v>129</v>
      </c>
      <c r="F45" s="252"/>
      <c r="G45" s="253" t="s">
        <v>1040</v>
      </c>
    </row>
    <row r="46" spans="1:7" s="220" customFormat="1" ht="13.5" customHeight="1">
      <c r="A46" s="888" t="s">
        <v>794</v>
      </c>
      <c r="B46" s="254" t="s">
        <v>1033</v>
      </c>
      <c r="C46" s="255">
        <f>ROUND((C33+C39)*F27,0)</f>
        <v>180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1552</v>
      </c>
      <c r="D49" s="238"/>
      <c r="E49" s="238"/>
      <c r="F49" s="270"/>
      <c r="G49" s="240" t="s">
        <v>1041</v>
      </c>
    </row>
    <row r="50" spans="1:7" s="264" customFormat="1" ht="24">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1164</v>
      </c>
      <c r="D51" s="238"/>
      <c r="E51" s="238"/>
      <c r="F51" s="270"/>
      <c r="G51" s="240" t="s">
        <v>64</v>
      </c>
    </row>
    <row r="52" spans="1:7" s="214" customFormat="1" ht="16.5" thickBot="1">
      <c r="A52" s="271" t="s">
        <v>65</v>
      </c>
      <c r="B52" s="272"/>
      <c r="C52" s="273">
        <f ca="1">C31+C51</f>
        <v>29433</v>
      </c>
      <c r="D52" s="272"/>
      <c r="E52" s="272"/>
      <c r="F52" s="272"/>
      <c r="G52" s="274"/>
    </row>
    <row r="55" spans="1:7" ht="15">
      <c r="B55" s="276" t="s">
        <v>66</v>
      </c>
      <c r="C55" s="277"/>
    </row>
    <row r="56" spans="1:7">
      <c r="B56" s="279" t="s">
        <v>67</v>
      </c>
      <c r="C56" s="280">
        <f ca="1">ROUND(C51/C52,3)</f>
        <v>0.04</v>
      </c>
    </row>
    <row r="57" spans="1:7">
      <c r="B57" s="279" t="s">
        <v>68</v>
      </c>
      <c r="C57" s="281">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7" t="s">
        <v>156</v>
      </c>
      <c r="B1" s="3437"/>
      <c r="C1" s="3437"/>
      <c r="D1" s="3437"/>
      <c r="E1" s="3437"/>
      <c r="F1" s="343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8" t="s">
        <v>169</v>
      </c>
      <c r="B2" s="3438"/>
      <c r="C2" s="3438"/>
      <c r="D2" s="3438"/>
      <c r="E2" s="3438"/>
      <c r="F2" s="343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7" t="s">
        <v>839</v>
      </c>
      <c r="B1" s="343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44442</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3058</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A30" sqref="A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85" t="s">
        <v>2824</v>
      </c>
      <c r="D1" s="3386"/>
      <c r="E1" s="3386"/>
      <c r="F1" s="3386"/>
      <c r="G1" s="3386"/>
      <c r="H1" s="3386"/>
      <c r="I1" s="3386"/>
      <c r="J1" s="3386"/>
      <c r="K1" s="3386"/>
      <c r="L1" s="3386"/>
      <c r="M1" s="3386"/>
      <c r="N1" s="3386"/>
      <c r="O1" s="3386"/>
      <c r="P1" s="3386"/>
      <c r="Q1" s="3386"/>
      <c r="R1" s="3386"/>
      <c r="S1" s="3387"/>
      <c r="T1" s="1114" t="s">
        <v>2698</v>
      </c>
    </row>
    <row r="2" spans="1:45" s="663" customFormat="1" ht="25.5">
      <c r="A2" s="1115"/>
      <c r="B2" s="659" t="s">
        <v>1751</v>
      </c>
      <c r="C2" s="660" t="str">
        <f t="shared" ref="C2:R2" si="0">C3&amp;"(含)"&amp;"-"&amp;D3</f>
        <v>0(含)-30</v>
      </c>
      <c r="D2" s="661" t="str">
        <f t="shared" si="0"/>
        <v>30(含)-40</v>
      </c>
      <c r="E2" s="661" t="str">
        <f t="shared" si="0"/>
        <v>40(含)-50</v>
      </c>
      <c r="F2" s="661" t="str">
        <f t="shared" si="0"/>
        <v>50(含)-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30</v>
      </c>
      <c r="E3" s="666">
        <v>40</v>
      </c>
      <c r="F3" s="1473">
        <v>50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1">D6-$T5</f>
        <v>100</v>
      </c>
      <c r="F6" s="1484">
        <f t="shared" si="1"/>
        <v>100</v>
      </c>
      <c r="G6" s="1484">
        <f t="shared" si="1"/>
        <v>100</v>
      </c>
      <c r="H6" s="1484">
        <f t="shared" si="1"/>
        <v>100</v>
      </c>
      <c r="I6" s="1484">
        <f t="shared" si="1"/>
        <v>100</v>
      </c>
      <c r="J6" s="1484">
        <f t="shared" si="1"/>
        <v>100</v>
      </c>
      <c r="K6" s="1484">
        <f t="shared" si="1"/>
        <v>100</v>
      </c>
      <c r="L6" s="1484">
        <f t="shared" si="1"/>
        <v>100</v>
      </c>
      <c r="M6" s="1484">
        <f t="shared" si="1"/>
        <v>100</v>
      </c>
      <c r="N6" s="1484">
        <f t="shared" si="1"/>
        <v>100</v>
      </c>
      <c r="O6" s="1484">
        <f t="shared" si="1"/>
        <v>100</v>
      </c>
      <c r="P6" s="1484">
        <f t="shared" si="1"/>
        <v>100</v>
      </c>
      <c r="Q6" s="1484">
        <f t="shared" si="1"/>
        <v>100</v>
      </c>
      <c r="R6" s="1484">
        <f t="shared" si="1"/>
        <v>100</v>
      </c>
      <c r="S6" s="1484">
        <f t="shared" si="1"/>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2">D8-$T7</f>
        <v>100</v>
      </c>
      <c r="F8" s="1484">
        <f t="shared" si="2"/>
        <v>100</v>
      </c>
      <c r="G8" s="1484">
        <f t="shared" si="2"/>
        <v>100</v>
      </c>
      <c r="H8" s="1484">
        <f t="shared" si="2"/>
        <v>100</v>
      </c>
      <c r="I8" s="1484">
        <f t="shared" si="2"/>
        <v>100</v>
      </c>
      <c r="J8" s="1484">
        <f t="shared" si="2"/>
        <v>100</v>
      </c>
      <c r="K8" s="1484">
        <f t="shared" si="2"/>
        <v>100</v>
      </c>
      <c r="L8" s="1484">
        <f t="shared" si="2"/>
        <v>100</v>
      </c>
      <c r="M8" s="1484">
        <f t="shared" si="2"/>
        <v>100</v>
      </c>
      <c r="N8" s="1484">
        <f t="shared" si="2"/>
        <v>100</v>
      </c>
      <c r="O8" s="1484">
        <f t="shared" si="2"/>
        <v>100</v>
      </c>
      <c r="P8" s="1484">
        <f t="shared" si="2"/>
        <v>100</v>
      </c>
      <c r="Q8" s="1484">
        <f t="shared" si="2"/>
        <v>100</v>
      </c>
      <c r="R8" s="1484">
        <f t="shared" si="2"/>
        <v>100</v>
      </c>
      <c r="S8" s="1484">
        <f t="shared" si="2"/>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3">D10-$T9</f>
        <v>100</v>
      </c>
      <c r="F10" s="1494">
        <f t="shared" si="3"/>
        <v>100</v>
      </c>
      <c r="G10" s="1494">
        <f t="shared" si="3"/>
        <v>100</v>
      </c>
      <c r="H10" s="1494">
        <f t="shared" si="3"/>
        <v>100</v>
      </c>
      <c r="I10" s="1494">
        <f t="shared" si="3"/>
        <v>100</v>
      </c>
      <c r="J10" s="1494">
        <f t="shared" si="3"/>
        <v>100</v>
      </c>
      <c r="K10" s="1494">
        <f t="shared" si="3"/>
        <v>100</v>
      </c>
      <c r="L10" s="1494">
        <f t="shared" si="3"/>
        <v>100</v>
      </c>
      <c r="M10" s="1494">
        <f t="shared" si="3"/>
        <v>100</v>
      </c>
      <c r="N10" s="1494">
        <f t="shared" si="3"/>
        <v>100</v>
      </c>
      <c r="O10" s="1494">
        <f t="shared" si="3"/>
        <v>100</v>
      </c>
      <c r="P10" s="1494">
        <f t="shared" si="3"/>
        <v>100</v>
      </c>
      <c r="Q10" s="1494">
        <f t="shared" si="3"/>
        <v>100</v>
      </c>
      <c r="R10" s="1494">
        <f t="shared" si="3"/>
        <v>100</v>
      </c>
      <c r="S10" s="1494">
        <f t="shared" si="3"/>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4">D12-$T11</f>
        <v>100</v>
      </c>
      <c r="F12" s="1033">
        <f t="shared" si="4"/>
        <v>100</v>
      </c>
      <c r="G12" s="1033">
        <f t="shared" si="4"/>
        <v>100</v>
      </c>
      <c r="H12" s="1033">
        <f t="shared" si="4"/>
        <v>100</v>
      </c>
      <c r="I12" s="1033">
        <f t="shared" si="4"/>
        <v>100</v>
      </c>
      <c r="J12" s="1033">
        <f t="shared" si="4"/>
        <v>100</v>
      </c>
      <c r="K12" s="1033">
        <f t="shared" si="4"/>
        <v>100</v>
      </c>
      <c r="L12" s="1033">
        <f t="shared" si="4"/>
        <v>100</v>
      </c>
      <c r="M12" s="1033">
        <f t="shared" si="4"/>
        <v>100</v>
      </c>
      <c r="N12" s="1033">
        <f t="shared" si="4"/>
        <v>100</v>
      </c>
      <c r="O12" s="1033">
        <f t="shared" si="4"/>
        <v>100</v>
      </c>
      <c r="P12" s="1033">
        <f t="shared" si="4"/>
        <v>100</v>
      </c>
      <c r="Q12" s="1033">
        <f t="shared" si="4"/>
        <v>100</v>
      </c>
      <c r="R12" s="1033">
        <f>Q12-$T11</f>
        <v>100</v>
      </c>
      <c r="S12" s="1033">
        <f t="shared" si="4"/>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#DIV/0!</v>
      </c>
      <c r="C20" s="164"/>
      <c r="D20" s="2366" t="s">
        <v>70</v>
      </c>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#DIV/0!</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48.04</v>
      </c>
      <c r="C22" s="3382" t="s">
        <v>33</v>
      </c>
      <c r="D22" s="3383"/>
      <c r="E22" s="3383"/>
      <c r="F22" s="3383"/>
      <c r="G22" s="3383"/>
      <c r="H22" s="3383"/>
      <c r="I22" s="3383"/>
      <c r="J22" s="3383"/>
      <c r="K22" s="3383"/>
      <c r="L22" s="3383"/>
      <c r="M22" s="3383"/>
      <c r="N22" s="3383"/>
      <c r="O22" s="3383"/>
      <c r="P22" s="3383"/>
      <c r="Q22" s="3384"/>
      <c r="R22" s="672" t="e">
        <f ca="1">ROUND(S22*10000/B22,0)</f>
        <v>#DIV/0!</v>
      </c>
      <c r="S22" s="24" t="e">
        <f ca="1">SUM(S24:S10000)</f>
        <v>#DIV/0!</v>
      </c>
    </row>
    <row r="23" spans="1:45" s="12" customFormat="1" ht="24">
      <c r="A23" s="3060" t="s">
        <v>2840</v>
      </c>
      <c r="B23" s="3060" t="s">
        <v>2841</v>
      </c>
      <c r="C23" s="3060" t="s">
        <v>2842</v>
      </c>
      <c r="D23" s="3060" t="str">
        <f>B5</f>
        <v>修正项2</v>
      </c>
      <c r="E23" s="3060" t="s">
        <v>2842</v>
      </c>
      <c r="F23" s="3060" t="str">
        <f>B7</f>
        <v>修正项3</v>
      </c>
      <c r="G23" s="3060" t="s">
        <v>2842</v>
      </c>
      <c r="H23" s="3060" t="str">
        <f>B9</f>
        <v>修正项4</v>
      </c>
      <c r="I23" s="3060" t="s">
        <v>2842</v>
      </c>
      <c r="J23" s="3060" t="str">
        <f>B11</f>
        <v>修正项5</v>
      </c>
      <c r="K23" s="3060" t="s">
        <v>2842</v>
      </c>
      <c r="L23" s="3060" t="str">
        <f>B13</f>
        <v>修正项6</v>
      </c>
      <c r="M23" s="3060" t="s">
        <v>2842</v>
      </c>
      <c r="N23" s="3060" t="str">
        <f>B15</f>
        <v>修正项7</v>
      </c>
      <c r="O23" s="3060" t="s">
        <v>2842</v>
      </c>
      <c r="P23" s="3060" t="str">
        <f>B17</f>
        <v>楼层</v>
      </c>
      <c r="Q23" s="3060" t="s">
        <v>2842</v>
      </c>
      <c r="R23" s="3064" t="s">
        <v>2843</v>
      </c>
      <c r="S23" s="3060"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20</v>
      </c>
      <c r="B24" s="674">
        <v>12.01</v>
      </c>
      <c r="C24" s="3040">
        <v>1</v>
      </c>
      <c r="D24" s="3041"/>
      <c r="E24" s="3040">
        <v>1</v>
      </c>
      <c r="F24" s="3041"/>
      <c r="G24" s="3040">
        <v>1</v>
      </c>
      <c r="H24" s="3041"/>
      <c r="I24" s="3040">
        <v>1</v>
      </c>
      <c r="J24" s="3041"/>
      <c r="K24" s="3040">
        <v>1</v>
      </c>
      <c r="L24" s="3041"/>
      <c r="M24" s="3040">
        <v>1</v>
      </c>
      <c r="N24" s="3041"/>
      <c r="O24" s="3040">
        <v>1</v>
      </c>
      <c r="P24" s="3041"/>
      <c r="Q24" s="3040">
        <v>1</v>
      </c>
      <c r="R24" s="677" t="e">
        <f ca="1">'结果表-车库'!G20</f>
        <v>#DIV/0!</v>
      </c>
      <c r="S24" s="675" t="e">
        <f t="shared" ref="S24:S87" ca="1" si="5">ROUND(R24*B24/10000,0)</f>
        <v>#DIV/0!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v>21</v>
      </c>
      <c r="B25" s="57">
        <v>12.01</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t="e">
        <f ca="1">IF(B25="",0,ROUND($R$24*C25*E25*G25*I25*K25*M25*O25*Q25,0))</f>
        <v>#DIV/0!</v>
      </c>
      <c r="S25" s="322" t="e">
        <f t="shared" ca="1" si="5"/>
        <v>#DIV/0!</v>
      </c>
    </row>
    <row r="26" spans="1:45">
      <c r="A26" s="155">
        <v>22</v>
      </c>
      <c r="B26" s="57">
        <v>12.01</v>
      </c>
      <c r="C26" s="24">
        <f t="shared" ref="C26:C89" si="6">IF(B26="",1,(LOOKUP(B26,$3:$3,$4:$4)-LOOKUP($B$24,$3:$3,$4:$4)+100)/100)</f>
        <v>1</v>
      </c>
      <c r="D26" s="676"/>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t="e">
        <f t="shared" ref="R26:R89" ca="1" si="14">IF(B26="",0,ROUND($R$24*C26*E26*G26*I26*K26*M26*O26*Q26,0))</f>
        <v>#DIV/0!</v>
      </c>
      <c r="S26" s="322" t="e">
        <f t="shared" ca="1" si="5"/>
        <v>#DIV/0!</v>
      </c>
    </row>
    <row r="27" spans="1:45">
      <c r="A27" s="155">
        <v>23</v>
      </c>
      <c r="B27" s="57">
        <v>12.01</v>
      </c>
      <c r="C27" s="24">
        <f t="shared" si="6"/>
        <v>1</v>
      </c>
      <c r="D27" s="676"/>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t="e">
        <f t="shared" ca="1" si="14"/>
        <v>#DIV/0!</v>
      </c>
      <c r="S27" s="322" t="e">
        <f t="shared" ca="1" si="5"/>
        <v>#DIV/0!</v>
      </c>
    </row>
    <row r="28" spans="1:45">
      <c r="A28" s="155"/>
      <c r="B28" s="57"/>
      <c r="C28" s="24">
        <f t="shared" si="6"/>
        <v>1</v>
      </c>
      <c r="D28" s="676"/>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si="14"/>
        <v>0</v>
      </c>
      <c r="S28" s="322">
        <f t="shared" si="5"/>
        <v>0</v>
      </c>
    </row>
    <row r="29" spans="1:45">
      <c r="A29" s="155"/>
      <c r="B29" s="57"/>
      <c r="C29" s="24">
        <f t="shared" si="6"/>
        <v>1</v>
      </c>
      <c r="D29" s="676"/>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si="14"/>
        <v>0</v>
      </c>
      <c r="S29" s="322">
        <f t="shared" si="5"/>
        <v>0</v>
      </c>
    </row>
    <row r="30" spans="1:45">
      <c r="A30" s="155"/>
      <c r="B30" s="57"/>
      <c r="C30" s="24">
        <f t="shared" si="6"/>
        <v>1</v>
      </c>
      <c r="D30" s="676"/>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si="14"/>
        <v>0</v>
      </c>
      <c r="S30" s="322">
        <f t="shared" si="5"/>
        <v>0</v>
      </c>
    </row>
    <row r="31" spans="1:45">
      <c r="A31" s="155"/>
      <c r="B31" s="57"/>
      <c r="C31" s="24">
        <f t="shared" si="6"/>
        <v>1</v>
      </c>
      <c r="D31" s="676"/>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si="14"/>
        <v>0</v>
      </c>
      <c r="S31" s="322">
        <f t="shared" si="5"/>
        <v>0</v>
      </c>
    </row>
    <row r="32" spans="1:45">
      <c r="A32" s="155"/>
      <c r="B32" s="57"/>
      <c r="C32" s="24">
        <f t="shared" si="6"/>
        <v>1</v>
      </c>
      <c r="D32" s="676"/>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si="14"/>
        <v>0</v>
      </c>
      <c r="S32" s="322">
        <f t="shared" si="5"/>
        <v>0</v>
      </c>
    </row>
    <row r="33" spans="1:19">
      <c r="A33" s="155"/>
      <c r="B33" s="57"/>
      <c r="C33" s="24">
        <f t="shared" si="6"/>
        <v>1</v>
      </c>
      <c r="D33" s="676"/>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si="14"/>
        <v>0</v>
      </c>
      <c r="S33" s="322">
        <f t="shared" si="5"/>
        <v>0</v>
      </c>
    </row>
    <row r="34" spans="1:19">
      <c r="A34" s="155"/>
      <c r="B34" s="57"/>
      <c r="C34" s="24">
        <f t="shared" si="6"/>
        <v>1</v>
      </c>
      <c r="D34" s="676"/>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si="14"/>
        <v>0</v>
      </c>
      <c r="S34" s="322">
        <f t="shared" si="5"/>
        <v>0</v>
      </c>
    </row>
    <row r="35" spans="1:19">
      <c r="A35" s="155"/>
      <c r="B35" s="57"/>
      <c r="C35" s="24">
        <f t="shared" si="6"/>
        <v>1</v>
      </c>
      <c r="D35" s="676"/>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si="14"/>
        <v>0</v>
      </c>
      <c r="S35" s="322">
        <f t="shared" si="5"/>
        <v>0</v>
      </c>
    </row>
    <row r="36" spans="1:19">
      <c r="A36" s="155"/>
      <c r="B36" s="57"/>
      <c r="C36" s="24">
        <f t="shared" si="6"/>
        <v>1</v>
      </c>
      <c r="D36" s="676"/>
      <c r="E36" s="24">
        <f t="shared" si="7"/>
        <v>1</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si="14"/>
        <v>0</v>
      </c>
      <c r="S36" s="322">
        <f t="shared" si="5"/>
        <v>0</v>
      </c>
    </row>
    <row r="37" spans="1:19">
      <c r="A37" s="155"/>
      <c r="B37" s="57"/>
      <c r="C37" s="24">
        <f t="shared" si="6"/>
        <v>1</v>
      </c>
      <c r="D37" s="676"/>
      <c r="E37" s="24">
        <f t="shared" si="7"/>
        <v>1</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si="14"/>
        <v>0</v>
      </c>
      <c r="S37" s="322">
        <f t="shared" si="5"/>
        <v>0</v>
      </c>
    </row>
    <row r="38" spans="1:19">
      <c r="A38" s="155"/>
      <c r="B38" s="57"/>
      <c r="C38" s="24">
        <f t="shared" si="6"/>
        <v>1</v>
      </c>
      <c r="D38" s="676"/>
      <c r="E38" s="24">
        <f t="shared" si="7"/>
        <v>1</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si="14"/>
        <v>0</v>
      </c>
      <c r="S38" s="322">
        <f t="shared" si="5"/>
        <v>0</v>
      </c>
    </row>
    <row r="39" spans="1:19">
      <c r="A39" s="155"/>
      <c r="B39" s="57"/>
      <c r="C39" s="24">
        <f t="shared" si="6"/>
        <v>1</v>
      </c>
      <c r="D39" s="676"/>
      <c r="E39" s="24">
        <f t="shared" si="7"/>
        <v>1</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si="14"/>
        <v>0</v>
      </c>
      <c r="S39" s="322">
        <f t="shared" si="5"/>
        <v>0</v>
      </c>
    </row>
    <row r="40" spans="1:19">
      <c r="A40" s="155"/>
      <c r="B40" s="57"/>
      <c r="C40" s="24">
        <f t="shared" si="6"/>
        <v>1</v>
      </c>
      <c r="D40" s="676"/>
      <c r="E40" s="24">
        <f t="shared" si="7"/>
        <v>1</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si="14"/>
        <v>0</v>
      </c>
      <c r="S40" s="322">
        <f t="shared" si="5"/>
        <v>0</v>
      </c>
    </row>
    <row r="41" spans="1:19">
      <c r="A41" s="155"/>
      <c r="B41" s="57"/>
      <c r="C41" s="24">
        <f t="shared" si="6"/>
        <v>1</v>
      </c>
      <c r="D41" s="676"/>
      <c r="E41" s="24">
        <f t="shared" si="7"/>
        <v>1</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si="14"/>
        <v>0</v>
      </c>
      <c r="S41" s="322">
        <f t="shared" si="5"/>
        <v>0</v>
      </c>
    </row>
    <row r="42" spans="1:19">
      <c r="A42" s="155"/>
      <c r="B42" s="57"/>
      <c r="C42" s="24">
        <f t="shared" si="6"/>
        <v>1</v>
      </c>
      <c r="D42" s="676"/>
      <c r="E42" s="24">
        <f t="shared" si="7"/>
        <v>1</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si="14"/>
        <v>0</v>
      </c>
      <c r="S42" s="322">
        <f t="shared" si="5"/>
        <v>0</v>
      </c>
    </row>
    <row r="43" spans="1:19">
      <c r="A43" s="155"/>
      <c r="B43" s="57"/>
      <c r="C43" s="24">
        <f t="shared" si="6"/>
        <v>1</v>
      </c>
      <c r="D43" s="676"/>
      <c r="E43" s="24">
        <f t="shared" si="7"/>
        <v>1</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si="14"/>
        <v>0</v>
      </c>
      <c r="S43" s="322">
        <f t="shared" si="5"/>
        <v>0</v>
      </c>
    </row>
    <row r="44" spans="1:19">
      <c r="A44" s="155"/>
      <c r="B44" s="57"/>
      <c r="C44" s="24">
        <f t="shared" si="6"/>
        <v>1</v>
      </c>
      <c r="D44" s="676"/>
      <c r="E44" s="24">
        <f t="shared" si="7"/>
        <v>1</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si="14"/>
        <v>0</v>
      </c>
      <c r="S44" s="322">
        <f t="shared" si="5"/>
        <v>0</v>
      </c>
    </row>
    <row r="45" spans="1:19">
      <c r="A45" s="155"/>
      <c r="B45" s="57"/>
      <c r="C45" s="24">
        <f t="shared" si="6"/>
        <v>1</v>
      </c>
      <c r="D45" s="676"/>
      <c r="E45" s="24">
        <f t="shared" si="7"/>
        <v>1</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si="14"/>
        <v>0</v>
      </c>
      <c r="S45" s="322">
        <f t="shared" si="5"/>
        <v>0</v>
      </c>
    </row>
    <row r="46" spans="1:19">
      <c r="A46" s="155"/>
      <c r="B46" s="57"/>
      <c r="C46" s="24">
        <f t="shared" si="6"/>
        <v>1</v>
      </c>
      <c r="D46" s="676"/>
      <c r="E46" s="24">
        <f t="shared" si="7"/>
        <v>1</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si="14"/>
        <v>0</v>
      </c>
      <c r="S46" s="322">
        <f t="shared" si="5"/>
        <v>0</v>
      </c>
    </row>
    <row r="47" spans="1:19">
      <c r="A47" s="155"/>
      <c r="B47" s="57"/>
      <c r="C47" s="24">
        <f t="shared" si="6"/>
        <v>1</v>
      </c>
      <c r="D47" s="676"/>
      <c r="E47" s="24">
        <f t="shared" si="7"/>
        <v>1</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si="14"/>
        <v>0</v>
      </c>
      <c r="S47" s="322">
        <f t="shared" si="5"/>
        <v>0</v>
      </c>
    </row>
    <row r="48" spans="1:19">
      <c r="A48" s="155"/>
      <c r="B48" s="57"/>
      <c r="C48" s="24">
        <f t="shared" si="6"/>
        <v>1</v>
      </c>
      <c r="D48" s="676"/>
      <c r="E48" s="24">
        <f t="shared" si="7"/>
        <v>1</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si="14"/>
        <v>0</v>
      </c>
      <c r="S48" s="322">
        <f t="shared" si="5"/>
        <v>0</v>
      </c>
    </row>
    <row r="49" spans="1:19">
      <c r="A49" s="155"/>
      <c r="B49" s="57"/>
      <c r="C49" s="24">
        <f t="shared" si="6"/>
        <v>1</v>
      </c>
      <c r="D49" s="676"/>
      <c r="E49" s="24">
        <f t="shared" si="7"/>
        <v>1</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si="14"/>
        <v>0</v>
      </c>
      <c r="S49" s="322">
        <f t="shared" si="5"/>
        <v>0</v>
      </c>
    </row>
    <row r="50" spans="1:19">
      <c r="A50" s="155"/>
      <c r="B50" s="57"/>
      <c r="C50" s="24">
        <f t="shared" si="6"/>
        <v>1</v>
      </c>
      <c r="D50" s="676"/>
      <c r="E50" s="24">
        <f t="shared" si="7"/>
        <v>1</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si="14"/>
        <v>0</v>
      </c>
      <c r="S50" s="322">
        <f t="shared" si="5"/>
        <v>0</v>
      </c>
    </row>
    <row r="51" spans="1:19">
      <c r="A51" s="155"/>
      <c r="B51" s="57"/>
      <c r="C51" s="24">
        <f t="shared" si="6"/>
        <v>1</v>
      </c>
      <c r="D51" s="676"/>
      <c r="E51" s="24">
        <f t="shared" si="7"/>
        <v>1</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si="14"/>
        <v>0</v>
      </c>
      <c r="S51" s="322">
        <f t="shared" si="5"/>
        <v>0</v>
      </c>
    </row>
    <row r="52" spans="1:19">
      <c r="A52" s="155"/>
      <c r="B52" s="57"/>
      <c r="C52" s="24">
        <f t="shared" si="6"/>
        <v>1</v>
      </c>
      <c r="D52" s="676"/>
      <c r="E52" s="24">
        <f t="shared" si="7"/>
        <v>1</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si="14"/>
        <v>0</v>
      </c>
      <c r="S52" s="322">
        <f t="shared" si="5"/>
        <v>0</v>
      </c>
    </row>
    <row r="53" spans="1:19">
      <c r="A53" s="155"/>
      <c r="B53" s="57"/>
      <c r="C53" s="24">
        <f t="shared" si="6"/>
        <v>1</v>
      </c>
      <c r="D53" s="676"/>
      <c r="E53" s="24">
        <f t="shared" si="7"/>
        <v>1</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si="14"/>
        <v>0</v>
      </c>
      <c r="S53" s="322">
        <f t="shared" si="5"/>
        <v>0</v>
      </c>
    </row>
    <row r="54" spans="1:19">
      <c r="A54" s="155"/>
      <c r="B54" s="57"/>
      <c r="C54" s="24">
        <f t="shared" si="6"/>
        <v>1</v>
      </c>
      <c r="D54" s="676"/>
      <c r="E54" s="24">
        <f t="shared" si="7"/>
        <v>1</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si="14"/>
        <v>0</v>
      </c>
      <c r="S54" s="322">
        <f t="shared" si="5"/>
        <v>0</v>
      </c>
    </row>
    <row r="55" spans="1:19">
      <c r="A55" s="155"/>
      <c r="B55" s="57"/>
      <c r="C55" s="24">
        <f t="shared" si="6"/>
        <v>1</v>
      </c>
      <c r="D55" s="676"/>
      <c r="E55" s="24">
        <f t="shared" si="7"/>
        <v>1</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si="14"/>
        <v>0</v>
      </c>
      <c r="S55" s="322">
        <f t="shared" si="5"/>
        <v>0</v>
      </c>
    </row>
    <row r="56" spans="1:19">
      <c r="A56" s="155"/>
      <c r="B56" s="57"/>
      <c r="C56" s="24">
        <f t="shared" si="6"/>
        <v>1</v>
      </c>
      <c r="D56" s="676"/>
      <c r="E56" s="24">
        <f t="shared" si="7"/>
        <v>1</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si="14"/>
        <v>0</v>
      </c>
      <c r="S56" s="322">
        <f t="shared" si="5"/>
        <v>0</v>
      </c>
    </row>
    <row r="57" spans="1:19">
      <c r="A57" s="155"/>
      <c r="B57" s="57"/>
      <c r="C57" s="24">
        <f t="shared" si="6"/>
        <v>1</v>
      </c>
      <c r="D57" s="676"/>
      <c r="E57" s="24">
        <f t="shared" si="7"/>
        <v>1</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si="14"/>
        <v>0</v>
      </c>
      <c r="S57" s="322">
        <f t="shared" si="5"/>
        <v>0</v>
      </c>
    </row>
    <row r="58" spans="1:19">
      <c r="A58" s="155"/>
      <c r="B58" s="57"/>
      <c r="C58" s="24">
        <f t="shared" si="6"/>
        <v>1</v>
      </c>
      <c r="D58" s="676"/>
      <c r="E58" s="24">
        <f t="shared" si="7"/>
        <v>1</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si="14"/>
        <v>0</v>
      </c>
      <c r="S58" s="322">
        <f t="shared" si="5"/>
        <v>0</v>
      </c>
    </row>
    <row r="59" spans="1:19">
      <c r="A59" s="155"/>
      <c r="B59" s="57"/>
      <c r="C59" s="24">
        <f t="shared" si="6"/>
        <v>1</v>
      </c>
      <c r="D59" s="676"/>
      <c r="E59" s="24">
        <f t="shared" si="7"/>
        <v>1</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si="14"/>
        <v>0</v>
      </c>
      <c r="S59" s="322">
        <f t="shared" si="5"/>
        <v>0</v>
      </c>
    </row>
    <row r="60" spans="1:19">
      <c r="A60" s="155"/>
      <c r="B60" s="57"/>
      <c r="C60" s="24">
        <f t="shared" si="6"/>
        <v>1</v>
      </c>
      <c r="D60" s="676"/>
      <c r="E60" s="24">
        <f t="shared" si="7"/>
        <v>1</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si="14"/>
        <v>0</v>
      </c>
      <c r="S60" s="322">
        <f t="shared" si="5"/>
        <v>0</v>
      </c>
    </row>
    <row r="61" spans="1:19">
      <c r="A61" s="155"/>
      <c r="B61" s="57"/>
      <c r="C61" s="24">
        <f t="shared" si="6"/>
        <v>1</v>
      </c>
      <c r="D61" s="676"/>
      <c r="E61" s="24">
        <f t="shared" si="7"/>
        <v>1</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1</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1</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1</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1</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1</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1</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1</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1</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1</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1</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1</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1</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1</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1</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1</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1</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1</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1</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1</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1</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1</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1</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1</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1</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1</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1</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1</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1</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1</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1</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1</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1</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1</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1</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1</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1</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1</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1</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1</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1</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1</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1</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1</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1</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1</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1</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1</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1</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1</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1</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1</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1</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1</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1</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1</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1</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1</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1</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1</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1</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1</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1</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1</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1</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1</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1</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1</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1</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1</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1</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1</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1</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1</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1</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1</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1</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1</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1</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1</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1</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1</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1</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1</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1</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1</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1</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1</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1</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1</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1</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1</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1</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1</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1</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1</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1</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1</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1</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1</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1</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1</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1</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1</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1</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1</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1</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1</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1</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1</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1</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1</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1</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1</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1</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1</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1</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1</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1</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1</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1</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1</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1</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1</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1</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1</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1</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1</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1</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1</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1</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1</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1</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1</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1</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1</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1</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1</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1</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1</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1</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1</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1</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1</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1</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1</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1</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1</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1</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1</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1</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1</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1</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1</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1</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1</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1</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1</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1</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1</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1</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1</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1</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1</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1</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1</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1</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1</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1</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1</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1</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1</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1</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1</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1</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1</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1</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1</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1</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1</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1</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1</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1</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1</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1</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1</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1</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1</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1</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1</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1</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1</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1</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1</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1</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1</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1</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1</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1</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1</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1</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1</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1</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1</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1</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1</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1</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1</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1</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1</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1</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1</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1</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1</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1</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1</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1</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1</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1</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1</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1</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1</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1</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1</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1</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1</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1</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1</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1</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1</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1</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1</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1</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1</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1</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1</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1</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1</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1</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1</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1</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1</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1</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1</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1</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1</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1</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1</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1</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1</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1</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1</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1</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1</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1</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1</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1</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1</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1</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1</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1</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1</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1</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1</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1</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1</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1</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1</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1</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1</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1</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1</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1</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1</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1</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1</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1</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1</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1</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1</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1</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1</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1</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1</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1</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1</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1</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1</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1</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1</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1</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1</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1</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1</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1</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1</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1</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1</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1</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1</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1</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1</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1</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1</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1</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1</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1</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1</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1</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1</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1</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1</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1</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1</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1</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1</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1</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1</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1</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1</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1</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1</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1</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1</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1</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1</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1</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1</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1</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1</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1</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1</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1</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1</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1</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1</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1</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1</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1</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1</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1</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1</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1</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1</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1</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1</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1</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1</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1</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1</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1</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1</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1</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1</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1</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1</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1</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1</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1</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1</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1</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1</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1</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1</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1</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1</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1</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1</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1</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1</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1</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1</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1</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1</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1</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1</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1</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1</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1</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1</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1</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1</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1</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1</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1</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1</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1</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1</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1</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1</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1</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1</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1</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1</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1</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1</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1</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1</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1</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1</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1</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1</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1</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1</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1</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1</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1</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1</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1</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1</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1</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1</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1</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1</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1</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1</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1</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1</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1</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1</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1</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1</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1</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1</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1</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1</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1</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1</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1</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1</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1</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1</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1</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1</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1</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1</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1</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1</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1</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1</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1</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1</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1</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1</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1</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1</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1</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1</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1</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1</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1</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1</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1</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1</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1</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1</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1</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1</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1</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1</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1</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1</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1</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1</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2"/>
  <sheetViews>
    <sheetView tabSelected="1" topLeftCell="E13" workbookViewId="0">
      <selection activeCell="E38" sqref="E38:J41"/>
    </sheetView>
  </sheetViews>
  <sheetFormatPr defaultRowHeight="13.5"/>
  <cols>
    <col min="1" max="1" width="14" customWidth="1"/>
    <col min="2" max="2" width="12.375" customWidth="1"/>
    <col min="3" max="3" width="25.125" customWidth="1"/>
    <col min="4" max="4" width="12.25" bestFit="1" customWidth="1"/>
    <col min="5" max="5" width="12.25" customWidth="1"/>
    <col min="6" max="6" width="16.125" customWidth="1"/>
    <col min="7" max="7" width="11.125" bestFit="1" customWidth="1"/>
  </cols>
  <sheetData>
    <row r="2" spans="1:6">
      <c r="B2" s="3086" t="s">
        <v>3062</v>
      </c>
      <c r="C2" s="3086" t="s">
        <v>3070</v>
      </c>
      <c r="D2" s="3086" t="s">
        <v>3071</v>
      </c>
      <c r="E2" s="3086" t="s">
        <v>3072</v>
      </c>
      <c r="F2" s="3086" t="s">
        <v>3073</v>
      </c>
    </row>
    <row r="3" spans="1:6">
      <c r="A3" s="3443" t="s">
        <v>3137</v>
      </c>
      <c r="B3">
        <v>401</v>
      </c>
      <c r="C3" s="3086" t="s">
        <v>3064</v>
      </c>
      <c r="D3">
        <v>271.27999999999997</v>
      </c>
      <c r="E3" s="3442">
        <v>213.27</v>
      </c>
      <c r="F3" s="3441" t="s">
        <v>3076</v>
      </c>
    </row>
    <row r="4" spans="1:6" ht="13.5" customHeight="1">
      <c r="A4" s="3444"/>
      <c r="B4">
        <v>407</v>
      </c>
      <c r="C4" s="3086" t="s">
        <v>3066</v>
      </c>
      <c r="D4">
        <v>528.58000000000004</v>
      </c>
      <c r="E4" s="3442"/>
      <c r="F4" s="3442"/>
    </row>
    <row r="5" spans="1:6">
      <c r="A5" s="3444"/>
      <c r="B5">
        <v>106</v>
      </c>
      <c r="C5" s="3086" t="s">
        <v>3067</v>
      </c>
      <c r="D5">
        <v>70.41</v>
      </c>
      <c r="E5" s="3442"/>
      <c r="F5" s="3442"/>
    </row>
    <row r="6" spans="1:6">
      <c r="A6" s="3443" t="s">
        <v>3138</v>
      </c>
      <c r="B6">
        <v>402</v>
      </c>
      <c r="C6" s="3443" t="s">
        <v>3065</v>
      </c>
      <c r="D6">
        <v>176.26</v>
      </c>
      <c r="E6" s="3442">
        <v>374.72</v>
      </c>
      <c r="F6" s="3441" t="s">
        <v>3075</v>
      </c>
    </row>
    <row r="7" spans="1:6">
      <c r="A7" s="3444"/>
      <c r="B7" s="3086" t="s">
        <v>3063</v>
      </c>
      <c r="C7" s="3443"/>
      <c r="D7">
        <v>839.71</v>
      </c>
      <c r="E7" s="3442"/>
      <c r="F7" s="3442"/>
    </row>
    <row r="8" spans="1:6">
      <c r="A8" s="3444"/>
      <c r="B8">
        <v>405</v>
      </c>
      <c r="C8" s="3443"/>
      <c r="D8">
        <v>212.41</v>
      </c>
      <c r="E8" s="3442"/>
      <c r="F8" s="3442"/>
    </row>
    <row r="9" spans="1:6">
      <c r="A9" s="3444"/>
      <c r="B9">
        <v>406</v>
      </c>
      <c r="C9" s="3443"/>
      <c r="D9">
        <v>212.53</v>
      </c>
      <c r="E9" s="3442"/>
      <c r="F9" s="3442"/>
    </row>
    <row r="10" spans="1:6">
      <c r="A10" s="3444"/>
      <c r="B10">
        <v>408</v>
      </c>
      <c r="C10" s="3443"/>
      <c r="D10">
        <v>88.13</v>
      </c>
      <c r="E10" s="3442"/>
      <c r="F10" s="3442"/>
    </row>
    <row r="11" spans="1:6">
      <c r="B11" s="3086" t="s">
        <v>3068</v>
      </c>
      <c r="C11" s="3086" t="s">
        <v>3069</v>
      </c>
      <c r="D11">
        <f>12.01*4</f>
        <v>48.04</v>
      </c>
      <c r="E11">
        <v>11.77</v>
      </c>
      <c r="F11" s="3086" t="s">
        <v>3074</v>
      </c>
    </row>
    <row r="12" spans="1:6">
      <c r="D12">
        <f>SUM(D3:D11)</f>
        <v>2447.3500000000004</v>
      </c>
      <c r="E12">
        <f>SUM(E3:E11)</f>
        <v>599.76</v>
      </c>
    </row>
    <row r="16" spans="1:6">
      <c r="D16">
        <f>D3+D4+D5</f>
        <v>870.27</v>
      </c>
      <c r="E16">
        <f>E3</f>
        <v>213.27</v>
      </c>
    </row>
    <row r="17" spans="1:10">
      <c r="D17">
        <f>D6+D7+D8+D9+D10</f>
        <v>1529.04</v>
      </c>
      <c r="E17">
        <f>E6</f>
        <v>374.72</v>
      </c>
    </row>
    <row r="18" spans="1:10">
      <c r="D18">
        <f>D11</f>
        <v>48.04</v>
      </c>
      <c r="E18">
        <f>E11</f>
        <v>11.77</v>
      </c>
    </row>
    <row r="19" spans="1:10">
      <c r="A19" s="3"/>
    </row>
    <row r="20" spans="1:10">
      <c r="A20" s="3"/>
    </row>
    <row r="21" spans="1:10">
      <c r="A21" s="3"/>
    </row>
    <row r="22" spans="1:10" ht="14.25">
      <c r="A22" s="3"/>
      <c r="B22" s="3207" t="s">
        <v>2129</v>
      </c>
      <c r="C22" s="3211" t="s">
        <v>2130</v>
      </c>
      <c r="D22" s="3211" t="s">
        <v>2131</v>
      </c>
      <c r="E22" s="3217" t="s">
        <v>2132</v>
      </c>
      <c r="F22" s="3218"/>
      <c r="G22" s="3249" t="s">
        <v>2133</v>
      </c>
      <c r="H22" s="3249"/>
      <c r="I22" s="3207" t="s">
        <v>2134</v>
      </c>
      <c r="J22" s="3207"/>
    </row>
    <row r="23" spans="1:10" ht="14.25">
      <c r="A23" s="3"/>
      <c r="B23" s="3207"/>
      <c r="C23" s="3212"/>
      <c r="D23" s="3212"/>
      <c r="E23" s="3096" t="s">
        <v>2135</v>
      </c>
      <c r="F23" s="3096" t="s">
        <v>2136</v>
      </c>
      <c r="G23" s="3096" t="s">
        <v>2135</v>
      </c>
      <c r="H23" s="3096" t="s">
        <v>2137</v>
      </c>
      <c r="I23" s="3096" t="s">
        <v>2135</v>
      </c>
      <c r="J23" s="3096" t="s">
        <v>2137</v>
      </c>
    </row>
    <row r="24" spans="1:10" ht="14.25">
      <c r="B24" s="2825">
        <f>B3</f>
        <v>401</v>
      </c>
      <c r="C24" s="3096">
        <f>D3</f>
        <v>271.27999999999997</v>
      </c>
      <c r="D24" s="3096">
        <f>ROUND(C24/$C$32*$D$32,2)</f>
        <v>66.48</v>
      </c>
      <c r="E24" s="3096">
        <f ca="1">I24-G24</f>
        <v>620</v>
      </c>
      <c r="F24" s="3096">
        <f ca="1">J24-H24</f>
        <v>22871</v>
      </c>
      <c r="G24" s="3096">
        <f ca="1">ROUND(H24*C24/10000,0)</f>
        <v>231</v>
      </c>
      <c r="H24" s="3096">
        <f ca="1">结果表!G118</f>
        <v>8515</v>
      </c>
      <c r="I24" s="3096">
        <f ca="1">典型户型修正!S24</f>
        <v>851</v>
      </c>
      <c r="J24" s="3096">
        <f ca="1">典型户型修正!R24</f>
        <v>31386</v>
      </c>
    </row>
    <row r="25" spans="1:10" ht="14.25">
      <c r="B25" s="2825">
        <f t="shared" ref="B25:B31" si="0">B4</f>
        <v>407</v>
      </c>
      <c r="C25" s="3096">
        <f t="shared" ref="C25:C31" si="1">D4</f>
        <v>528.58000000000004</v>
      </c>
      <c r="D25" s="3096">
        <f t="shared" ref="D25:D31" si="2">ROUND(C25/$C$32*$D$32,2)</f>
        <v>129.54</v>
      </c>
      <c r="E25" s="3096">
        <f t="shared" ref="E25:E31" ca="1" si="3">I25-G25</f>
        <v>1192</v>
      </c>
      <c r="F25" s="3096">
        <f ca="1">J25-H25</f>
        <v>22557</v>
      </c>
      <c r="G25" s="3096">
        <f t="shared" ref="G25:G31" ca="1" si="4">ROUND(H25*C25/10000,0)</f>
        <v>450</v>
      </c>
      <c r="H25">
        <f ca="1">H24</f>
        <v>8515</v>
      </c>
      <c r="I25" s="3096">
        <f ca="1">典型户型修正!S25</f>
        <v>1642</v>
      </c>
      <c r="J25" s="3096">
        <f ca="1">典型户型修正!R25</f>
        <v>31072</v>
      </c>
    </row>
    <row r="26" spans="1:10" ht="14.25">
      <c r="B26" s="2825">
        <f t="shared" si="0"/>
        <v>106</v>
      </c>
      <c r="C26" s="3096">
        <f t="shared" si="1"/>
        <v>70.41</v>
      </c>
      <c r="D26" s="3096">
        <f t="shared" si="2"/>
        <v>17.260000000000002</v>
      </c>
      <c r="E26" s="3096">
        <f t="shared" ca="1" si="3"/>
        <v>159</v>
      </c>
      <c r="F26" s="3096">
        <f t="shared" ref="F26:F31" ca="1" si="5">J26-H26</f>
        <v>22557</v>
      </c>
      <c r="G26" s="3096">
        <f t="shared" ca="1" si="4"/>
        <v>60</v>
      </c>
      <c r="H26">
        <f t="shared" ref="H26:H31" ca="1" si="6">H25</f>
        <v>8515</v>
      </c>
      <c r="I26" s="3096">
        <f ca="1">典型户型修正!S26</f>
        <v>219</v>
      </c>
      <c r="J26" s="3096">
        <f ca="1">典型户型修正!R26</f>
        <v>31072</v>
      </c>
    </row>
    <row r="27" spans="1:10" ht="14.25">
      <c r="B27" s="2825">
        <f t="shared" si="0"/>
        <v>402</v>
      </c>
      <c r="C27" s="3096">
        <f t="shared" si="1"/>
        <v>176.26</v>
      </c>
      <c r="D27" s="3096">
        <f t="shared" si="2"/>
        <v>43.2</v>
      </c>
      <c r="E27" s="3096">
        <f t="shared" ca="1" si="3"/>
        <v>398</v>
      </c>
      <c r="F27" s="3096">
        <f t="shared" ca="1" si="5"/>
        <v>22557</v>
      </c>
      <c r="G27" s="3096">
        <f t="shared" ca="1" si="4"/>
        <v>150</v>
      </c>
      <c r="H27">
        <f t="shared" ca="1" si="6"/>
        <v>8515</v>
      </c>
      <c r="I27" s="3096">
        <f ca="1">典型户型修正!S27</f>
        <v>548</v>
      </c>
      <c r="J27" s="3096">
        <f ca="1">典型户型修正!R27</f>
        <v>31072</v>
      </c>
    </row>
    <row r="28" spans="1:10" ht="14.25">
      <c r="B28" s="2825" t="str">
        <f t="shared" si="0"/>
        <v>403、404</v>
      </c>
      <c r="C28" s="3096">
        <f t="shared" si="1"/>
        <v>839.71</v>
      </c>
      <c r="D28" s="3096">
        <f t="shared" si="2"/>
        <v>205.78</v>
      </c>
      <c r="E28" s="3096">
        <f t="shared" ca="1" si="3"/>
        <v>1894</v>
      </c>
      <c r="F28" s="3096">
        <f t="shared" ca="1" si="5"/>
        <v>22557</v>
      </c>
      <c r="G28" s="3096">
        <f t="shared" ca="1" si="4"/>
        <v>715</v>
      </c>
      <c r="H28">
        <f t="shared" ca="1" si="6"/>
        <v>8515</v>
      </c>
      <c r="I28" s="3096">
        <f ca="1">典型户型修正!S28</f>
        <v>2609</v>
      </c>
      <c r="J28" s="3096">
        <f ca="1">典型户型修正!R28</f>
        <v>31072</v>
      </c>
    </row>
    <row r="29" spans="1:10" ht="14.25">
      <c r="B29" s="2825">
        <f t="shared" si="0"/>
        <v>405</v>
      </c>
      <c r="C29" s="3096">
        <f t="shared" si="1"/>
        <v>212.41</v>
      </c>
      <c r="D29" s="3096">
        <f t="shared" si="2"/>
        <v>52.05</v>
      </c>
      <c r="E29" s="3096">
        <f t="shared" ca="1" si="3"/>
        <v>486</v>
      </c>
      <c r="F29" s="3096">
        <f t="shared" ca="1" si="5"/>
        <v>22871</v>
      </c>
      <c r="G29" s="3096">
        <f t="shared" ca="1" si="4"/>
        <v>181</v>
      </c>
      <c r="H29">
        <f t="shared" ca="1" si="6"/>
        <v>8515</v>
      </c>
      <c r="I29" s="3096">
        <f ca="1">典型户型修正!S29</f>
        <v>667</v>
      </c>
      <c r="J29" s="3096">
        <f ca="1">典型户型修正!R29</f>
        <v>31386</v>
      </c>
    </row>
    <row r="30" spans="1:10" ht="14.25">
      <c r="B30" s="2825">
        <f t="shared" si="0"/>
        <v>406</v>
      </c>
      <c r="C30" s="3096">
        <f t="shared" si="1"/>
        <v>212.53</v>
      </c>
      <c r="D30" s="3096">
        <f t="shared" si="2"/>
        <v>52.08</v>
      </c>
      <c r="E30" s="3096">
        <f t="shared" ca="1" si="3"/>
        <v>486</v>
      </c>
      <c r="F30" s="3096">
        <f t="shared" ca="1" si="5"/>
        <v>22871</v>
      </c>
      <c r="G30" s="3096">
        <f t="shared" ca="1" si="4"/>
        <v>181</v>
      </c>
      <c r="H30">
        <f t="shared" ca="1" si="6"/>
        <v>8515</v>
      </c>
      <c r="I30" s="3096">
        <f ca="1">典型户型修正!S30</f>
        <v>667</v>
      </c>
      <c r="J30" s="3096">
        <f ca="1">典型户型修正!R30</f>
        <v>31386</v>
      </c>
    </row>
    <row r="31" spans="1:10" ht="14.25">
      <c r="B31" s="2825">
        <f t="shared" si="0"/>
        <v>408</v>
      </c>
      <c r="C31" s="3096">
        <f t="shared" si="1"/>
        <v>88.13</v>
      </c>
      <c r="D31" s="3096">
        <f t="shared" si="2"/>
        <v>21.6</v>
      </c>
      <c r="E31" s="3096">
        <f t="shared" ca="1" si="3"/>
        <v>199</v>
      </c>
      <c r="F31" s="3096">
        <f t="shared" ca="1" si="5"/>
        <v>22557</v>
      </c>
      <c r="G31" s="3096">
        <f t="shared" ca="1" si="4"/>
        <v>75</v>
      </c>
      <c r="H31">
        <f t="shared" ca="1" si="6"/>
        <v>8515</v>
      </c>
      <c r="I31" s="3096">
        <f ca="1">典型户型修正!S31</f>
        <v>274</v>
      </c>
      <c r="J31" s="3096">
        <f ca="1">典型户型修正!R31</f>
        <v>31072</v>
      </c>
    </row>
    <row r="32" spans="1:10" ht="14.25">
      <c r="C32" s="3097">
        <f>SUM(C24:C31)</f>
        <v>2399.3100000000004</v>
      </c>
      <c r="D32">
        <f>E3+E6</f>
        <v>587.99</v>
      </c>
      <c r="E32">
        <f ca="1">SUM(E24:E31)</f>
        <v>5434</v>
      </c>
      <c r="G32">
        <f t="shared" ref="G32" ca="1" si="7">SUM(G24:G31)</f>
        <v>2043</v>
      </c>
      <c r="I32">
        <f ca="1">SUM(I24:I31)</f>
        <v>7477</v>
      </c>
      <c r="J32">
        <f ca="1">典型户型修正!R22</f>
        <v>31163</v>
      </c>
    </row>
    <row r="38" spans="2:10">
      <c r="B38">
        <f>B24</f>
        <v>401</v>
      </c>
      <c r="C38">
        <f>C24</f>
        <v>271.27999999999997</v>
      </c>
      <c r="D38">
        <f t="shared" ref="D38:J38" si="8">D24</f>
        <v>66.48</v>
      </c>
      <c r="E38">
        <f t="shared" ca="1" si="8"/>
        <v>620</v>
      </c>
      <c r="F38">
        <f t="shared" ca="1" si="8"/>
        <v>22871</v>
      </c>
      <c r="G38">
        <f t="shared" ca="1" si="8"/>
        <v>231</v>
      </c>
      <c r="H38">
        <f t="shared" ca="1" si="8"/>
        <v>8515</v>
      </c>
      <c r="I38">
        <f t="shared" ca="1" si="8"/>
        <v>851</v>
      </c>
      <c r="J38">
        <f t="shared" ca="1" si="8"/>
        <v>31386</v>
      </c>
    </row>
    <row r="39" spans="2:10">
      <c r="B39">
        <f t="shared" ref="B39:C40" si="9">B25</f>
        <v>407</v>
      </c>
      <c r="C39">
        <f t="shared" si="9"/>
        <v>528.58000000000004</v>
      </c>
      <c r="D39">
        <f t="shared" ref="D39:J39" si="10">D25</f>
        <v>129.54</v>
      </c>
      <c r="E39">
        <f t="shared" ca="1" si="10"/>
        <v>1192</v>
      </c>
      <c r="F39">
        <f t="shared" ca="1" si="10"/>
        <v>22557</v>
      </c>
      <c r="G39">
        <f t="shared" ca="1" si="10"/>
        <v>450</v>
      </c>
      <c r="H39">
        <f t="shared" ca="1" si="10"/>
        <v>8515</v>
      </c>
      <c r="I39">
        <f t="shared" ca="1" si="10"/>
        <v>1642</v>
      </c>
      <c r="J39">
        <f t="shared" ca="1" si="10"/>
        <v>31072</v>
      </c>
    </row>
    <row r="40" spans="2:10">
      <c r="B40">
        <f t="shared" si="9"/>
        <v>106</v>
      </c>
      <c r="C40">
        <f t="shared" si="9"/>
        <v>70.41</v>
      </c>
      <c r="D40">
        <f>D26-0.01</f>
        <v>17.25</v>
      </c>
      <c r="E40">
        <f t="shared" ref="E40:J40" ca="1" si="11">E26</f>
        <v>159</v>
      </c>
      <c r="F40">
        <f t="shared" ca="1" si="11"/>
        <v>22557</v>
      </c>
      <c r="G40">
        <f t="shared" ca="1" si="11"/>
        <v>60</v>
      </c>
      <c r="H40">
        <f t="shared" ca="1" si="11"/>
        <v>8515</v>
      </c>
      <c r="I40">
        <f t="shared" ca="1" si="11"/>
        <v>219</v>
      </c>
      <c r="J40">
        <f t="shared" ca="1" si="11"/>
        <v>31072</v>
      </c>
    </row>
    <row r="41" spans="2:10">
      <c r="B41" s="3086" t="s">
        <v>3140</v>
      </c>
      <c r="C41">
        <f>C27+C28+C29+C30+C31</f>
        <v>1529.04</v>
      </c>
      <c r="D41">
        <f>D27+D28+D29+D30+D31+0.01</f>
        <v>374.72</v>
      </c>
      <c r="E41">
        <f ca="1">I41-G41</f>
        <v>3463</v>
      </c>
      <c r="F41">
        <f ca="1">J41-H41</f>
        <v>22485</v>
      </c>
      <c r="G41">
        <f ca="1">ROUND(H41*C41/10000,0)</f>
        <v>1302</v>
      </c>
      <c r="H41">
        <f ca="1">H38</f>
        <v>8515</v>
      </c>
      <c r="I41">
        <f ca="1">I27+I28+I29+I30+I31</f>
        <v>4765</v>
      </c>
      <c r="J41">
        <v>31000</v>
      </c>
    </row>
    <row r="42" spans="2:10">
      <c r="C42">
        <f t="shared" ref="C42:D42" si="12">SUM(C38:C41)</f>
        <v>2399.31</v>
      </c>
      <c r="D42">
        <f t="shared" si="12"/>
        <v>587.99</v>
      </c>
      <c r="E42">
        <f ca="1">SUM(E38:E41)</f>
        <v>5434</v>
      </c>
      <c r="G42">
        <f t="shared" ref="G42:I42" ca="1" si="13">SUM(G38:G41)</f>
        <v>2043</v>
      </c>
      <c r="I42">
        <f t="shared" ca="1" si="13"/>
        <v>7477</v>
      </c>
    </row>
  </sheetData>
  <mergeCells count="13">
    <mergeCell ref="I22:J22"/>
    <mergeCell ref="B22:B23"/>
    <mergeCell ref="C22:C23"/>
    <mergeCell ref="D22:D23"/>
    <mergeCell ref="E22:F22"/>
    <mergeCell ref="G22:H22"/>
    <mergeCell ref="F3:F5"/>
    <mergeCell ref="F6:F10"/>
    <mergeCell ref="C6:C10"/>
    <mergeCell ref="A6:A10"/>
    <mergeCell ref="E3:E5"/>
    <mergeCell ref="E6:E10"/>
    <mergeCell ref="A3:A5"/>
  </mergeCells>
  <phoneticPr fontId="140" type="noConversion"/>
  <dataValidations count="4">
    <dataValidation type="list" allowBlank="1" showInputMessage="1" showErrorMessage="1" sqref="G22:H22">
      <formula1>"建筑物价值,在建建筑物价值,建筑物/在建建筑物价值"</formula1>
    </dataValidation>
    <dataValidation type="list" allowBlank="1" showInputMessage="1" showErrorMessage="1" sqref="E22:F22">
      <formula1>"出让国有建设用地使用权价值,划拨国有建设用地使用权价值"</formula1>
    </dataValidation>
    <dataValidation type="list" allowBlank="1" showInputMessage="1" showErrorMessage="1" sqref="D22:D23">
      <formula1>"土地面积,分摊土地面积,（分摊）土地面积"</formula1>
    </dataValidation>
    <dataValidation type="list" allowBlank="1" showInputMessage="1" showErrorMessage="1" sqref="C22:C23">
      <formula1>"建筑面积,规划建筑面积,（规划）建筑面积"</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2:C113"/>
  <sheetViews>
    <sheetView topLeftCell="A4" zoomScaleNormal="100" workbookViewId="0">
      <selection activeCell="P171" sqref="P171"/>
    </sheetView>
  </sheetViews>
  <sheetFormatPr defaultRowHeight="13.5"/>
  <sheetData>
    <row r="112" spans="3:3">
      <c r="C112">
        <f ca="1">31000-'收益法 (元)'!B3*0.5</f>
        <v>15197</v>
      </c>
    </row>
    <row r="113" spans="3:3">
      <c r="C113">
        <f ca="1">C112*2</f>
        <v>30394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1" t="str">
        <f>IF(项目基本情况!B9="房地产市场价值","估价结果一览表","结果表-2")</f>
        <v>结果表-2</v>
      </c>
      <c r="B1" s="3111"/>
      <c r="C1" s="3111"/>
      <c r="D1" s="3111"/>
      <c r="E1" s="3111"/>
      <c r="F1" s="3111"/>
      <c r="G1" s="3111"/>
      <c r="H1" s="3111"/>
      <c r="I1" s="3111"/>
    </row>
    <row r="2" spans="1:9" ht="30" customHeight="1" thickTop="1">
      <c r="A2" s="3112" t="s">
        <v>1606</v>
      </c>
      <c r="B2" s="3112" t="s">
        <v>1607</v>
      </c>
      <c r="C2" s="3112" t="s">
        <v>1608</v>
      </c>
      <c r="D2" s="3112" t="str">
        <f>结果表!D116</f>
        <v>出让国有建设用地使用权价值</v>
      </c>
      <c r="E2" s="3112"/>
      <c r="F2" s="3112" t="str">
        <f>结果表!F116</f>
        <v>在建建筑物价值</v>
      </c>
      <c r="G2" s="3112"/>
      <c r="H2" s="3112" t="str">
        <f>IF(项目基本情况!B9="房地产市场价值","房地产市场价值","房地产价值")</f>
        <v>房地产价值</v>
      </c>
      <c r="I2" s="3112"/>
    </row>
    <row r="3" spans="1:9" ht="15">
      <c r="A3" s="3113"/>
      <c r="B3" s="3113"/>
      <c r="C3" s="3113"/>
      <c r="D3" s="963" t="s">
        <v>1603</v>
      </c>
      <c r="E3" s="963" t="s">
        <v>1609</v>
      </c>
      <c r="F3" s="963" t="s">
        <v>1603</v>
      </c>
      <c r="G3" s="963" t="s">
        <v>1604</v>
      </c>
      <c r="H3" s="963" t="s">
        <v>1603</v>
      </c>
      <c r="I3" s="963" t="s">
        <v>1604</v>
      </c>
    </row>
    <row r="4" spans="1:9" ht="15">
      <c r="A4" s="1690" t="str">
        <f>项目基本情况!S2</f>
        <v>北京市房地产</v>
      </c>
      <c r="B4" s="963">
        <f>项目基本情况!C17</f>
        <v>2399.3100000000004</v>
      </c>
      <c r="C4" s="963">
        <f>项目基本情况!C18</f>
        <v>587.99</v>
      </c>
      <c r="D4" s="963">
        <f ca="1">结果表!D118</f>
        <v>620</v>
      </c>
      <c r="E4" s="963">
        <f ca="1">结果表!E118</f>
        <v>22855</v>
      </c>
      <c r="F4" s="963">
        <f ca="1">结果表!F118</f>
        <v>231</v>
      </c>
      <c r="G4" s="963">
        <f ca="1">结果表!G118</f>
        <v>8515</v>
      </c>
      <c r="H4" s="963">
        <f ca="1">结果表!H118</f>
        <v>851</v>
      </c>
      <c r="I4" s="963">
        <f ca="1">结果表!I118</f>
        <v>31370</v>
      </c>
    </row>
    <row r="5" spans="1:9" ht="30" customHeight="1">
      <c r="A5" s="3113" t="s">
        <v>1605</v>
      </c>
      <c r="B5" s="3113"/>
      <c r="C5" s="3113"/>
      <c r="D5" s="3114" t="str">
        <f ca="1">结果表!D119</f>
        <v>陆佰贰拾万元整</v>
      </c>
      <c r="E5" s="3114"/>
      <c r="F5" s="3114" t="str">
        <f ca="1">结果表!F119</f>
        <v>贰佰叁拾壹万元整</v>
      </c>
      <c r="G5" s="3114"/>
      <c r="H5" s="3114" t="str">
        <f ca="1">结果表!H119</f>
        <v>捌佰伍拾壹万元整</v>
      </c>
      <c r="I5" s="3114"/>
    </row>
    <row r="6" spans="1:9" ht="15.75">
      <c r="A6" s="3115" t="str">
        <f>结果表!A120</f>
        <v>估价师知悉的法定优先受偿款</v>
      </c>
      <c r="B6" s="3115"/>
      <c r="C6" s="3115"/>
      <c r="D6" s="3115">
        <f>结果表!D120</f>
        <v>0</v>
      </c>
      <c r="E6" s="3115"/>
      <c r="F6" s="3115"/>
      <c r="G6" s="3115"/>
      <c r="H6" s="3115"/>
      <c r="I6" s="3115"/>
    </row>
    <row r="7" spans="1:9" ht="15">
      <c r="A7" s="3113" t="s">
        <v>1605</v>
      </c>
      <c r="B7" s="3113"/>
      <c r="C7" s="3113"/>
      <c r="D7" s="3116" t="str">
        <f>结果表!D121</f>
        <v>零元整</v>
      </c>
      <c r="E7" s="3117"/>
      <c r="F7" s="3117"/>
      <c r="G7" s="3117"/>
      <c r="H7" s="3117"/>
      <c r="I7" s="3118"/>
    </row>
    <row r="8" spans="1:9" ht="15.75">
      <c r="A8" s="3115" t="str">
        <f>结果表!A122</f>
        <v>房地产抵押价值</v>
      </c>
      <c r="B8" s="3115"/>
      <c r="C8" s="3115"/>
      <c r="D8" s="3115">
        <f ca="1">结果表!D122</f>
        <v>851</v>
      </c>
      <c r="E8" s="3115"/>
      <c r="F8" s="3115"/>
      <c r="G8" s="3115"/>
      <c r="H8" s="3115"/>
      <c r="I8" s="3115"/>
    </row>
    <row r="9" spans="1:9" ht="15">
      <c r="A9" s="3113" t="s">
        <v>1605</v>
      </c>
      <c r="B9" s="3113"/>
      <c r="C9" s="3113"/>
      <c r="D9" s="3114" t="str">
        <f ca="1">结果表!D123</f>
        <v>捌佰伍拾壹万元整</v>
      </c>
      <c r="E9" s="3114"/>
      <c r="F9" s="3114"/>
      <c r="G9" s="3114"/>
      <c r="H9" s="3114"/>
      <c r="I9" s="3114"/>
    </row>
    <row r="10" spans="1:9" ht="15.75">
      <c r="A10" s="3115" t="str">
        <f>结果表!A124</f>
        <v/>
      </c>
      <c r="B10" s="3115"/>
      <c r="C10" s="3115"/>
      <c r="D10" s="3115" t="str">
        <f>结果表!D124</f>
        <v>——</v>
      </c>
      <c r="E10" s="3115"/>
      <c r="F10" s="3115"/>
      <c r="G10" s="3115"/>
      <c r="H10" s="3115"/>
      <c r="I10" s="3115"/>
    </row>
    <row r="11" spans="1:9" ht="15">
      <c r="A11" s="3113" t="s">
        <v>1605</v>
      </c>
      <c r="B11" s="3113"/>
      <c r="C11" s="3113"/>
      <c r="D11" s="3114" t="e">
        <f>结果表!D125</f>
        <v>#VALUE!</v>
      </c>
      <c r="E11" s="3114"/>
      <c r="F11" s="3114"/>
      <c r="G11" s="3114"/>
      <c r="H11" s="3114"/>
      <c r="I11" s="3114"/>
    </row>
    <row r="12" spans="1:9" ht="15.75">
      <c r="A12" s="3115" t="str">
        <f>结果表!A126</f>
        <v/>
      </c>
      <c r="B12" s="3115"/>
      <c r="C12" s="3115"/>
      <c r="D12" s="3115" t="str">
        <f>结果表!D126</f>
        <v>——</v>
      </c>
      <c r="E12" s="3115"/>
      <c r="F12" s="3115"/>
      <c r="G12" s="3115"/>
      <c r="H12" s="3115"/>
      <c r="I12" s="3115"/>
    </row>
    <row r="13" spans="1:9" ht="15.75" thickBot="1">
      <c r="A13" s="3119" t="s">
        <v>1605</v>
      </c>
      <c r="B13" s="3119"/>
      <c r="C13" s="3119"/>
      <c r="D13" s="3120" t="e">
        <f>结果表!D127</f>
        <v>#VALUE!</v>
      </c>
      <c r="E13" s="3120"/>
      <c r="F13" s="3120"/>
      <c r="G13" s="3120"/>
      <c r="H13" s="3120"/>
      <c r="I13" s="3120"/>
    </row>
    <row r="14" spans="1:9" ht="15" thickTop="1">
      <c r="A14" s="3121" t="s">
        <v>1610</v>
      </c>
      <c r="B14" s="3121"/>
      <c r="C14" s="3121"/>
      <c r="D14" s="3121"/>
      <c r="E14" s="3121"/>
      <c r="F14" s="3121"/>
      <c r="G14" s="3121"/>
      <c r="H14" s="3121"/>
      <c r="I14" s="312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2" t="s">
        <v>1627</v>
      </c>
      <c r="B1" s="3122"/>
      <c r="C1" s="3122"/>
      <c r="D1" s="3122"/>
    </row>
    <row r="2" spans="1:4" ht="18">
      <c r="A2" s="3123" t="s">
        <v>1611</v>
      </c>
      <c r="B2" s="3123"/>
      <c r="C2" s="3123"/>
      <c r="D2" s="3123"/>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123" t="s">
        <v>1617</v>
      </c>
      <c r="B6" s="3123"/>
      <c r="C6" s="3123"/>
      <c r="D6" s="3123"/>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4" t="s">
        <v>1620</v>
      </c>
      <c r="B11" s="3125"/>
      <c r="C11" s="3125"/>
      <c r="D11" s="3125"/>
    </row>
    <row r="12" spans="1:4" ht="15.75">
      <c r="A12" s="31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6"/>
      <c r="C12" s="3126"/>
      <c r="D12" s="3126"/>
    </row>
    <row r="13" spans="1:4" ht="30" customHeight="1">
      <c r="A13" s="31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6"/>
      <c r="C13" s="3126"/>
      <c r="D13" s="3126"/>
    </row>
    <row r="14" spans="1:4" ht="15.75" customHeight="1">
      <c r="A14" s="3125" t="str">
        <f>IF(项目基本情况!B8="抵押","4.本次评估估价师所知悉的法定优先受偿款情况说明如下：","——")</f>
        <v>4.本次评估估价师所知悉的法定优先受偿款情况说明如下：</v>
      </c>
      <c r="B14" s="3126"/>
      <c r="C14" s="3126"/>
      <c r="D14" s="3126"/>
    </row>
    <row r="15" spans="1:4" ht="42" customHeight="1">
      <c r="A15" s="31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5"/>
      <c r="C15" s="3125"/>
      <c r="D15" s="3125"/>
    </row>
    <row r="16" spans="1:4" ht="30" customHeight="1">
      <c r="A16" s="3128" t="s">
        <v>1621</v>
      </c>
      <c r="B16" s="3128"/>
      <c r="C16" s="3128"/>
      <c r="D16" s="3128"/>
    </row>
    <row r="17" spans="1:4" ht="144" customHeight="1">
      <c r="A17" s="3128" t="s">
        <v>1622</v>
      </c>
      <c r="B17" s="3128"/>
      <c r="C17" s="3128"/>
      <c r="D17" s="3128"/>
    </row>
    <row r="18" spans="1:4" ht="15.75" customHeight="1">
      <c r="A18" s="3125" t="str">
        <f>IF(项目基本情况!B8="抵押",结果表!K120,"——")</f>
        <v>故，本次评估不存在估价师知悉的法定优先受偿款</v>
      </c>
      <c r="B18" s="3125"/>
      <c r="C18" s="3125"/>
      <c r="D18" s="3125"/>
    </row>
    <row r="19" spans="1:4" ht="46.5" customHeight="1">
      <c r="A19" s="31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5"/>
      <c r="C19" s="3125"/>
      <c r="D19" s="3125"/>
    </row>
    <row r="20" spans="1:4" ht="57.75" customHeight="1">
      <c r="A20" s="31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5"/>
      <c r="C20" s="3125"/>
      <c r="D20" s="3125"/>
    </row>
    <row r="21" spans="1:4" ht="57.75" customHeight="1">
      <c r="A21" s="31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9"/>
      <c r="C21" s="3129"/>
      <c r="D21" s="3129"/>
    </row>
    <row r="22" spans="1:4" ht="18.75" customHeight="1">
      <c r="A22" s="3130" t="s">
        <v>1623</v>
      </c>
      <c r="B22" s="3130"/>
      <c r="C22" s="3130"/>
      <c r="D22" s="313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7">
        <v>42551</v>
      </c>
      <c r="D31" s="31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6" t="s">
        <v>1634</v>
      </c>
      <c r="B15" s="3131" t="s">
        <v>136</v>
      </c>
      <c r="C15" s="3132"/>
    </row>
    <row r="16" spans="1:7" ht="13.5">
      <c r="A16" s="3137"/>
      <c r="B16" s="3131" t="s">
        <v>69</v>
      </c>
      <c r="C16" s="3132"/>
    </row>
    <row r="17" spans="1:3" ht="13.5">
      <c r="A17" s="3137"/>
      <c r="B17" s="3134" t="s">
        <v>1635</v>
      </c>
      <c r="C17" s="1717" t="s">
        <v>1634</v>
      </c>
    </row>
    <row r="18" spans="1:3" ht="13.5">
      <c r="A18" s="3137"/>
      <c r="B18" s="3134"/>
      <c r="C18" s="1717" t="s">
        <v>1636</v>
      </c>
    </row>
    <row r="19" spans="1:3" ht="13.5">
      <c r="A19" s="3137"/>
      <c r="B19" s="3134"/>
      <c r="C19" s="1717" t="s">
        <v>1637</v>
      </c>
    </row>
    <row r="20" spans="1:3" ht="13.5">
      <c r="A20" s="3138"/>
      <c r="B20" s="3133" t="s">
        <v>1638</v>
      </c>
      <c r="C20" s="3132"/>
    </row>
    <row r="21" spans="1:3" ht="13.5">
      <c r="A21" s="1718" t="s">
        <v>1639</v>
      </c>
      <c r="B21" s="1719"/>
      <c r="C21" s="1720"/>
    </row>
    <row r="22" spans="1:3" ht="13.5">
      <c r="A22" s="3135" t="s">
        <v>1640</v>
      </c>
      <c r="B22" s="3133" t="s">
        <v>1641</v>
      </c>
      <c r="C22" s="3132"/>
    </row>
    <row r="23" spans="1:3" ht="13.5">
      <c r="A23" s="3135"/>
      <c r="B23" s="3133" t="s">
        <v>1642</v>
      </c>
      <c r="C23" s="3132"/>
    </row>
    <row r="24" spans="1:3" ht="13.5">
      <c r="A24" s="3135"/>
      <c r="B24" s="3133" t="s">
        <v>1643</v>
      </c>
      <c r="C24" s="3132"/>
    </row>
    <row r="25" spans="1:3" ht="13.5">
      <c r="A25" s="3135"/>
      <c r="B25" s="3134" t="s">
        <v>1644</v>
      </c>
      <c r="C25" s="1717" t="s">
        <v>1645</v>
      </c>
    </row>
    <row r="26" spans="1:3" ht="13.5">
      <c r="A26" s="3135"/>
      <c r="B26" s="3134"/>
      <c r="C26" s="1717" t="s">
        <v>1646</v>
      </c>
    </row>
    <row r="27" spans="1:3" ht="13.5">
      <c r="A27" s="3135"/>
      <c r="B27" s="3134"/>
      <c r="C27" s="1717" t="s">
        <v>1647</v>
      </c>
    </row>
    <row r="28" spans="1:3" ht="13.5">
      <c r="A28" s="3135"/>
      <c r="B28" s="3134"/>
      <c r="C28" s="1717" t="s">
        <v>1648</v>
      </c>
    </row>
    <row r="29" spans="1:3" ht="13.5">
      <c r="A29" s="3135"/>
      <c r="B29" s="3134"/>
      <c r="C29" s="1717" t="s">
        <v>1649</v>
      </c>
    </row>
    <row r="30" spans="1:3" ht="13.5">
      <c r="A30" s="3135"/>
      <c r="B30" s="3134"/>
      <c r="C30" s="1717" t="s">
        <v>1650</v>
      </c>
    </row>
    <row r="31" spans="1:3" ht="13.5">
      <c r="A31" s="3135"/>
      <c r="B31" s="3134"/>
      <c r="C31" s="1717" t="s">
        <v>1651</v>
      </c>
    </row>
    <row r="32" spans="1:3" ht="13.5">
      <c r="A32" s="3135"/>
      <c r="B32" s="3134"/>
      <c r="C32" s="1717" t="s">
        <v>1652</v>
      </c>
    </row>
    <row r="33" spans="1:3" ht="13.5">
      <c r="A33" s="3135"/>
      <c r="B33" s="313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2879</v>
      </c>
      <c r="B2" s="2561">
        <f ca="1">TODAY()</f>
        <v>44445</v>
      </c>
      <c r="C2" s="2562" t="s">
        <v>2880</v>
      </c>
      <c r="D2" s="2562"/>
      <c r="E2" s="2562"/>
      <c r="F2" s="2558"/>
      <c r="G2" s="2558"/>
      <c r="H2" s="2558"/>
    </row>
    <row r="3" spans="1:8" ht="24" customHeight="1">
      <c r="A3" s="2563" t="s">
        <v>2881</v>
      </c>
      <c r="B3" s="2564" t="s">
        <v>2882</v>
      </c>
      <c r="C3" s="2564" t="s">
        <v>2883</v>
      </c>
      <c r="D3" s="2565" t="s">
        <v>2884</v>
      </c>
      <c r="E3" s="2566" t="s">
        <v>2885</v>
      </c>
      <c r="F3" s="1472" t="s">
        <v>2886</v>
      </c>
      <c r="G3" s="2564" t="s">
        <v>2883</v>
      </c>
      <c r="H3" s="2565" t="s">
        <v>2887</v>
      </c>
    </row>
    <row r="4" spans="1:8" ht="24" customHeight="1">
      <c r="A4" s="1472" t="s">
        <v>2888</v>
      </c>
      <c r="B4" s="1472">
        <f ca="1">IF(C4&lt;B2,"已过期",1119970066)</f>
        <v>1119970066</v>
      </c>
      <c r="C4" s="2567">
        <v>44876</v>
      </c>
      <c r="D4" s="2568" t="str">
        <f ca="1">A4&amp;"（注册号："&amp;B4&amp;"）"</f>
        <v>梁津（注册号：1119970066）</v>
      </c>
      <c r="E4" s="2569" t="s">
        <v>2888</v>
      </c>
      <c r="F4" s="1472">
        <f ca="1">IF(G4&lt;B2,"已过期",96010014)</f>
        <v>96010014</v>
      </c>
      <c r="G4" s="2570">
        <v>47118</v>
      </c>
      <c r="H4" s="2571" t="str">
        <f ca="1">E4&amp;"（注册号："&amp;F4&amp;"）"</f>
        <v>梁津（注册号：96010014）</v>
      </c>
    </row>
    <row r="5" spans="1:8" ht="24" customHeight="1">
      <c r="A5" s="1472" t="s">
        <v>2889</v>
      </c>
      <c r="B5" s="1472">
        <f ca="1">IF(C5&lt;B2,"已过期",1119970111)</f>
        <v>1119970111</v>
      </c>
      <c r="C5" s="2567">
        <v>44876</v>
      </c>
      <c r="D5" s="2568" t="str">
        <f t="shared" ref="D5:D15" ca="1" si="0">A5&amp;"（注册号："&amp;B5&amp;"）"</f>
        <v>叶凌（注册号：1119970111）</v>
      </c>
      <c r="E5" s="2569" t="s">
        <v>2889</v>
      </c>
      <c r="F5" s="1472">
        <f ca="1">IF(G5&lt;B2,"已过期",94010078)</f>
        <v>94010078</v>
      </c>
      <c r="G5" s="2570">
        <v>46387</v>
      </c>
      <c r="H5" s="2571" t="str">
        <f t="shared" ref="H5:H16" ca="1" si="1">E5&amp;"（注册号："&amp;F5&amp;"）"</f>
        <v>叶凌（注册号：94010078）</v>
      </c>
    </row>
    <row r="6" spans="1:8" ht="24" customHeight="1">
      <c r="A6" s="1472" t="s">
        <v>2890</v>
      </c>
      <c r="B6" s="1472" t="str">
        <f ca="1">IF(C6&lt;B2,"已过期",1120050019)</f>
        <v>已过期</v>
      </c>
      <c r="C6" s="2567">
        <v>44395</v>
      </c>
      <c r="D6" s="2568" t="str">
        <f t="shared" ca="1" si="0"/>
        <v>王鹏（注册号：已过期）</v>
      </c>
      <c r="E6" s="2569" t="s">
        <v>2890</v>
      </c>
      <c r="F6" s="1472">
        <f ca="1">IF(G6&lt;B2,"已过期",2002110030)</f>
        <v>2002110030</v>
      </c>
      <c r="G6" s="2570">
        <v>46387</v>
      </c>
      <c r="H6" s="2571" t="str">
        <f t="shared" ca="1" si="1"/>
        <v>王鹏（注册号：2002110030）</v>
      </c>
    </row>
    <row r="7" spans="1:8" ht="24" customHeight="1">
      <c r="A7" s="1472" t="s">
        <v>2891</v>
      </c>
      <c r="B7" s="1472">
        <f ca="1">IF(C7&lt;B2,"已过期",1120000080)</f>
        <v>1120000080</v>
      </c>
      <c r="C7" s="2567">
        <v>44876</v>
      </c>
      <c r="D7" s="2568" t="str">
        <f t="shared" ca="1" si="0"/>
        <v>欧红伟（注册号：1120000080）</v>
      </c>
      <c r="E7" s="2569" t="s">
        <v>2891</v>
      </c>
      <c r="F7" s="1472">
        <f ca="1">IF(G7&lt;B2,"已过期",2000110082)</f>
        <v>2000110082</v>
      </c>
      <c r="G7" s="2570">
        <v>46387</v>
      </c>
      <c r="H7" s="2571" t="str">
        <f t="shared" ca="1" si="1"/>
        <v>欧红伟（注册号：2000110082）</v>
      </c>
    </row>
    <row r="8" spans="1:8" ht="24" customHeight="1">
      <c r="A8" s="1472" t="s">
        <v>2892</v>
      </c>
      <c r="B8" s="1472">
        <f ca="1">IF(C8&lt;B2,"已过期",1419970001)</f>
        <v>1419970001</v>
      </c>
      <c r="C8" s="2567">
        <v>44899</v>
      </c>
      <c r="D8" s="2568" t="str">
        <f t="shared" ca="1" si="0"/>
        <v>吴薇（注册号：1419970001）</v>
      </c>
      <c r="E8" s="2569" t="s">
        <v>2892</v>
      </c>
      <c r="F8" s="1472">
        <f ca="1">IF(G8&lt;B2,"已过期",2002110125)</f>
        <v>2002110125</v>
      </c>
      <c r="G8" s="2570">
        <v>47118</v>
      </c>
      <c r="H8" s="2571" t="str">
        <f t="shared" ca="1" si="1"/>
        <v>吴薇（注册号：2002110125）</v>
      </c>
    </row>
    <row r="9" spans="1:8" ht="24" customHeight="1">
      <c r="A9" s="1472" t="s">
        <v>2893</v>
      </c>
      <c r="B9" s="1472">
        <f ca="1">IF(C9&lt;B2,"已过期",1120060040)</f>
        <v>1120060040</v>
      </c>
      <c r="C9" s="2572">
        <v>44554</v>
      </c>
      <c r="D9" s="2568" t="str">
        <f t="shared" ca="1" si="0"/>
        <v>陈颖（注册号：1120060040）</v>
      </c>
      <c r="E9" s="2569" t="s">
        <v>2893</v>
      </c>
      <c r="F9" s="1472">
        <f ca="1">IF(G9&lt;B2,"已过期",2004110096)</f>
        <v>2004110096</v>
      </c>
      <c r="G9" s="2570">
        <v>47118</v>
      </c>
      <c r="H9" s="2571" t="str">
        <f t="shared" ca="1" si="1"/>
        <v>陈颖（注册号：2004110096）</v>
      </c>
    </row>
    <row r="10" spans="1:8" ht="24" customHeight="1">
      <c r="A10" s="1472" t="s">
        <v>2894</v>
      </c>
      <c r="B10" s="1472">
        <f ca="1">IF(C10&lt;B2,"已过期",1120100036)</f>
        <v>1120100036</v>
      </c>
      <c r="C10" s="2572">
        <v>44675</v>
      </c>
      <c r="D10" s="2568" t="str">
        <f t="shared" ca="1" si="0"/>
        <v>崔锴（注册号：1120100036）</v>
      </c>
      <c r="E10" s="2569" t="s">
        <v>2894</v>
      </c>
      <c r="F10" s="1472">
        <f ca="1">IF(G10&lt;B2,"已过期",2010110070)</f>
        <v>2010110070</v>
      </c>
      <c r="G10" s="2570">
        <v>47907</v>
      </c>
      <c r="H10" s="2571" t="str">
        <f t="shared" ca="1" si="1"/>
        <v>崔锴（注册号：2010110070）</v>
      </c>
    </row>
    <row r="11" spans="1:8" ht="24" customHeight="1">
      <c r="A11" s="1472" t="s">
        <v>2895</v>
      </c>
      <c r="B11" s="1472">
        <f ca="1">IF(C11&lt;B2,"已过期",1120070131)</f>
        <v>1120070131</v>
      </c>
      <c r="C11" s="2567">
        <v>44849</v>
      </c>
      <c r="D11" s="2568" t="str">
        <f t="shared" ca="1" si="0"/>
        <v>郑燚（注册号：1120070131）</v>
      </c>
      <c r="E11" s="2569" t="s">
        <v>2895</v>
      </c>
      <c r="F11" s="1472">
        <f ca="1">IF(G11&lt;B2,"已过期",2014110011)</f>
        <v>2014110011</v>
      </c>
      <c r="G11" s="2570">
        <v>49302</v>
      </c>
      <c r="H11" s="2571" t="str">
        <f t="shared" ca="1" si="1"/>
        <v>郑燚（注册号：2014110011）</v>
      </c>
    </row>
    <row r="12" spans="1:8" ht="24" customHeight="1">
      <c r="A12" s="1472" t="s">
        <v>2896</v>
      </c>
      <c r="B12" s="1472">
        <f ca="1">IF(C12&lt;B2,"已过期",1120040230)</f>
        <v>1120040230</v>
      </c>
      <c r="C12" s="2572">
        <v>44864</v>
      </c>
      <c r="D12" s="2568" t="str">
        <f t="shared" ca="1" si="0"/>
        <v>苏海（注册号：1120040230）</v>
      </c>
      <c r="E12" s="2569" t="s">
        <v>2896</v>
      </c>
      <c r="F12" s="1472">
        <f ca="1">IF(G12&lt;B2,"已过期",98030020)</f>
        <v>98030020</v>
      </c>
      <c r="G12" s="2570">
        <v>47118</v>
      </c>
      <c r="H12" s="2571" t="str">
        <f t="shared" ca="1" si="1"/>
        <v>苏海（注册号：98030020）</v>
      </c>
    </row>
    <row r="13" spans="1:8" ht="24" customHeight="1">
      <c r="A13" s="1472" t="s">
        <v>2897</v>
      </c>
      <c r="B13" s="1472" t="str">
        <f ca="1">IF(C13&lt;B2,"已过期",1120020033)</f>
        <v>已过期</v>
      </c>
      <c r="C13" s="2567">
        <v>44339</v>
      </c>
      <c r="D13" s="2568" t="str">
        <f t="shared" ca="1" si="0"/>
        <v>刘敬东（注册号：已过期）</v>
      </c>
      <c r="E13" s="2569" t="s">
        <v>2897</v>
      </c>
      <c r="F13" s="1472">
        <f ca="1">IF(G13&lt;B2,"已过期",2000110137)</f>
        <v>2000110137</v>
      </c>
      <c r="G13" s="2570">
        <v>46387</v>
      </c>
      <c r="H13" s="2571" t="str">
        <f t="shared" ca="1" si="1"/>
        <v>刘敬东（注册号：2000110137）</v>
      </c>
    </row>
    <row r="14" spans="1:8" ht="24" customHeight="1">
      <c r="A14" s="1472" t="s">
        <v>2898</v>
      </c>
      <c r="B14" s="1472">
        <f ca="1">IF(C14&lt;B2,"已过期",1119980106)</f>
        <v>1119980106</v>
      </c>
      <c r="C14" s="2572">
        <v>44969</v>
      </c>
      <c r="D14" s="2568" t="str">
        <f t="shared" ca="1" si="0"/>
        <v>刘俊财（注册号：1119980106）</v>
      </c>
      <c r="E14" s="2569" t="s">
        <v>2898</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2899</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39" t="s">
        <v>2900</v>
      </c>
      <c r="B17" s="3139"/>
      <c r="C17" s="3139"/>
      <c r="D17" s="3139"/>
      <c r="E17" s="3139"/>
      <c r="F17" s="3139"/>
      <c r="G17" s="3139"/>
      <c r="H17" s="3139"/>
    </row>
    <row r="18" spans="1:8" ht="24" customHeight="1">
      <c r="A18" s="3140" t="s">
        <v>2901</v>
      </c>
      <c r="B18" s="3140"/>
      <c r="C18" s="3140"/>
      <c r="D18" s="2565"/>
      <c r="E18" s="3141" t="s">
        <v>2902</v>
      </c>
      <c r="F18" s="3140"/>
      <c r="G18" s="3140"/>
    </row>
    <row r="19" spans="1:8" s="2576" customFormat="1" ht="24" customHeight="1">
      <c r="A19" s="2575" t="s">
        <v>2903</v>
      </c>
      <c r="B19" s="2564" t="s">
        <v>2904</v>
      </c>
      <c r="C19" s="2564" t="s">
        <v>2883</v>
      </c>
      <c r="D19" s="2565"/>
      <c r="E19" s="2569" t="s">
        <v>2903</v>
      </c>
      <c r="F19" s="2564" t="s">
        <v>2904</v>
      </c>
      <c r="G19" s="2564" t="s">
        <v>2883</v>
      </c>
    </row>
    <row r="20" spans="1:8" s="2576" customFormat="1" ht="24" customHeight="1">
      <c r="A20" s="2577" t="s">
        <v>2905</v>
      </c>
      <c r="B20" s="2577" t="s">
        <v>2906</v>
      </c>
      <c r="C20" s="2570">
        <v>44820</v>
      </c>
      <c r="D20" s="2578"/>
      <c r="E20" s="2579" t="s">
        <v>2907</v>
      </c>
      <c r="F20" s="2577" t="s">
        <v>2908</v>
      </c>
      <c r="G20" s="2580">
        <v>44377</v>
      </c>
    </row>
    <row r="21" spans="1:8" s="2576" customFormat="1" ht="24" customHeight="1">
      <c r="A21" s="2577"/>
      <c r="B21" s="2577"/>
      <c r="C21" s="2581"/>
      <c r="D21" s="2582"/>
      <c r="E21" s="2579" t="s">
        <v>2909</v>
      </c>
      <c r="F21" s="2583" t="s">
        <v>2910</v>
      </c>
      <c r="G21" s="2584">
        <v>44012</v>
      </c>
    </row>
    <row r="22" spans="1:8" ht="24" customHeight="1">
      <c r="C22" s="2585"/>
      <c r="D22" s="2585"/>
      <c r="E22" s="2586"/>
      <c r="F22" s="2587"/>
      <c r="G22" s="2588"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1">
      <formula>AND($C4-TODAY()&lt;30,TODAY()&lt;$C4)</formula>
    </cfRule>
  </conditionalFormatting>
  <conditionalFormatting sqref="C20:D20">
    <cfRule type="expression" dxfId="245" priority="50">
      <formula>AND($C20-TODAY()&lt;30,TODAY()&lt;$C20)</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conditionalFormatting sqref="D12">
    <cfRule type="expression" dxfId="240" priority="45">
      <formula>AND($C12-TODAY()&lt;30,TODAY()&lt;$C12)</formula>
    </cfRule>
  </conditionalFormatting>
  <conditionalFormatting sqref="D12">
    <cfRule type="cellIs" dxfId="239" priority="46" stopIfTrue="1" operator="lessThan">
      <formula>$B$2</formula>
    </cfRule>
  </conditionalFormatting>
  <conditionalFormatting sqref="C13:D13">
    <cfRule type="expression" dxfId="238" priority="43">
      <formula>AND($C13-TODAY()&lt;30,TODAY()&lt;$C13)</formula>
    </cfRule>
  </conditionalFormatting>
  <conditionalFormatting sqref="C13:D13">
    <cfRule type="cellIs" dxfId="237" priority="44" stopIfTrue="1" operator="lessThan">
      <formula>$B$2</formula>
    </cfRule>
  </conditionalFormatting>
  <conditionalFormatting sqref="D14">
    <cfRule type="expression" dxfId="236" priority="41">
      <formula>AND($C14-TODAY()&lt;30,TODAY()&lt;$C14)</formula>
    </cfRule>
  </conditionalFormatting>
  <conditionalFormatting sqref="D14">
    <cfRule type="cellIs" dxfId="235" priority="42" stopIfTrue="1" operator="lessThan">
      <formula>$B$2</formula>
    </cfRule>
  </conditionalFormatting>
  <conditionalFormatting sqref="G13">
    <cfRule type="cellIs" dxfId="234" priority="40" stopIfTrue="1" operator="lessThan">
      <formula>$B$2</formula>
    </cfRule>
  </conditionalFormatting>
  <conditionalFormatting sqref="B4:B11 F4:F11 B13 F13:F14">
    <cfRule type="cellIs" dxfId="233" priority="39" stopIfTrue="1" operator="equal">
      <formula>"已过期"</formula>
    </cfRule>
  </conditionalFormatting>
  <conditionalFormatting sqref="G20">
    <cfRule type="expression" dxfId="232" priority="37">
      <formula>AND($E20-TODAY()&lt;30,TODAY()&lt;$E20)</formula>
    </cfRule>
  </conditionalFormatting>
  <conditionalFormatting sqref="G20">
    <cfRule type="cellIs" dxfId="231" priority="38" stopIfTrue="1" operator="lessThan">
      <formula>$B$2</formula>
    </cfRule>
  </conditionalFormatting>
  <conditionalFormatting sqref="C7">
    <cfRule type="expression" dxfId="230" priority="35">
      <formula>AND($C7-TODAY()&lt;30,TODAY()&lt;$C7)</formula>
    </cfRule>
  </conditionalFormatting>
  <conditionalFormatting sqref="C7">
    <cfRule type="cellIs" dxfId="229" priority="36" stopIfTrue="1" operator="lessThan">
      <formula>$B$2</formula>
    </cfRule>
  </conditionalFormatting>
  <conditionalFormatting sqref="C8">
    <cfRule type="expression" dxfId="228" priority="33">
      <formula>AND($C8-TODAY()&lt;30,TODAY()&lt;$C8)</formula>
    </cfRule>
  </conditionalFormatting>
  <conditionalFormatting sqref="C8">
    <cfRule type="cellIs" dxfId="227" priority="34" stopIfTrue="1" operator="lessThan">
      <formula>$B$2</formula>
    </cfRule>
  </conditionalFormatting>
  <conditionalFormatting sqref="C11">
    <cfRule type="expression" dxfId="226" priority="31">
      <formula>AND($C11-TODAY()&lt;30,TODAY()&lt;$C11)</formula>
    </cfRule>
  </conditionalFormatting>
  <conditionalFormatting sqref="C11">
    <cfRule type="cellIs" dxfId="225" priority="32" stopIfTrue="1" operator="lessThan">
      <formula>$B$2</formula>
    </cfRule>
  </conditionalFormatting>
  <conditionalFormatting sqref="A16:C16">
    <cfRule type="cellIs" dxfId="224" priority="30" stopIfTrue="1" operator="equal">
      <formula>"已过期"</formula>
    </cfRule>
  </conditionalFormatting>
  <conditionalFormatting sqref="E16:G16">
    <cfRule type="cellIs" dxfId="223" priority="29" stopIfTrue="1" operator="equal">
      <formula>"已过期"</formula>
    </cfRule>
  </conditionalFormatting>
  <conditionalFormatting sqref="G11">
    <cfRule type="cellIs" dxfId="222" priority="28" stopIfTrue="1" operator="lessThan">
      <formula>$B$2</formula>
    </cfRule>
  </conditionalFormatting>
  <conditionalFormatting sqref="F12">
    <cfRule type="cellIs" dxfId="221" priority="27" stopIfTrue="1" operator="equal">
      <formula>"已过期"</formula>
    </cfRule>
  </conditionalFormatting>
  <conditionalFormatting sqref="G12">
    <cfRule type="cellIs" dxfId="220" priority="26" stopIfTrue="1" operator="lessThan">
      <formula>$B$2</formula>
    </cfRule>
  </conditionalFormatting>
  <conditionalFormatting sqref="C12">
    <cfRule type="cellIs" dxfId="219" priority="25" stopIfTrue="1" operator="lessThan">
      <formula>$B$2</formula>
    </cfRule>
  </conditionalFormatting>
  <conditionalFormatting sqref="C12">
    <cfRule type="expression" dxfId="218" priority="23">
      <formula>AND($C12-TODAY()&lt;30,TODAY()&lt;$C12)</formula>
    </cfRule>
  </conditionalFormatting>
  <conditionalFormatting sqref="C12">
    <cfRule type="cellIs" dxfId="217" priority="24" stopIfTrue="1" operator="lessThan">
      <formula>$B$2</formula>
    </cfRule>
  </conditionalFormatting>
  <conditionalFormatting sqref="B12">
    <cfRule type="cellIs" dxfId="216" priority="22" stopIfTrue="1" operator="equal">
      <formula>"已过期"</formula>
    </cfRule>
  </conditionalFormatting>
  <conditionalFormatting sqref="C9:C10">
    <cfRule type="expression" dxfId="215" priority="20">
      <formula>AND($C9-TODAY()&lt;30,TODAY()&lt;$C9)</formula>
    </cfRule>
  </conditionalFormatting>
  <conditionalFormatting sqref="C9:C10">
    <cfRule type="cellIs" dxfId="214" priority="21" stopIfTrue="1" operator="lessThan">
      <formula>$B$2</formula>
    </cfRule>
  </conditionalFormatting>
  <conditionalFormatting sqref="G21">
    <cfRule type="expression" dxfId="213" priority="18" stopIfTrue="1">
      <formula>AND(#REF!-TODAY()&lt;30,TODAY()&lt;#REF!)</formula>
    </cfRule>
  </conditionalFormatting>
  <conditionalFormatting sqref="G21">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C14">
    <cfRule type="expression" dxfId="209" priority="14">
      <formula>AND($C14-TODAY()&lt;30,TODAY()&lt;$C14)</formula>
    </cfRule>
  </conditionalFormatting>
  <conditionalFormatting sqref="C14">
    <cfRule type="cellIs" dxfId="208" priority="15" stopIfTrue="1" operator="lessThan">
      <formula>$B$2</formula>
    </cfRule>
  </conditionalFormatting>
  <conditionalFormatting sqref="B14">
    <cfRule type="cellIs" dxfId="207" priority="13" stopIfTrue="1" operator="equal">
      <formula>"已过期"</formula>
    </cfRule>
  </conditionalFormatting>
  <conditionalFormatting sqref="G14">
    <cfRule type="cellIs" dxfId="206" priority="12"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D15">
    <cfRule type="expression" dxfId="203" priority="8">
      <formula>AND($C15-TODAY()&lt;30,TODAY()&lt;$C15)</formula>
    </cfRule>
  </conditionalFormatting>
  <conditionalFormatting sqref="D15">
    <cfRule type="cellIs" dxfId="202" priority="9" stopIfTrue="1" operator="lessThan">
      <formula>$B$2</formula>
    </cfRule>
  </conditionalFormatting>
  <conditionalFormatting sqref="F15">
    <cfRule type="cellIs" dxfId="201" priority="7" stopIfTrue="1" operator="equal">
      <formula>"已过期"</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C15">
    <cfRule type="expression" dxfId="198" priority="3">
      <formula>AND($C15-TODAY()&lt;30,TODAY()&lt;$C15)</formula>
    </cfRule>
  </conditionalFormatting>
  <conditionalFormatting sqref="C15">
    <cfRule type="cellIs" dxfId="197" priority="4" stopIfTrue="1" operator="lessThan">
      <formula>$B$2</formula>
    </cfRule>
  </conditionalFormatting>
  <conditionalFormatting sqref="B15">
    <cfRule type="cellIs" dxfId="196" priority="2" stopIfTrue="1" operator="equal">
      <formula>"已过期"</formula>
    </cfRule>
  </conditionalFormatting>
  <conditionalFormatting sqref="G15">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典型户型修正</vt:lpstr>
      <vt:lpstr>结果表-车库</vt:lpstr>
      <vt:lpstr>成本法 (元)</vt:lpstr>
      <vt:lpstr>基准地价修正</vt:lpstr>
      <vt:lpstr>比较法-车位</vt:lpstr>
      <vt:lpstr>比较法-仓储</vt:lpstr>
      <vt:lpstr>土地比较法-住宅、综合</vt:lpstr>
      <vt:lpstr>土地比较法-工业</vt:lpstr>
      <vt:lpstr>修正</vt:lpstr>
      <vt:lpstr>容积率修正</vt:lpstr>
      <vt:lpstr>基准地价（汇总）</vt:lpstr>
      <vt:lpstr>地价</vt:lpstr>
      <vt:lpstr>收益法 (元)-车库</vt:lpstr>
      <vt:lpstr>成本法（废）</vt:lpstr>
      <vt:lpstr>区片价</vt:lpstr>
      <vt:lpstr>因素修正幅度</vt:lpstr>
      <vt:lpstr>存贷款利率</vt:lpstr>
      <vt:lpstr>区片价（范围）</vt:lpstr>
      <vt:lpstr>典型户型修正-车库</vt:lpstr>
      <vt:lpstr>清单</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 (元)-车库'!Print_Area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2021-09-06T05:15:21Z</dcterms:modified>
</cp:coreProperties>
</file>