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747 北京市西城区琉璃厂东街22、24号1-5幢\"/>
    </mc:Choice>
  </mc:AlternateContent>
  <xr:revisionPtr revIDLastSave="0" documentId="13_ncr:1_{290B7702-939C-4395-A3D2-F41ED3985CB8}" xr6:coauthVersionLast="45" xr6:coauthVersionMax="45" xr10:uidLastSave="{00000000-0000-0000-0000-000000000000}"/>
  <bookViews>
    <workbookView xWindow="0" yWindow="2715" windowWidth="21600" windowHeight="10185"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租售" sheetId="82" r:id="rId37"/>
    <sheet name="前门"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74" l="1"/>
  <c r="B14" i="74"/>
  <c r="C33" i="33" l="1"/>
  <c r="F19" i="6"/>
  <c r="F93" i="33" l="1"/>
  <c r="AH6" i="1"/>
  <c r="F4" i="31"/>
  <c r="E4" i="31"/>
  <c r="D4" i="31"/>
  <c r="C4" i="31"/>
  <c r="I33" i="33" l="1"/>
  <c r="G33" i="33"/>
  <c r="G85" i="82"/>
  <c r="K60" i="82"/>
  <c r="H15" i="82"/>
  <c r="H7" i="82"/>
  <c r="I7" i="82" s="1"/>
  <c r="L6" i="82"/>
  <c r="J6" i="82"/>
  <c r="I6" i="82"/>
  <c r="L5" i="82"/>
  <c r="I5" i="82"/>
  <c r="J5" i="82" s="1"/>
  <c r="L4" i="82"/>
  <c r="I4" i="82"/>
  <c r="J4" i="82" s="1"/>
  <c r="L3" i="82"/>
  <c r="I3" i="82"/>
  <c r="J3" i="82" s="1"/>
  <c r="C20" i="81"/>
  <c r="R7" i="81"/>
  <c r="R20" i="81" s="1"/>
  <c r="U3" i="81"/>
  <c r="I5" i="33"/>
  <c r="I11" i="33"/>
  <c r="G11" i="33"/>
  <c r="E11" i="33"/>
  <c r="V25" i="1"/>
  <c r="K23" i="81" l="1"/>
  <c r="D5" i="9"/>
  <c r="O24" i="1" l="1"/>
  <c r="O23" i="1"/>
  <c r="O21" i="1"/>
  <c r="O22" i="1"/>
  <c r="O20" i="1"/>
  <c r="Y6" i="1" l="1"/>
  <c r="C19" i="6" l="1"/>
  <c r="I16" i="3"/>
  <c r="K16" i="3" s="1"/>
  <c r="I15" i="3"/>
  <c r="K15" i="3" s="1"/>
  <c r="I14" i="3"/>
  <c r="K14" i="3" s="1"/>
  <c r="I13" i="3"/>
  <c r="K13" i="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Z3" i="79"/>
  <c r="AB3" i="79"/>
  <c r="S10" i="79"/>
  <c r="U10" i="79"/>
  <c r="R11" i="79"/>
  <c r="V11" i="79"/>
  <c r="S12" i="79"/>
  <c r="U12" i="79"/>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O37" i="71"/>
  <c r="C38" i="71" s="1"/>
  <c r="N37" i="71"/>
  <c r="X37" i="71" s="1"/>
  <c r="D37" i="71"/>
  <c r="Q36" i="71"/>
  <c r="AB36" i="71" s="1"/>
  <c r="P36" i="71"/>
  <c r="O36" i="71"/>
  <c r="Y36" i="71" s="1"/>
  <c r="Z36" i="71" s="1"/>
  <c r="N36" i="71"/>
  <c r="X36" i="71" s="1"/>
  <c r="Q35" i="71"/>
  <c r="P35" i="71"/>
  <c r="AA34" i="71" s="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Q30" i="71"/>
  <c r="AB30" i="71" s="1"/>
  <c r="P30" i="71"/>
  <c r="O30" i="71"/>
  <c r="N30" i="71"/>
  <c r="Q29" i="71"/>
  <c r="P29" i="71"/>
  <c r="AA29" i="71" s="1"/>
  <c r="O29" i="71"/>
  <c r="N29" i="71"/>
  <c r="X25" i="71" s="1"/>
  <c r="D29" i="71"/>
  <c r="O28" i="71"/>
  <c r="N28" i="71"/>
  <c r="B28" i="71" s="1"/>
  <c r="B30" i="71"/>
  <c r="B31" i="71" s="1"/>
  <c r="B32" i="71" s="1"/>
  <c r="S32" i="71" s="1"/>
  <c r="E30" i="71"/>
  <c r="E31" i="71" s="1"/>
  <c r="E32" i="71" s="1"/>
  <c r="U32" i="71" s="1"/>
  <c r="B34" i="71"/>
  <c r="B35" i="71" s="1"/>
  <c r="B36" i="71" s="1"/>
  <c r="S36" i="71" s="1"/>
  <c r="B38" i="71"/>
  <c r="B39" i="71" s="1"/>
  <c r="B40" i="71" s="1"/>
  <c r="S40" i="71" s="1"/>
  <c r="E38" i="71"/>
  <c r="E39" i="71" s="1"/>
  <c r="E40" i="71" s="1"/>
  <c r="U40" i="71" s="1"/>
  <c r="E34" i="71"/>
  <c r="E35" i="71" s="1"/>
  <c r="E36" i="71" s="1"/>
  <c r="U36" i="71" s="1"/>
  <c r="C30" i="71"/>
  <c r="D30" i="71" s="1"/>
  <c r="X31" i="71"/>
  <c r="AB33" i="71"/>
  <c r="AA35" i="71"/>
  <c r="AA36" i="71"/>
  <c r="X38" i="71"/>
  <c r="C28" i="71"/>
  <c r="C27" i="71" s="1"/>
  <c r="C31" i="71"/>
  <c r="D31" i="71" s="1"/>
  <c r="P28" i="71"/>
  <c r="AA3" i="71" s="1"/>
  <c r="E63" i="71"/>
  <c r="E64" i="71" s="1"/>
  <c r="U64" i="71" s="1"/>
  <c r="Q65" i="71"/>
  <c r="U68" i="71"/>
  <c r="E67" i="71"/>
  <c r="E66" i="71" s="1"/>
  <c r="Q28" i="71"/>
  <c r="C55" i="71"/>
  <c r="D55" i="71" s="1"/>
  <c r="C63" i="71"/>
  <c r="C64" i="71" s="1"/>
  <c r="Q67" i="71"/>
  <c r="T68" i="71"/>
  <c r="O68" i="71"/>
  <c r="D68" i="71"/>
  <c r="C67" i="71"/>
  <c r="O67" i="71" s="1"/>
  <c r="Q68" i="71"/>
  <c r="E71" i="71"/>
  <c r="E70" i="71" s="1"/>
  <c r="C75" i="71"/>
  <c r="C74" i="71" s="1"/>
  <c r="D74" i="71" s="1"/>
  <c r="E75" i="71"/>
  <c r="E74" i="71"/>
  <c r="D76" i="71"/>
  <c r="C79" i="71"/>
  <c r="C78" i="71" s="1"/>
  <c r="D78" i="71" s="1"/>
  <c r="E79" i="71"/>
  <c r="E78" i="71"/>
  <c r="C87" i="71"/>
  <c r="D87" i="71" s="1"/>
  <c r="F28" i="71"/>
  <c r="F27" i="71" s="1"/>
  <c r="F26" i="71" s="1"/>
  <c r="AB27" i="71"/>
  <c r="D28" i="71"/>
  <c r="U28" i="71" s="1"/>
  <c r="D67" i="71"/>
  <c r="C86" i="71"/>
  <c r="D86"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21" i="34"/>
  <c r="C21" i="34"/>
  <c r="Q21" i="33"/>
  <c r="Z21" i="33" s="1"/>
  <c r="D83" i="33"/>
  <c r="E83" i="33" s="1"/>
  <c r="F83" i="33" s="1"/>
  <c r="C21" i="33"/>
  <c r="C21" i="21"/>
  <c r="Q21" i="21"/>
  <c r="Z21" i="21" s="1"/>
  <c r="H19" i="21"/>
  <c r="D83" i="21"/>
  <c r="F21" i="21"/>
  <c r="AA21" i="21" s="1"/>
  <c r="D81" i="21"/>
  <c r="G20" i="20"/>
  <c r="B88" i="43" s="1"/>
  <c r="C22" i="20"/>
  <c r="C25" i="40"/>
  <c r="S18" i="36"/>
  <c r="F94" i="40"/>
  <c r="H25" i="40"/>
  <c r="AB25" i="40" s="1"/>
  <c r="G94" i="40"/>
  <c r="J25" i="40"/>
  <c r="AC25" i="40" s="1"/>
  <c r="H29" i="39"/>
  <c r="J29" i="39"/>
  <c r="AC29" i="39" s="1"/>
  <c r="J18" i="36"/>
  <c r="AC18" i="36" s="1"/>
  <c r="H18" i="35"/>
  <c r="U18" i="35" s="1"/>
  <c r="S18" i="35"/>
  <c r="J18" i="35"/>
  <c r="W18" i="35" s="1"/>
  <c r="F77" i="37"/>
  <c r="H21" i="37"/>
  <c r="AB21" i="37" s="1"/>
  <c r="F21" i="37"/>
  <c r="AA21" i="37" s="1"/>
  <c r="F84" i="34"/>
  <c r="H21" i="34"/>
  <c r="U21" i="34" s="1"/>
  <c r="H21" i="33"/>
  <c r="AB21" i="33" s="1"/>
  <c r="F21" i="33"/>
  <c r="AA21" i="33" s="1"/>
  <c r="E83" i="21"/>
  <c r="F83" i="21" s="1"/>
  <c r="G83" i="21" s="1"/>
  <c r="S21" i="21"/>
  <c r="H1" i="69"/>
  <c r="W25" i="40"/>
  <c r="U25" i="40"/>
  <c r="W18" i="36"/>
  <c r="U21" i="37"/>
  <c r="AB21" i="34"/>
  <c r="U21" i="33"/>
  <c r="S21" i="33"/>
  <c r="AC18" i="35"/>
  <c r="G77" i="37"/>
  <c r="J21" i="37"/>
  <c r="G84" i="34"/>
  <c r="J21" i="34"/>
  <c r="G83" i="33"/>
  <c r="J21" i="33"/>
  <c r="AC21" i="33" s="1"/>
  <c r="H21" i="21"/>
  <c r="U21" i="21" s="1"/>
  <c r="F38" i="69"/>
  <c r="E37" i="69"/>
  <c r="F36" i="69"/>
  <c r="F35" i="69"/>
  <c r="F21" i="69"/>
  <c r="F40" i="69" s="1"/>
  <c r="F20" i="69"/>
  <c r="F39" i="69" s="1"/>
  <c r="E10" i="69"/>
  <c r="E9" i="69"/>
  <c r="AC21" i="37"/>
  <c r="W21" i="37"/>
  <c r="AC21" i="34"/>
  <c r="W21" i="34"/>
  <c r="AB21" i="21"/>
  <c r="J21" i="21"/>
  <c r="AC21" i="21" s="1"/>
  <c r="F38" i="68"/>
  <c r="E37" i="68"/>
  <c r="F36" i="68"/>
  <c r="F35" i="68"/>
  <c r="F21" i="68"/>
  <c r="F40" i="68" s="1"/>
  <c r="F20" i="68"/>
  <c r="F39" i="68" s="1"/>
  <c r="E10" i="68"/>
  <c r="E9" i="68"/>
  <c r="W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M54" i="43"/>
  <c r="N54" i="43" s="1"/>
  <c r="K54" i="43"/>
  <c r="J54" i="43" s="1"/>
  <c r="D54" i="43"/>
  <c r="M53" i="43"/>
  <c r="N53" i="43" s="1"/>
  <c r="K53" i="43"/>
  <c r="J53" i="43" s="1"/>
  <c r="D53" i="43"/>
  <c r="M52" i="43"/>
  <c r="N52" i="43" s="1"/>
  <c r="K52" i="43"/>
  <c r="J52" i="43" s="1"/>
  <c r="D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R522" i="3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5" i="31" s="1"/>
  <c r="C25" i="31" s="1"/>
  <c r="AC13" i="3"/>
  <c r="H14" i="3"/>
  <c r="B26" i="31" s="1"/>
  <c r="C26" i="31" s="1"/>
  <c r="AC14" i="3"/>
  <c r="H15" i="3"/>
  <c r="B27" i="31" s="1"/>
  <c r="C27" i="31" s="1"/>
  <c r="AC15" i="3"/>
  <c r="H16" i="3"/>
  <c r="B28" i="31" s="1"/>
  <c r="C28" i="31" s="1"/>
  <c r="AC16" i="3"/>
  <c r="H17" i="3"/>
  <c r="B24" i="31" s="1"/>
  <c r="B22"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B5"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c r="G112" i="34" s="1"/>
  <c r="H112" i="34" s="1"/>
  <c r="I112" i="34" s="1"/>
  <c r="J112" i="34" s="1"/>
  <c r="K112" i="34" s="1"/>
  <c r="L112" i="34" s="1"/>
  <c r="M112" i="34" s="1"/>
  <c r="F40" i="33"/>
  <c r="AA40" i="33" s="1"/>
  <c r="J41" i="33"/>
  <c r="AC41" i="33" s="1"/>
  <c r="D113" i="33"/>
  <c r="E113" i="33" s="1"/>
  <c r="F113" i="33" s="1"/>
  <c r="G113" i="33" s="1"/>
  <c r="H113" i="33" s="1"/>
  <c r="F37" i="33"/>
  <c r="S37" i="33" s="1"/>
  <c r="D111" i="33"/>
  <c r="E111" i="33" s="1"/>
  <c r="F111" i="33" s="1"/>
  <c r="S516" i="31"/>
  <c r="S518"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H14" i="39" s="1"/>
  <c r="AB14" i="39" s="1"/>
  <c r="B83" i="39"/>
  <c r="B81" i="39"/>
  <c r="H12" i="39" s="1"/>
  <c r="AB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E103" i="37" s="1"/>
  <c r="F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B82" i="37"/>
  <c r="D79" i="37"/>
  <c r="E79" i="37" s="1"/>
  <c r="F79" i="37" s="1"/>
  <c r="D75" i="37"/>
  <c r="E75" i="37" s="1"/>
  <c r="F75" i="37" s="1"/>
  <c r="D73" i="37"/>
  <c r="E73" i="37" s="1"/>
  <c r="F73" i="37" s="1"/>
  <c r="D71" i="37"/>
  <c r="E71" i="37" s="1"/>
  <c r="H15" i="37"/>
  <c r="AB15" i="37" s="1"/>
  <c r="B68" i="37"/>
  <c r="J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B61" i="35"/>
  <c r="B59" i="35"/>
  <c r="B131" i="34"/>
  <c r="B129" i="34"/>
  <c r="B127" i="34"/>
  <c r="B99" i="34"/>
  <c r="B97" i="34"/>
  <c r="B95" i="34"/>
  <c r="B93" i="34"/>
  <c r="J29" i="34" s="1"/>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D87" i="33"/>
  <c r="E87" i="33" s="1"/>
  <c r="D85" i="33"/>
  <c r="E85" i="33" s="1"/>
  <c r="F85" i="33" s="1"/>
  <c r="G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F42" i="2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U9" i="39"/>
  <c r="U30" i="37"/>
  <c r="G103" i="37"/>
  <c r="H103" i="37" s="1"/>
  <c r="I103" i="37" s="1"/>
  <c r="J103" i="37" s="1"/>
  <c r="K103" i="37" s="1"/>
  <c r="L103" i="37" s="1"/>
  <c r="M103" i="37" s="1"/>
  <c r="F39" i="37"/>
  <c r="F29" i="36"/>
  <c r="AA29" i="36" s="1"/>
  <c r="F16" i="36"/>
  <c r="W28" i="36"/>
  <c r="J33" i="36"/>
  <c r="AC33" i="36" s="1"/>
  <c r="H22" i="35"/>
  <c r="AC27" i="35"/>
  <c r="S31" i="35"/>
  <c r="F36" i="34"/>
  <c r="J35" i="34"/>
  <c r="H39" i="33"/>
  <c r="AB39" i="33" s="1"/>
  <c r="S40" i="33"/>
  <c r="H39" i="37"/>
  <c r="AB39" i="37" s="1"/>
  <c r="F11" i="40"/>
  <c r="AA11" i="40" s="1"/>
  <c r="H11" i="40"/>
  <c r="AB11" i="40" s="1"/>
  <c r="W8" i="40"/>
  <c r="AA9" i="40"/>
  <c r="AC9"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H19" i="39"/>
  <c r="F19" i="39"/>
  <c r="AA19" i="39" s="1"/>
  <c r="H17" i="39"/>
  <c r="AB17" i="39" s="1"/>
  <c r="F17" i="39"/>
  <c r="AA17" i="39" s="1"/>
  <c r="J23" i="40"/>
  <c r="AC23" i="40" s="1"/>
  <c r="F21" i="40"/>
  <c r="J21" i="40"/>
  <c r="H42" i="39"/>
  <c r="AB42" i="39" s="1"/>
  <c r="J34" i="39"/>
  <c r="AC34" i="39" s="1"/>
  <c r="H27" i="39"/>
  <c r="U27" i="39" s="1"/>
  <c r="J19" i="39"/>
  <c r="AC19" i="39" s="1"/>
  <c r="J17" i="39"/>
  <c r="J27" i="39"/>
  <c r="AC27" i="39" s="1"/>
  <c r="F27" i="39"/>
  <c r="F11" i="21"/>
  <c r="S11" i="21" s="1"/>
  <c r="S40" i="21"/>
  <c r="U34" i="21"/>
  <c r="S34" i="21"/>
  <c r="C27" i="39"/>
  <c r="H11" i="39"/>
  <c r="S40" i="39"/>
  <c r="H32" i="33"/>
  <c r="AB32" i="33" s="1"/>
  <c r="H11" i="21"/>
  <c r="U11" i="21" s="1"/>
  <c r="J11" i="21"/>
  <c r="W11" i="21" s="1"/>
  <c r="H37" i="40"/>
  <c r="U37" i="40" s="1"/>
  <c r="H36" i="40"/>
  <c r="AB36" i="40" s="1"/>
  <c r="F35" i="40"/>
  <c r="AA35" i="40" s="1"/>
  <c r="H23" i="40"/>
  <c r="H17" i="40"/>
  <c r="U17" i="40" s="1"/>
  <c r="J15" i="40"/>
  <c r="W15" i="40" s="1"/>
  <c r="J11" i="40"/>
  <c r="AA12" i="34"/>
  <c r="J34" i="36"/>
  <c r="W34" i="36" s="1"/>
  <c r="U30" i="36"/>
  <c r="J30" i="35"/>
  <c r="W30" i="35" s="1"/>
  <c r="H30" i="35"/>
  <c r="AB30" i="35" s="1"/>
  <c r="F22" i="35"/>
  <c r="AA22" i="35"/>
  <c r="H10" i="35"/>
  <c r="U10" i="35" s="1"/>
  <c r="F33" i="36"/>
  <c r="AA33" i="36" s="1"/>
  <c r="H16" i="36"/>
  <c r="AB16" i="36" s="1"/>
  <c r="E85" i="36"/>
  <c r="F85" i="36" s="1"/>
  <c r="G85" i="36"/>
  <c r="H85" i="36" s="1"/>
  <c r="I85" i="36" s="1"/>
  <c r="J85" i="36" s="1"/>
  <c r="K85" i="36" s="1"/>
  <c r="L85" i="36" s="1"/>
  <c r="M85" i="36" s="1"/>
  <c r="J29" i="36"/>
  <c r="AC29"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H36" i="34"/>
  <c r="U36" i="34" s="1"/>
  <c r="F37" i="34"/>
  <c r="AA37" i="34" s="1"/>
  <c r="S35" i="34"/>
  <c r="F28" i="34"/>
  <c r="AA28" i="34" s="1"/>
  <c r="F25" i="34"/>
  <c r="S25" i="34" s="1"/>
  <c r="H23" i="34"/>
  <c r="J23" i="34"/>
  <c r="F19" i="34"/>
  <c r="H17" i="34"/>
  <c r="U17" i="34" s="1"/>
  <c r="F15" i="34"/>
  <c r="AA15" i="34" s="1"/>
  <c r="J15" i="34"/>
  <c r="AC15" i="34" s="1"/>
  <c r="H15" i="34"/>
  <c r="AB15" i="34" s="1"/>
  <c r="W8" i="34"/>
  <c r="J28" i="34"/>
  <c r="W28" i="34" s="1"/>
  <c r="F41" i="33"/>
  <c r="J19" i="33"/>
  <c r="AC19" i="33" s="1"/>
  <c r="J15" i="33"/>
  <c r="AC15" i="33" s="1"/>
  <c r="F11" i="33"/>
  <c r="AA11" i="33" s="1"/>
  <c r="W40" i="33"/>
  <c r="F37" i="40"/>
  <c r="AA37" i="40" s="1"/>
  <c r="F36" i="40"/>
  <c r="AA36" i="40" s="1"/>
  <c r="H28" i="40"/>
  <c r="U28" i="40" s="1"/>
  <c r="F23" i="40"/>
  <c r="F17" i="40"/>
  <c r="AA17" i="40" s="1"/>
  <c r="J17" i="40"/>
  <c r="W17" i="40" s="1"/>
  <c r="F15" i="40"/>
  <c r="S15" i="40" s="1"/>
  <c r="H15" i="40"/>
  <c r="AB15" i="40" s="1"/>
  <c r="F29" i="35"/>
  <c r="S29" i="35" s="1"/>
  <c r="H29" i="35"/>
  <c r="AB29" i="35" s="1"/>
  <c r="H33" i="37"/>
  <c r="F33" i="37"/>
  <c r="AA33" i="37" s="1"/>
  <c r="J43" i="34"/>
  <c r="J40" i="34"/>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15" i="34"/>
  <c r="I113" i="33"/>
  <c r="J113" i="33" s="1"/>
  <c r="K113" i="33" s="1"/>
  <c r="L113" i="33" s="1"/>
  <c r="M113" i="33" s="1"/>
  <c r="H37" i="33"/>
  <c r="AB37" i="33"/>
  <c r="H15" i="33"/>
  <c r="AB15" i="33" s="1"/>
  <c r="H11" i="33"/>
  <c r="F28" i="40"/>
  <c r="AA28" i="40" s="1"/>
  <c r="AA29" i="35"/>
  <c r="AC38" i="34"/>
  <c r="J37" i="34"/>
  <c r="AC37" i="34" s="1"/>
  <c r="J11" i="33"/>
  <c r="W11" i="33" s="1"/>
  <c r="S28" i="34"/>
  <c r="J123" i="21"/>
  <c r="K123" i="21" s="1"/>
  <c r="L123" i="21" s="1"/>
  <c r="M123" i="21" s="1"/>
  <c r="J42" i="21"/>
  <c r="AC42" i="21" s="1"/>
  <c r="H42" i="21"/>
  <c r="U42" i="21" s="1"/>
  <c r="J44" i="34"/>
  <c r="W44" i="34" s="1"/>
  <c r="F44" i="34"/>
  <c r="J10" i="35"/>
  <c r="AC10" i="35" s="1"/>
  <c r="J44" i="21"/>
  <c r="AC44" i="21" s="1"/>
  <c r="H44" i="21"/>
  <c r="U44" i="21" s="1"/>
  <c r="F44" i="21"/>
  <c r="AA44" i="21" s="1"/>
  <c r="H46" i="21"/>
  <c r="U46" i="21" s="1"/>
  <c r="J46" i="21"/>
  <c r="W46" i="21" s="1"/>
  <c r="F46" i="21"/>
  <c r="AA46" i="21" s="1"/>
  <c r="H119" i="2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J13" i="33"/>
  <c r="H13" i="33"/>
  <c r="U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H28" i="36"/>
  <c r="U28" i="36" s="1"/>
  <c r="H32" i="36"/>
  <c r="AB32" i="36" s="1"/>
  <c r="J32" i="36"/>
  <c r="W32" i="36" s="1"/>
  <c r="J11" i="36"/>
  <c r="AC11" i="36" s="1"/>
  <c r="F11" i="36"/>
  <c r="AA11" i="36" s="1"/>
  <c r="H13" i="36"/>
  <c r="AB13" i="36" s="1"/>
  <c r="J13" i="36"/>
  <c r="W13" i="36" s="1"/>
  <c r="F13" i="36"/>
  <c r="S13" i="36" s="1"/>
  <c r="G89" i="37"/>
  <c r="H89" i="37" s="1"/>
  <c r="I89" i="37" s="1"/>
  <c r="J89" i="37" s="1"/>
  <c r="K89" i="37" s="1"/>
  <c r="L89" i="37" s="1"/>
  <c r="M89" i="37" s="1"/>
  <c r="J29" i="37"/>
  <c r="W29" i="37"/>
  <c r="F29" i="37"/>
  <c r="S29" i="37"/>
  <c r="H36" i="37"/>
  <c r="AB36" i="37" s="1"/>
  <c r="J37" i="37"/>
  <c r="AC37" i="37" s="1"/>
  <c r="H37" i="37"/>
  <c r="U37" i="37" s="1"/>
  <c r="H40" i="37"/>
  <c r="H30" i="33"/>
  <c r="J25" i="36"/>
  <c r="W25" i="36" s="1"/>
  <c r="F25" i="36"/>
  <c r="S25" i="36" s="1"/>
  <c r="H25" i="36"/>
  <c r="AB25" i="36" s="1"/>
  <c r="F13" i="37"/>
  <c r="S13" i="37" s="1"/>
  <c r="F43" i="39"/>
  <c r="H43" i="39"/>
  <c r="H12" i="40"/>
  <c r="AB12" i="40" s="1"/>
  <c r="H30" i="40"/>
  <c r="AB30" i="40" s="1"/>
  <c r="F33" i="40"/>
  <c r="AA33" i="40" s="1"/>
  <c r="H33" i="40"/>
  <c r="U33" i="40" s="1"/>
  <c r="J35" i="40"/>
  <c r="J37" i="40"/>
  <c r="AC37" i="40" s="1"/>
  <c r="H13" i="40"/>
  <c r="U13" i="40" s="1"/>
  <c r="F13" i="39"/>
  <c r="J13" i="39"/>
  <c r="W13" i="39" s="1"/>
  <c r="H13" i="39"/>
  <c r="J36" i="37"/>
  <c r="AC36" i="37" s="1"/>
  <c r="J10" i="36"/>
  <c r="AC10" i="36" s="1"/>
  <c r="AC13" i="36"/>
  <c r="S11" i="36"/>
  <c r="AB46" i="34"/>
  <c r="AC30" i="34"/>
  <c r="AA14" i="34"/>
  <c r="S45" i="33"/>
  <c r="AB45" i="33"/>
  <c r="AB31" i="33"/>
  <c r="U31" i="33"/>
  <c r="W29" i="33"/>
  <c r="F17" i="21"/>
  <c r="AA17" i="21" s="1"/>
  <c r="H17" i="21"/>
  <c r="AB17" i="21" s="1"/>
  <c r="F15" i="21"/>
  <c r="S15" i="21" s="1"/>
  <c r="J41" i="39"/>
  <c r="W41" i="39" s="1"/>
  <c r="G500" i="3"/>
  <c r="BL572" i="3"/>
  <c r="BL582" i="3"/>
  <c r="BL536" i="3"/>
  <c r="BL496" i="3"/>
  <c r="BA556" i="3"/>
  <c r="BA542" i="3"/>
  <c r="BA526" i="3"/>
  <c r="BA496" i="3"/>
  <c r="AZ496" i="3" s="1"/>
  <c r="BA575" i="3"/>
  <c r="BA559" i="3"/>
  <c r="BA541" i="3"/>
  <c r="BA525" i="3"/>
  <c r="G583" i="3"/>
  <c r="G561" i="3"/>
  <c r="AC557" i="3"/>
  <c r="G557" i="3" s="1"/>
  <c r="BQ557" i="3"/>
  <c r="BQ583" i="3"/>
  <c r="BQ581" i="3"/>
  <c r="BQ579" i="3"/>
  <c r="BQ577" i="3"/>
  <c r="BQ575" i="3"/>
  <c r="BQ573" i="3"/>
  <c r="BQ571" i="3"/>
  <c r="BQ569" i="3"/>
  <c r="BQ567" i="3"/>
  <c r="BQ565" i="3"/>
  <c r="BQ563" i="3"/>
  <c r="BQ561" i="3"/>
  <c r="BQ559" i="3"/>
  <c r="G553" i="3"/>
  <c r="BQ555" i="3"/>
  <c r="BQ553" i="3"/>
  <c r="BQ551" i="3"/>
  <c r="BQ549" i="3"/>
  <c r="BQ547" i="3"/>
  <c r="BQ545" i="3"/>
  <c r="BQ543" i="3"/>
  <c r="BQ541" i="3"/>
  <c r="BQ539" i="3"/>
  <c r="BQ537" i="3"/>
  <c r="BQ535" i="3"/>
  <c r="BQ533" i="3"/>
  <c r="BQ531" i="3"/>
  <c r="BQ529" i="3"/>
  <c r="BQ527" i="3"/>
  <c r="BQ525" i="3"/>
  <c r="BQ523" i="3"/>
  <c r="BA521" i="3"/>
  <c r="AC521" i="3"/>
  <c r="BQ521" i="3"/>
  <c r="G511" i="3"/>
  <c r="BQ519" i="3"/>
  <c r="BL519" i="3"/>
  <c r="BQ517" i="3"/>
  <c r="BQ515" i="3"/>
  <c r="BQ513" i="3"/>
  <c r="BQ511" i="3"/>
  <c r="AC509" i="3"/>
  <c r="BQ509" i="3"/>
  <c r="BL508" i="3"/>
  <c r="G495" i="3"/>
  <c r="BQ507" i="3"/>
  <c r="BL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3" i="37"/>
  <c r="AB23" i="37" s="1"/>
  <c r="J32" i="37"/>
  <c r="AC32" i="37" s="1"/>
  <c r="F36" i="37"/>
  <c r="AA36" i="37" s="1"/>
  <c r="F37" i="37"/>
  <c r="AA37" i="37" s="1"/>
  <c r="F32" i="40"/>
  <c r="H32" i="40"/>
  <c r="AB32" i="40" s="1"/>
  <c r="J36" i="40"/>
  <c r="W36" i="40" s="1"/>
  <c r="AA41" i="34"/>
  <c r="H19" i="37"/>
  <c r="AB19" i="37" s="1"/>
  <c r="H42" i="33"/>
  <c r="AB42" i="33" s="1"/>
  <c r="J43" i="33"/>
  <c r="AC43" i="33" s="1"/>
  <c r="U43" i="33"/>
  <c r="AA12" i="35"/>
  <c r="AC36" i="34"/>
  <c r="AC31" i="33"/>
  <c r="AC45" i="33"/>
  <c r="U19" i="21"/>
  <c r="W44" i="21"/>
  <c r="U26" i="21"/>
  <c r="AC46" i="21"/>
  <c r="AB38" i="21"/>
  <c r="F43" i="33"/>
  <c r="AA43" i="33" s="1"/>
  <c r="W16" i="35"/>
  <c r="G107" i="37"/>
  <c r="H107" i="37" s="1"/>
  <c r="I107" i="37" s="1"/>
  <c r="J107" i="37" s="1"/>
  <c r="K107" i="37" s="1"/>
  <c r="L107" i="37" s="1"/>
  <c r="M107" i="37" s="1"/>
  <c r="H37" i="21"/>
  <c r="U37" i="21" s="1"/>
  <c r="H19" i="34"/>
  <c r="AB19" i="34" s="1"/>
  <c r="F36" i="35"/>
  <c r="J9" i="37"/>
  <c r="W9" i="37" s="1"/>
  <c r="H9" i="37"/>
  <c r="U9" i="37" s="1"/>
  <c r="F9" i="37"/>
  <c r="S9" i="37" s="1"/>
  <c r="H12" i="37"/>
  <c r="AB12" i="37" s="1"/>
  <c r="F15" i="37"/>
  <c r="F31" i="37"/>
  <c r="S31" i="37" s="1"/>
  <c r="J42" i="39"/>
  <c r="AC42" i="39" s="1"/>
  <c r="H21" i="40"/>
  <c r="AB21" i="40" s="1"/>
  <c r="F94" i="37"/>
  <c r="G94" i="37" s="1"/>
  <c r="H94" i="37" s="1"/>
  <c r="I94" i="37" s="1"/>
  <c r="J94" i="37" s="1"/>
  <c r="K94" i="37" s="1"/>
  <c r="L94" i="37" s="1"/>
  <c r="M94" i="37" s="1"/>
  <c r="H31" i="37"/>
  <c r="U31" i="37" s="1"/>
  <c r="F71" i="37"/>
  <c r="G71" i="37" s="1"/>
  <c r="J15" i="37"/>
  <c r="W15" i="37" s="1"/>
  <c r="AT6" i="3"/>
  <c r="H19" i="40"/>
  <c r="U19" i="40" s="1"/>
  <c r="F88" i="40"/>
  <c r="G88" i="40" s="1"/>
  <c r="F19" i="40"/>
  <c r="S19" i="40" s="1"/>
  <c r="AC13" i="40"/>
  <c r="AB33" i="40"/>
  <c r="AC43" i="39"/>
  <c r="W43" i="39"/>
  <c r="G100"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204" i="3" s="1"/>
  <c r="AZ67" i="3"/>
  <c r="AZ71" i="3"/>
  <c r="AZ83" i="3"/>
  <c r="AZ136" i="3"/>
  <c r="AZ144" i="3"/>
  <c r="AZ200" i="3"/>
  <c r="AZ85" i="3"/>
  <c r="G522" i="3"/>
  <c r="G498"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70" i="3"/>
  <c r="AZ190" i="3"/>
  <c r="AZ194" i="3"/>
  <c r="AZ198" i="3"/>
  <c r="AZ202" i="3"/>
  <c r="AZ206" i="3"/>
  <c r="BL303" i="3"/>
  <c r="AZ303" i="3" s="1"/>
  <c r="G304" i="3"/>
  <c r="BA306" i="3"/>
  <c r="AZ306" i="3" s="1"/>
  <c r="BL307" i="3"/>
  <c r="AZ307" i="3" s="1"/>
  <c r="G308" i="3"/>
  <c r="BA310" i="3"/>
  <c r="BL311" i="3"/>
  <c r="G312" i="3"/>
  <c r="BA314" i="3"/>
  <c r="AZ314" i="3" s="1"/>
  <c r="BL315" i="3"/>
  <c r="G316" i="3"/>
  <c r="BA318" i="3"/>
  <c r="BL319" i="3"/>
  <c r="AZ319" i="3" s="1"/>
  <c r="G320" i="3"/>
  <c r="BA322" i="3"/>
  <c r="BL323" i="3"/>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s="1"/>
  <c r="AZ233" i="3"/>
  <c r="AZ237" i="3"/>
  <c r="BA379" i="3"/>
  <c r="AZ379" i="3" s="1"/>
  <c r="BL380" i="3"/>
  <c r="G381" i="3"/>
  <c r="BA383" i="3"/>
  <c r="AZ383" i="3" s="1"/>
  <c r="BL384" i="3"/>
  <c r="G385" i="3"/>
  <c r="BA387" i="3"/>
  <c r="AZ387" i="3" s="1"/>
  <c r="BL388" i="3"/>
  <c r="G389" i="3"/>
  <c r="BA391" i="3"/>
  <c r="BL392" i="3"/>
  <c r="G393" i="3"/>
  <c r="G548" i="3"/>
  <c r="BE5" i="3"/>
  <c r="G17" i="3"/>
  <c r="BT5" i="3"/>
  <c r="AZ350" i="3"/>
  <c r="AZ356" i="3"/>
  <c r="AZ491" i="3"/>
  <c r="F83" i="43"/>
  <c r="H85" i="43" s="1"/>
  <c r="F50" i="43"/>
  <c r="H54" i="43" s="1"/>
  <c r="F72" i="43"/>
  <c r="H75" i="43" s="1"/>
  <c r="U17" i="39"/>
  <c r="U43" i="21"/>
  <c r="U35" i="21"/>
  <c r="G8" i="1"/>
  <c r="G10" i="1"/>
  <c r="AC11" i="39"/>
  <c r="AC44" i="34"/>
  <c r="U12" i="40"/>
  <c r="J37" i="33"/>
  <c r="W37" i="33" s="1"/>
  <c r="AC17" i="34"/>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U29" i="36"/>
  <c r="H32" i="37"/>
  <c r="AB32" i="37"/>
  <c r="F96" i="37"/>
  <c r="H27" i="40"/>
  <c r="U27" i="40" s="1"/>
  <c r="J27" i="40"/>
  <c r="AC27" i="40" s="1"/>
  <c r="F27" i="40"/>
  <c r="S27" i="40" s="1"/>
  <c r="J30" i="40"/>
  <c r="AC30" i="40" s="1"/>
  <c r="F30" i="40"/>
  <c r="S11"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AZ386" i="3"/>
  <c r="C40" i="11"/>
  <c r="AZ235" i="3"/>
  <c r="AZ240" i="3"/>
  <c r="AZ130" i="3"/>
  <c r="AZ21" i="3"/>
  <c r="AZ66" i="3"/>
  <c r="AZ69" i="3"/>
  <c r="AZ72" i="3"/>
  <c r="AZ74"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U33" i="36"/>
  <c r="AZ408" i="3"/>
  <c r="AA39" i="34"/>
  <c r="BL14" i="3"/>
  <c r="F12" i="33"/>
  <c r="AA12" i="33" s="1"/>
  <c r="F39" i="40"/>
  <c r="S39" i="40" s="1"/>
  <c r="BA14" i="3"/>
  <c r="AZ238" i="3"/>
  <c r="AZ165" i="3"/>
  <c r="AZ189" i="3"/>
  <c r="AZ197" i="3"/>
  <c r="AZ19" i="3"/>
  <c r="B12" i="1"/>
  <c r="E12" i="1" s="1"/>
  <c r="B10" i="1"/>
  <c r="E10" i="1" s="1"/>
  <c r="AZ80" i="3"/>
  <c r="K12" i="1"/>
  <c r="M12" i="1" s="1"/>
  <c r="S13" i="1"/>
  <c r="AR13" i="1" s="1"/>
  <c r="R13" i="1"/>
  <c r="C42" i="1"/>
  <c r="C24" i="12" s="1"/>
  <c r="B41" i="1"/>
  <c r="F48" i="9" s="1"/>
  <c r="O52" i="9" s="1"/>
  <c r="AB37" i="40"/>
  <c r="S35" i="40"/>
  <c r="U35" i="40"/>
  <c r="S17" i="40"/>
  <c r="AC15" i="40"/>
  <c r="S28" i="40"/>
  <c r="F32" i="39"/>
  <c r="F106" i="39"/>
  <c r="G106" i="39" s="1"/>
  <c r="H106" i="39" s="1"/>
  <c r="I106" i="39" s="1"/>
  <c r="J106" i="39" s="1"/>
  <c r="K106" i="39" s="1"/>
  <c r="L106" i="39" s="1"/>
  <c r="M106" i="39" s="1"/>
  <c r="AB27" i="39"/>
  <c r="J21" i="39"/>
  <c r="W21" i="39" s="1"/>
  <c r="F21" i="39"/>
  <c r="S21" i="39" s="1"/>
  <c r="H21" i="39"/>
  <c r="U21" i="39" s="1"/>
  <c r="W19" i="39"/>
  <c r="S15" i="39"/>
  <c r="AC13" i="39"/>
  <c r="U13" i="36"/>
  <c r="S33" i="36"/>
  <c r="AA26" i="36"/>
  <c r="AA34" i="36"/>
  <c r="AA22" i="36"/>
  <c r="W14" i="36"/>
  <c r="U22" i="36"/>
  <c r="AA25" i="36"/>
  <c r="U23" i="36"/>
  <c r="AB20" i="36"/>
  <c r="S14" i="36"/>
  <c r="U29" i="35"/>
  <c r="U28" i="35"/>
  <c r="AB27" i="35"/>
  <c r="U32" i="35"/>
  <c r="AC30" i="35"/>
  <c r="AB16" i="35"/>
  <c r="S20" i="35"/>
  <c r="S22" i="35"/>
  <c r="AA11" i="35"/>
  <c r="AC9" i="35"/>
  <c r="W9" i="35"/>
  <c r="F9" i="35"/>
  <c r="S9" i="35" s="1"/>
  <c r="H9" i="35"/>
  <c r="U9" i="35" s="1"/>
  <c r="AC29" i="37"/>
  <c r="S32" i="37"/>
  <c r="W30" i="37"/>
  <c r="U32" i="37"/>
  <c r="W39" i="37"/>
  <c r="S37" i="37"/>
  <c r="J17" i="37"/>
  <c r="W17" i="37" s="1"/>
  <c r="G73" i="37"/>
  <c r="F17" i="37"/>
  <c r="AA17" i="37" s="1"/>
  <c r="AB17" i="37"/>
  <c r="F19" i="37"/>
  <c r="AA19" i="37" s="1"/>
  <c r="F23" i="37"/>
  <c r="S23" i="37" s="1"/>
  <c r="U23" i="37"/>
  <c r="U15" i="37"/>
  <c r="H10" i="37"/>
  <c r="AB10" i="37" s="1"/>
  <c r="F63" i="37"/>
  <c r="F11" i="37"/>
  <c r="S11" i="37" s="1"/>
  <c r="W25" i="34"/>
  <c r="AB8" i="34"/>
  <c r="U44" i="34"/>
  <c r="AC39" i="34"/>
  <c r="W41" i="34"/>
  <c r="AC42" i="34"/>
  <c r="AB35" i="34"/>
  <c r="U39" i="34"/>
  <c r="S43" i="34"/>
  <c r="AB41" i="34"/>
  <c r="U28" i="34"/>
  <c r="U15" i="34"/>
  <c r="H10" i="34"/>
  <c r="AB10" i="34" s="1"/>
  <c r="F11" i="34"/>
  <c r="S11" i="34" s="1"/>
  <c r="F70" i="34"/>
  <c r="W42" i="33"/>
  <c r="AA29" i="33"/>
  <c r="AB29" i="33"/>
  <c r="W38" i="33"/>
  <c r="H41" i="33"/>
  <c r="F121" i="33"/>
  <c r="G121" i="33" s="1"/>
  <c r="H121" i="33" s="1"/>
  <c r="I121" i="33" s="1"/>
  <c r="J121" i="33" s="1"/>
  <c r="K121" i="33" s="1"/>
  <c r="L121" i="33" s="1"/>
  <c r="M121" i="33" s="1"/>
  <c r="U42" i="33"/>
  <c r="S42" i="33"/>
  <c r="F36" i="33"/>
  <c r="AA36" i="33" s="1"/>
  <c r="G111" i="33"/>
  <c r="J35" i="33"/>
  <c r="AC35" i="33" s="1"/>
  <c r="AA37" i="33"/>
  <c r="S39" i="33"/>
  <c r="W43" i="33"/>
  <c r="S43" i="33"/>
  <c r="F87" i="33"/>
  <c r="G87" i="33" s="1"/>
  <c r="H87" i="33" s="1"/>
  <c r="I87" i="33" s="1"/>
  <c r="J87" i="33" s="1"/>
  <c r="K87" i="33" s="1"/>
  <c r="L87" i="33" s="1"/>
  <c r="M87" i="33" s="1"/>
  <c r="F81" i="33"/>
  <c r="F19" i="33"/>
  <c r="S19" i="33" s="1"/>
  <c r="J17" i="33"/>
  <c r="AC17" i="33" s="1"/>
  <c r="F79" i="33"/>
  <c r="G79" i="33" s="1"/>
  <c r="J10" i="33"/>
  <c r="W10" i="33" s="1"/>
  <c r="H10" i="33"/>
  <c r="U10" i="33" s="1"/>
  <c r="AC11" i="33"/>
  <c r="W36" i="21"/>
  <c r="W41" i="21"/>
  <c r="AB39" i="21"/>
  <c r="AA43" i="21"/>
  <c r="S39" i="21"/>
  <c r="AA38" i="21"/>
  <c r="AA36" i="21"/>
  <c r="AC40" i="21"/>
  <c r="J15" i="21"/>
  <c r="W15" i="21" s="1"/>
  <c r="F23" i="21"/>
  <c r="S23" i="21" s="1"/>
  <c r="E85" i="21"/>
  <c r="D120" i="9"/>
  <c r="D121" i="9" s="1"/>
  <c r="D7" i="52" s="1"/>
  <c r="C18" i="9"/>
  <c r="D18" i="9" s="1"/>
  <c r="G13" i="3"/>
  <c r="BL17"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S3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S23" i="39"/>
  <c r="AB39" i="39"/>
  <c r="W34" i="39"/>
  <c r="U38" i="39"/>
  <c r="S8" i="39"/>
  <c r="S20" i="36"/>
  <c r="AC25" i="36"/>
  <c r="U32" i="36"/>
  <c r="W29" i="36"/>
  <c r="AC20" i="36"/>
  <c r="U25" i="36"/>
  <c r="AB28" i="36"/>
  <c r="AA13" i="36"/>
  <c r="W22" i="36"/>
  <c r="W23" i="36"/>
  <c r="AB20" i="35"/>
  <c r="S24" i="35"/>
  <c r="AA16" i="35"/>
  <c r="AA35" i="37"/>
  <c r="W36" i="37"/>
  <c r="W32" i="37"/>
  <c r="U36" i="37"/>
  <c r="AB37" i="37"/>
  <c r="AC34" i="37"/>
  <c r="AB35" i="37"/>
  <c r="AA31" i="37"/>
  <c r="U19" i="37"/>
  <c r="AA29" i="37"/>
  <c r="U8" i="37"/>
  <c r="AA40" i="34"/>
  <c r="AB40" i="34"/>
  <c r="U19" i="34"/>
  <c r="W19" i="34"/>
  <c r="AB33" i="34"/>
  <c r="AA30"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U39" i="33"/>
  <c r="U38" i="33"/>
  <c r="U44" i="33"/>
  <c r="AB44" i="33"/>
  <c r="S31" i="33"/>
  <c r="AA31" i="33"/>
  <c r="W13" i="33"/>
  <c r="AC13" i="33"/>
  <c r="S11" i="33"/>
  <c r="U37" i="33"/>
  <c r="W9"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s="1"/>
  <c r="F29" i="21"/>
  <c r="S29" i="21" s="1"/>
  <c r="F13" i="21"/>
  <c r="AA13" i="21" s="1"/>
  <c r="AC38" i="21"/>
  <c r="H32" i="21"/>
  <c r="H9" i="21"/>
  <c r="U9" i="21" s="1"/>
  <c r="J9" i="21"/>
  <c r="J32" i="21"/>
  <c r="W32" i="21" s="1"/>
  <c r="F32" i="21"/>
  <c r="U17" i="21"/>
  <c r="S19" i="21"/>
  <c r="S9" i="21"/>
  <c r="AA9" i="21"/>
  <c r="K141" i="21"/>
  <c r="K144" i="21"/>
  <c r="K143" i="21"/>
  <c r="U27" i="21"/>
  <c r="AB25" i="21"/>
  <c r="AB44" i="21"/>
  <c r="W13" i="21"/>
  <c r="W42" i="21"/>
  <c r="F10" i="21"/>
  <c r="AA10" i="21" s="1"/>
  <c r="K145" i="21"/>
  <c r="W25" i="21"/>
  <c r="AA29" i="21"/>
  <c r="S27" i="21"/>
  <c r="S17" i="21"/>
  <c r="AA15" i="21"/>
  <c r="AC27" i="21"/>
  <c r="AC26"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D68" i="9"/>
  <c r="F54" i="9"/>
  <c r="J32" i="39"/>
  <c r="W32" i="39" s="1"/>
  <c r="H32" i="39"/>
  <c r="AB32" i="39" s="1"/>
  <c r="AA32" i="39"/>
  <c r="S32" i="39"/>
  <c r="AB21" i="39"/>
  <c r="AA21" i="39"/>
  <c r="AC17" i="37"/>
  <c r="J19" i="37"/>
  <c r="AC19" i="37" s="1"/>
  <c r="G75" i="37"/>
  <c r="S19" i="37"/>
  <c r="AA23" i="37"/>
  <c r="J23" i="37"/>
  <c r="AC23" i="37" s="1"/>
  <c r="G79" i="37"/>
  <c r="J10" i="37"/>
  <c r="W10" i="37" s="1"/>
  <c r="G63" i="37"/>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H19" i="33"/>
  <c r="AB19" i="33" s="1"/>
  <c r="G81" i="33"/>
  <c r="H17" i="33"/>
  <c r="U17" i="33" s="1"/>
  <c r="F17" i="33"/>
  <c r="W17" i="33"/>
  <c r="AA23" i="21"/>
  <c r="AB15" i="21"/>
  <c r="J23" i="21"/>
  <c r="W23" i="21" s="1"/>
  <c r="F85" i="21"/>
  <c r="G85" i="21" s="1"/>
  <c r="H23" i="21"/>
  <c r="AB23" i="21" s="1"/>
  <c r="S13" i="21"/>
  <c r="AP7" i="1"/>
  <c r="AB9" i="21"/>
  <c r="AA32" i="21"/>
  <c r="S32" i="21"/>
  <c r="W9" i="21"/>
  <c r="AC9" i="21"/>
  <c r="AB32" i="21"/>
  <c r="U32" i="21"/>
  <c r="A18" i="62"/>
  <c r="B64" i="72" s="1"/>
  <c r="U32" i="39"/>
  <c r="AC32" i="39"/>
  <c r="W23" i="37"/>
  <c r="H63" i="37"/>
  <c r="I63" i="37" s="1"/>
  <c r="J63" i="37" s="1"/>
  <c r="K63" i="37" s="1"/>
  <c r="L63" i="37" s="1"/>
  <c r="M63" i="37" s="1"/>
  <c r="J11" i="37"/>
  <c r="AC11" i="37" s="1"/>
  <c r="J11" i="34"/>
  <c r="W11" i="34" s="1"/>
  <c r="AA17" i="33"/>
  <c r="S17" i="33"/>
  <c r="AC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E12" i="76"/>
  <c r="F42" i="67"/>
  <c r="F26" i="15"/>
  <c r="E8" i="76"/>
  <c r="B8" i="76"/>
  <c r="E7" i="76"/>
  <c r="D3" i="73"/>
  <c r="F3" i="73"/>
  <c r="F9" i="15"/>
  <c r="F20" i="31"/>
  <c r="AO13" i="1"/>
  <c r="D7" i="73"/>
  <c r="F36" i="15"/>
  <c r="M24" i="15"/>
  <c r="M28" i="67"/>
  <c r="E11" i="76"/>
  <c r="F7" i="73"/>
  <c r="B7" i="76"/>
  <c r="F5" i="73"/>
  <c r="D35" i="9"/>
  <c r="F6" i="15"/>
  <c r="D4" i="73"/>
  <c r="F43" i="15"/>
  <c r="M8" i="67"/>
  <c r="M9" i="15"/>
  <c r="F4" i="73"/>
  <c r="L48" i="15"/>
  <c r="E10" i="76"/>
  <c r="F40" i="15"/>
  <c r="E2" i="69"/>
  <c r="E13" i="76"/>
  <c r="B9" i="76"/>
  <c r="M29" i="15"/>
  <c r="F8" i="15"/>
  <c r="D6" i="73"/>
  <c r="F16" i="67"/>
  <c r="D34" i="9"/>
  <c r="E2" i="68"/>
  <c r="E9" i="76"/>
  <c r="F37" i="67"/>
  <c r="D5" i="73"/>
  <c r="F7" i="15"/>
  <c r="M6" i="15"/>
  <c r="F13" i="15"/>
  <c r="M22" i="15"/>
  <c r="F38" i="67"/>
  <c r="B11" i="76"/>
  <c r="B10" i="76"/>
  <c r="F6" i="73"/>
  <c r="B13" i="76"/>
  <c r="M8" i="15"/>
  <c r="B12" i="76"/>
  <c r="M9" i="67"/>
  <c r="L48" i="67"/>
  <c r="U23" i="21" l="1"/>
  <c r="D18" i="71"/>
  <c r="AB36" i="33"/>
  <c r="W19" i="37"/>
  <c r="AB19" i="40"/>
  <c r="AA19" i="40"/>
  <c r="AA30" i="40"/>
  <c r="S30" i="40"/>
  <c r="AA15" i="37"/>
  <c r="S15" i="37"/>
  <c r="W15" i="34"/>
  <c r="S32" i="40"/>
  <c r="AA32" i="40"/>
  <c r="AC5" i="3"/>
  <c r="G509" i="3"/>
  <c r="AA43" i="39"/>
  <c r="S43" i="39"/>
  <c r="U40" i="37"/>
  <c r="AB40" i="37"/>
  <c r="AB11" i="33"/>
  <c r="U11" i="33"/>
  <c r="AB17" i="34"/>
  <c r="AA23" i="34"/>
  <c r="S23" i="34"/>
  <c r="AB33" i="37"/>
  <c r="U33" i="37"/>
  <c r="W20" i="35"/>
  <c r="AC20" i="35"/>
  <c r="AA14" i="35"/>
  <c r="S14" i="35"/>
  <c r="AB22" i="35"/>
  <c r="U22" i="35"/>
  <c r="J29" i="21"/>
  <c r="H29" i="21"/>
  <c r="AB40" i="33"/>
  <c r="U40" i="33"/>
  <c r="E101" i="33"/>
  <c r="F101" i="33" s="1"/>
  <c r="G101" i="33" s="1"/>
  <c r="H101" i="33" s="1"/>
  <c r="I101" i="33" s="1"/>
  <c r="J101" i="33" s="1"/>
  <c r="K101" i="33" s="1"/>
  <c r="L101" i="33" s="1"/>
  <c r="M101" i="33" s="1"/>
  <c r="F32" i="33"/>
  <c r="AA32" i="33" s="1"/>
  <c r="J32" i="33"/>
  <c r="W32" i="33" s="1"/>
  <c r="E106" i="33"/>
  <c r="F106" i="33" s="1"/>
  <c r="G106" i="33" s="1"/>
  <c r="H106" i="33" s="1"/>
  <c r="I106" i="33" s="1"/>
  <c r="J106" i="33" s="1"/>
  <c r="K106" i="33" s="1"/>
  <c r="L106" i="33" s="1"/>
  <c r="M106" i="33" s="1"/>
  <c r="J34" i="33"/>
  <c r="H34" i="33"/>
  <c r="AB34" i="33" s="1"/>
  <c r="W14" i="35"/>
  <c r="AC14" i="35"/>
  <c r="AC22" i="35"/>
  <c r="W22" i="35"/>
  <c r="H27" i="37"/>
  <c r="J27" i="37"/>
  <c r="AC27" i="37" s="1"/>
  <c r="J40" i="37"/>
  <c r="F40" i="37"/>
  <c r="BL557" i="3"/>
  <c r="AZ557" i="3" s="1"/>
  <c r="BL527" i="3"/>
  <c r="BL511" i="3"/>
  <c r="S36" i="35"/>
  <c r="AA36" i="35"/>
  <c r="S25" i="21"/>
  <c r="AA25" i="21"/>
  <c r="AB30" i="33"/>
  <c r="U30" i="33"/>
  <c r="W26" i="36"/>
  <c r="AC26" i="36"/>
  <c r="AA23" i="40"/>
  <c r="S23" i="40"/>
  <c r="AB33" i="35"/>
  <c r="U33" i="35"/>
  <c r="AB14" i="35"/>
  <c r="U14" i="35"/>
  <c r="W21" i="40"/>
  <c r="AC21" i="40"/>
  <c r="AB19" i="39"/>
  <c r="U19" i="39"/>
  <c r="AA42" i="39"/>
  <c r="S42" i="39"/>
  <c r="AA16" i="36"/>
  <c r="S16" i="36"/>
  <c r="BA585" i="3"/>
  <c r="AA42" i="21"/>
  <c r="S42" i="21"/>
  <c r="H25" i="33"/>
  <c r="F25" i="33"/>
  <c r="AA25" i="33" s="1"/>
  <c r="H28" i="33"/>
  <c r="J28" i="33"/>
  <c r="W28" i="33" s="1"/>
  <c r="AB34" i="34"/>
  <c r="U34" i="34"/>
  <c r="AC28" i="35"/>
  <c r="W28" i="35"/>
  <c r="H36" i="35"/>
  <c r="AB36" i="35" s="1"/>
  <c r="J36" i="35"/>
  <c r="AA27" i="35"/>
  <c r="S27" i="35"/>
  <c r="AA23" i="36"/>
  <c r="S23" i="36"/>
  <c r="AB26" i="36"/>
  <c r="U26" i="36"/>
  <c r="AB34" i="36"/>
  <c r="U34" i="36"/>
  <c r="AA32" i="36"/>
  <c r="S32" i="36"/>
  <c r="AA30" i="37"/>
  <c r="S30" i="37"/>
  <c r="J12" i="37"/>
  <c r="F12" i="37"/>
  <c r="S12" i="37" s="1"/>
  <c r="BL583" i="3"/>
  <c r="BL569" i="3"/>
  <c r="BL559" i="3"/>
  <c r="AZ559" i="3" s="1"/>
  <c r="U14" i="39"/>
  <c r="AZ326" i="3"/>
  <c r="AZ323" i="3"/>
  <c r="AZ318" i="3"/>
  <c r="AZ310" i="3"/>
  <c r="AZ355" i="3"/>
  <c r="AZ351" i="3"/>
  <c r="AZ313" i="3"/>
  <c r="AZ304" i="3"/>
  <c r="AZ394" i="3"/>
  <c r="AZ380" i="3"/>
  <c r="AZ341" i="3"/>
  <c r="AZ325" i="3"/>
  <c r="AZ309" i="3"/>
  <c r="F31" i="40"/>
  <c r="BL571" i="3"/>
  <c r="F13" i="40"/>
  <c r="W41" i="33"/>
  <c r="G566" i="3"/>
  <c r="G563" i="3"/>
  <c r="G562" i="3"/>
  <c r="G559" i="3"/>
  <c r="G14" i="3"/>
  <c r="BA15" i="3"/>
  <c r="BL399" i="3"/>
  <c r="G400" i="3"/>
  <c r="G402" i="3"/>
  <c r="G406" i="3"/>
  <c r="G408" i="3"/>
  <c r="G411" i="3"/>
  <c r="BL412" i="3"/>
  <c r="G413" i="3"/>
  <c r="G416" i="3"/>
  <c r="BL417" i="3"/>
  <c r="G418" i="3"/>
  <c r="BA419" i="3"/>
  <c r="BL421" i="3"/>
  <c r="G422" i="3"/>
  <c r="BL423" i="3"/>
  <c r="G424" i="3"/>
  <c r="G427" i="3"/>
  <c r="BL428" i="3"/>
  <c r="G429" i="3"/>
  <c r="G432" i="3"/>
  <c r="BL433" i="3"/>
  <c r="G434" i="3"/>
  <c r="BA435" i="3"/>
  <c r="BA437" i="3"/>
  <c r="AZ437" i="3" s="1"/>
  <c r="BL437" i="3"/>
  <c r="BA439" i="3"/>
  <c r="BL439" i="3"/>
  <c r="BL440" i="3"/>
  <c r="G441" i="3"/>
  <c r="G443" i="3"/>
  <c r="G445" i="3"/>
  <c r="BA448" i="3"/>
  <c r="BL448" i="3"/>
  <c r="BL449" i="3"/>
  <c r="G450" i="3"/>
  <c r="BA451" i="3"/>
  <c r="AZ451" i="3" s="1"/>
  <c r="BA453" i="3"/>
  <c r="AZ453" i="3" s="1"/>
  <c r="BA454" i="3"/>
  <c r="AZ454" i="3" s="1"/>
  <c r="BL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BL577" i="3"/>
  <c r="BA576" i="3"/>
  <c r="BA571" i="3"/>
  <c r="BL549" i="3"/>
  <c r="AZ549" i="3" s="1"/>
  <c r="BA546" i="3"/>
  <c r="BA545" i="3"/>
  <c r="BL544" i="3"/>
  <c r="BL542" i="3"/>
  <c r="BA538" i="3"/>
  <c r="BA537" i="3"/>
  <c r="BL532" i="3"/>
  <c r="BA530" i="3"/>
  <c r="BA529" i="3"/>
  <c r="BL523" i="3"/>
  <c r="BL520" i="3"/>
  <c r="BL515" i="3"/>
  <c r="BA515" i="3"/>
  <c r="BL514" i="3"/>
  <c r="BA512" i="3"/>
  <c r="BA509" i="3"/>
  <c r="BL503" i="3"/>
  <c r="BA502" i="3"/>
  <c r="BA497" i="3"/>
  <c r="BL493" i="3"/>
  <c r="BI5" i="3"/>
  <c r="BA16"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L276" i="3"/>
  <c r="G277" i="3"/>
  <c r="BL279" i="3"/>
  <c r="G280" i="3"/>
  <c r="BL281" i="3"/>
  <c r="G282" i="3"/>
  <c r="G284" i="3"/>
  <c r="BA285" i="3"/>
  <c r="AZ285" i="3" s="1"/>
  <c r="BL285" i="3"/>
  <c r="BA287" i="3"/>
  <c r="AZ287" i="3" s="1"/>
  <c r="BL287" i="3"/>
  <c r="BA289" i="3"/>
  <c r="AZ289" i="3" s="1"/>
  <c r="BA291" i="3"/>
  <c r="BL291" i="3"/>
  <c r="BA292" i="3"/>
  <c r="AZ292" i="3" s="1"/>
  <c r="BL294" i="3"/>
  <c r="G295" i="3"/>
  <c r="BL296" i="3"/>
  <c r="G297" i="3"/>
  <c r="BA298" i="3"/>
  <c r="AZ298" i="3" s="1"/>
  <c r="BL298" i="3"/>
  <c r="BA300" i="3"/>
  <c r="AZ300"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A177" i="3"/>
  <c r="AZ177" i="3" s="1"/>
  <c r="BA178" i="3"/>
  <c r="AZ178" i="3" s="1"/>
  <c r="BL179" i="3"/>
  <c r="AZ179" i="3" s="1"/>
  <c r="BA182" i="3"/>
  <c r="AZ182" i="3" s="1"/>
  <c r="BL182" i="3"/>
  <c r="BA184" i="3"/>
  <c r="AZ184" i="3" s="1"/>
  <c r="G187" i="3"/>
  <c r="G206" i="3"/>
  <c r="G19" i="3"/>
  <c r="G21" i="3"/>
  <c r="BA23" i="3"/>
  <c r="BL23" i="3"/>
  <c r="BL25" i="3"/>
  <c r="G26" i="3"/>
  <c r="BA27" i="3"/>
  <c r="BL27" i="3"/>
  <c r="BA29" i="3"/>
  <c r="BL29" i="3"/>
  <c r="BA30" i="3"/>
  <c r="AZ30" i="3" s="1"/>
  <c r="BA31" i="3"/>
  <c r="AZ31" i="3" s="1"/>
  <c r="BA32" i="3"/>
  <c r="AZ32" i="3" s="1"/>
  <c r="BA33" i="3"/>
  <c r="AZ33" i="3" s="1"/>
  <c r="BA35" i="3"/>
  <c r="BL35" i="3"/>
  <c r="BL36" i="3"/>
  <c r="G37" i="3"/>
  <c r="BA38" i="3"/>
  <c r="BL38" i="3"/>
  <c r="BL40" i="3"/>
  <c r="G41" i="3"/>
  <c r="BL42" i="3"/>
  <c r="G43" i="3"/>
  <c r="BA44" i="3"/>
  <c r="BL44" i="3"/>
  <c r="BA46" i="3"/>
  <c r="AZ46" i="3" s="1"/>
  <c r="BA47" i="3"/>
  <c r="AZ47" i="3" s="1"/>
  <c r="BA49" i="3"/>
  <c r="AZ49" i="3" s="1"/>
  <c r="BA50" i="3"/>
  <c r="AZ50" i="3" s="1"/>
  <c r="BA51" i="3"/>
  <c r="AZ51" i="3" s="1"/>
  <c r="BA53" i="3"/>
  <c r="AZ53" i="3" s="1"/>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AZ93" i="3" s="1"/>
  <c r="B100" i="43"/>
  <c r="B57" i="43"/>
  <c r="AA21" i="34"/>
  <c r="S21" i="34"/>
  <c r="J55" i="43"/>
  <c r="D55" i="43"/>
  <c r="AB29" i="39"/>
  <c r="U29" i="39"/>
  <c r="D50" i="71"/>
  <c r="C51" i="71"/>
  <c r="D51" i="71" s="1"/>
  <c r="BL93" i="3"/>
  <c r="BL95" i="3"/>
  <c r="G96" i="3"/>
  <c r="G98" i="3"/>
  <c r="BA99" i="3"/>
  <c r="BL99" i="3"/>
  <c r="BA100" i="3"/>
  <c r="AZ100" i="3" s="1"/>
  <c r="BA101" i="3"/>
  <c r="AZ101" i="3" s="1"/>
  <c r="BA102" i="3"/>
  <c r="AZ102" i="3" s="1"/>
  <c r="BL104" i="3"/>
  <c r="G105" i="3"/>
  <c r="BA106" i="3"/>
  <c r="AZ106" i="3" s="1"/>
  <c r="BL106" i="3"/>
  <c r="BL108" i="3"/>
  <c r="G109" i="3"/>
  <c r="BL110" i="3"/>
  <c r="G111" i="3"/>
  <c r="BA112" i="3"/>
  <c r="AZ112" i="3" s="1"/>
  <c r="BL112" i="3"/>
  <c r="S25" i="40"/>
  <c r="P27" i="6"/>
  <c r="C32" i="71"/>
  <c r="T32" i="71" s="1"/>
  <c r="D79" i="71"/>
  <c r="AA25" i="71"/>
  <c r="T28" i="71"/>
  <c r="C83" i="71"/>
  <c r="C71" i="71"/>
  <c r="D71" i="71" s="1"/>
  <c r="AB37" i="71"/>
  <c r="C34" i="71"/>
  <c r="C35" i="71" s="1"/>
  <c r="Y29" i="71"/>
  <c r="Z29" i="71" s="1"/>
  <c r="AB29" i="71"/>
  <c r="Y30" i="71"/>
  <c r="Z30" i="71" s="1"/>
  <c r="X29" i="71"/>
  <c r="AB35" i="71"/>
  <c r="F39" i="71"/>
  <c r="F40" i="71" s="1"/>
  <c r="V40" i="71" s="1"/>
  <c r="B55" i="71"/>
  <c r="B56" i="71" s="1"/>
  <c r="S56" i="71" s="1"/>
  <c r="U32" i="33"/>
  <c r="J27" i="33"/>
  <c r="W27" i="33" s="1"/>
  <c r="H27" i="33"/>
  <c r="AB27" i="33" s="1"/>
  <c r="S28" i="33"/>
  <c r="AA35" i="33"/>
  <c r="F23" i="33"/>
  <c r="AA23" i="33" s="1"/>
  <c r="H23" i="33"/>
  <c r="U23" i="33" s="1"/>
  <c r="J23" i="33"/>
  <c r="W19" i="33"/>
  <c r="F27" i="33"/>
  <c r="U15" i="33"/>
  <c r="BJ5" i="3"/>
  <c r="BS5" i="3"/>
  <c r="BL15" i="3"/>
  <c r="AZ15" i="3" s="1"/>
  <c r="AC14" i="37"/>
  <c r="W14" i="37"/>
  <c r="AC40" i="37"/>
  <c r="W40" i="37"/>
  <c r="AB37" i="39"/>
  <c r="U37" i="39"/>
  <c r="D20" i="71"/>
  <c r="U20" i="71" s="1"/>
  <c r="T20" i="71"/>
  <c r="AB45" i="21"/>
  <c r="D6" i="52"/>
  <c r="S37" i="21"/>
  <c r="S17" i="37"/>
  <c r="W33" i="34"/>
  <c r="G7" i="33"/>
  <c r="I7" i="33"/>
  <c r="E7" i="33"/>
  <c r="W43" i="21"/>
  <c r="S17" i="34"/>
  <c r="AA25" i="34"/>
  <c r="U43" i="34"/>
  <c r="AA33" i="34"/>
  <c r="AA13" i="37"/>
  <c r="AC15" i="37"/>
  <c r="AC35" i="37"/>
  <c r="S36" i="37"/>
  <c r="AB31" i="37"/>
  <c r="U29" i="37"/>
  <c r="W27" i="37"/>
  <c r="AC12" i="35"/>
  <c r="S28" i="35"/>
  <c r="S32" i="35"/>
  <c r="AA33" i="35"/>
  <c r="U36" i="35"/>
  <c r="W24" i="35"/>
  <c r="U16" i="36"/>
  <c r="AB14" i="36"/>
  <c r="S9" i="39"/>
  <c r="S17" i="39"/>
  <c r="U25" i="39"/>
  <c r="U21" i="40"/>
  <c r="AB27" i="40"/>
  <c r="AC17" i="40"/>
  <c r="AC36" i="40"/>
  <c r="AZ14" i="3"/>
  <c r="S19" i="39"/>
  <c r="AC33" i="40"/>
  <c r="W37" i="37"/>
  <c r="AC35" i="21"/>
  <c r="U36" i="40"/>
  <c r="AZ391" i="3"/>
  <c r="AZ322" i="3"/>
  <c r="AZ311" i="3"/>
  <c r="AZ372" i="3"/>
  <c r="AZ337" i="3"/>
  <c r="AZ320" i="3"/>
  <c r="AZ305" i="3"/>
  <c r="AZ376" i="3"/>
  <c r="AZ362" i="3"/>
  <c r="AZ360" i="3"/>
  <c r="AZ343" i="3"/>
  <c r="W23" i="39"/>
  <c r="U12" i="21"/>
  <c r="AA13" i="33"/>
  <c r="U39" i="37"/>
  <c r="H31" i="40"/>
  <c r="H24" i="35"/>
  <c r="AA12" i="21"/>
  <c r="G521" i="3"/>
  <c r="BL529" i="3"/>
  <c r="AZ529" i="3" s="1"/>
  <c r="BL533" i="3"/>
  <c r="AZ533" i="3" s="1"/>
  <c r="BL537" i="3"/>
  <c r="AZ537" i="3" s="1"/>
  <c r="BL541" i="3"/>
  <c r="BL545" i="3"/>
  <c r="AZ545" i="3" s="1"/>
  <c r="F27" i="37"/>
  <c r="AA44" i="34"/>
  <c r="S44" i="34"/>
  <c r="U23" i="34"/>
  <c r="AB23" i="34"/>
  <c r="AC16" i="36"/>
  <c r="W11" i="40"/>
  <c r="AC11" i="40"/>
  <c r="C15" i="39"/>
  <c r="S39" i="37"/>
  <c r="AA39" i="37"/>
  <c r="AA41" i="21"/>
  <c r="B94" i="43"/>
  <c r="B73" i="43"/>
  <c r="C21" i="39"/>
  <c r="B99" i="43"/>
  <c r="B76" i="43"/>
  <c r="H9" i="33"/>
  <c r="F9" i="33"/>
  <c r="AA9" i="33" s="1"/>
  <c r="J34" i="35"/>
  <c r="J30" i="33"/>
  <c r="F30" i="33"/>
  <c r="H13" i="37"/>
  <c r="J13" i="37"/>
  <c r="H45" i="39"/>
  <c r="F45" i="39"/>
  <c r="J45" i="39"/>
  <c r="AA34" i="37"/>
  <c r="S34" i="37"/>
  <c r="H35" i="39"/>
  <c r="J35" i="39"/>
  <c r="F35" i="39"/>
  <c r="BA584" i="3"/>
  <c r="BL565" i="3"/>
  <c r="BL564" i="3"/>
  <c r="BA561" i="3"/>
  <c r="BL558" i="3"/>
  <c r="BA558" i="3"/>
  <c r="BL556" i="3"/>
  <c r="AZ556" i="3" s="1"/>
  <c r="BA555" i="3"/>
  <c r="BA554" i="3"/>
  <c r="BL553" i="3"/>
  <c r="AZ571" i="3"/>
  <c r="AZ541" i="3"/>
  <c r="AZ508" i="3"/>
  <c r="AZ526" i="3"/>
  <c r="AA41" i="33"/>
  <c r="S41" i="33"/>
  <c r="AB23" i="40"/>
  <c r="U23" i="40"/>
  <c r="BL587" i="3"/>
  <c r="BA587" i="3"/>
  <c r="AZ587" i="3" s="1"/>
  <c r="U20" i="1"/>
  <c r="B101" i="43"/>
  <c r="B79" i="43"/>
  <c r="C25" i="39"/>
  <c r="B97" i="43"/>
  <c r="B75" i="43"/>
  <c r="AA34" i="35"/>
  <c r="S34" i="35"/>
  <c r="J9" i="36"/>
  <c r="F9" i="36"/>
  <c r="H14" i="37"/>
  <c r="F14" i="37"/>
  <c r="AA34" i="39"/>
  <c r="S34" i="39"/>
  <c r="J37" i="39"/>
  <c r="F37" i="39"/>
  <c r="J40" i="40"/>
  <c r="H40" i="40"/>
  <c r="F40" i="40"/>
  <c r="S38" i="34"/>
  <c r="AA38" i="34"/>
  <c r="AA42" i="34"/>
  <c r="S42" i="34"/>
  <c r="U42" i="34"/>
  <c r="AB42" i="34"/>
  <c r="BL580" i="3"/>
  <c r="BA577" i="3"/>
  <c r="AZ577" i="3" s="1"/>
  <c r="BL574" i="3"/>
  <c r="BA574" i="3"/>
  <c r="BL573" i="3"/>
  <c r="BA573" i="3"/>
  <c r="BA572" i="3"/>
  <c r="AZ572" i="3" s="1"/>
  <c r="BA570" i="3"/>
  <c r="BA569" i="3"/>
  <c r="AZ569" i="3" s="1"/>
  <c r="BA548" i="3"/>
  <c r="BL547" i="3"/>
  <c r="BA547" i="3"/>
  <c r="BA544" i="3"/>
  <c r="AZ544" i="3" s="1"/>
  <c r="BL543" i="3"/>
  <c r="BA543" i="3"/>
  <c r="BL540" i="3"/>
  <c r="BA540" i="3"/>
  <c r="BL539" i="3"/>
  <c r="BA539" i="3"/>
  <c r="BA536" i="3"/>
  <c r="AZ536" i="3" s="1"/>
  <c r="BL535" i="3"/>
  <c r="BA535" i="3"/>
  <c r="BL534" i="3"/>
  <c r="AZ534" i="3" s="1"/>
  <c r="BA532" i="3"/>
  <c r="AZ532" i="3" s="1"/>
  <c r="BL531" i="3"/>
  <c r="BA531" i="3"/>
  <c r="BA528" i="3"/>
  <c r="AZ528" i="3" s="1"/>
  <c r="BA527" i="3"/>
  <c r="AZ527" i="3" s="1"/>
  <c r="BL524" i="3"/>
  <c r="BA520" i="3"/>
  <c r="BA519" i="3"/>
  <c r="AZ519" i="3" s="1"/>
  <c r="BA511" i="3"/>
  <c r="AZ511" i="3" s="1"/>
  <c r="BA510" i="3"/>
  <c r="BL506" i="3"/>
  <c r="BL504" i="3"/>
  <c r="BA504" i="3"/>
  <c r="BA501" i="3"/>
  <c r="BA498" i="3"/>
  <c r="BA493" i="3"/>
  <c r="AZ493" i="3" s="1"/>
  <c r="BL561" i="3"/>
  <c r="BL575" i="3"/>
  <c r="AZ575" i="3" s="1"/>
  <c r="G584" i="3"/>
  <c r="G581" i="3"/>
  <c r="G580" i="3"/>
  <c r="G570" i="3"/>
  <c r="G569" i="3"/>
  <c r="G568" i="3"/>
  <c r="G565" i="3"/>
  <c r="G564" i="3"/>
  <c r="G556" i="3"/>
  <c r="G555" i="3"/>
  <c r="G554" i="3"/>
  <c r="BA550" i="3"/>
  <c r="G526" i="3"/>
  <c r="G525" i="3"/>
  <c r="G523" i="3"/>
  <c r="G518" i="3"/>
  <c r="G517" i="3"/>
  <c r="G513" i="3"/>
  <c r="G510" i="3"/>
  <c r="G508" i="3"/>
  <c r="BA507" i="3"/>
  <c r="BA506" i="3"/>
  <c r="AZ506" i="3" s="1"/>
  <c r="G505" i="3"/>
  <c r="G504" i="3"/>
  <c r="BA503" i="3"/>
  <c r="G501" i="3"/>
  <c r="BL500" i="3"/>
  <c r="BA500" i="3"/>
  <c r="AZ500" i="3" s="1"/>
  <c r="BA499" i="3"/>
  <c r="BL498" i="3"/>
  <c r="G497" i="3"/>
  <c r="G496" i="3"/>
  <c r="BA495" i="3"/>
  <c r="BA494" i="3"/>
  <c r="G493" i="3"/>
  <c r="E5" i="6"/>
  <c r="U19" i="1"/>
  <c r="U21" i="1" s="1"/>
  <c r="AZ438" i="3"/>
  <c r="BF5" i="3"/>
  <c r="BA17" i="3"/>
  <c r="AZ17" i="3" s="1"/>
  <c r="BN5" i="3"/>
  <c r="BL16" i="3"/>
  <c r="AZ16" i="3" s="1"/>
  <c r="BQ5" i="3"/>
  <c r="F28" i="6" s="1"/>
  <c r="G6" i="1"/>
  <c r="I24" i="43"/>
  <c r="G398" i="3"/>
  <c r="BL398" i="3"/>
  <c r="AZ398" i="3" s="1"/>
  <c r="BA399" i="3"/>
  <c r="AZ399" i="3" s="1"/>
  <c r="BL401" i="3"/>
  <c r="AZ401" i="3" s="1"/>
  <c r="G403" i="3"/>
  <c r="G405" i="3"/>
  <c r="BL405" i="3"/>
  <c r="G407" i="3"/>
  <c r="BL407" i="3"/>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BA440" i="3"/>
  <c r="AZ440" i="3" s="1"/>
  <c r="BA441" i="3"/>
  <c r="AZ441" i="3" s="1"/>
  <c r="BA442" i="3"/>
  <c r="AZ442" i="3" s="1"/>
  <c r="BL442" i="3"/>
  <c r="G444" i="3"/>
  <c r="BL444" i="3"/>
  <c r="G446" i="3"/>
  <c r="BA447" i="3"/>
  <c r="AZ447" i="3" s="1"/>
  <c r="BA449" i="3"/>
  <c r="AZ449" i="3" s="1"/>
  <c r="BA450" i="3"/>
  <c r="BL450" i="3"/>
  <c r="G452" i="3"/>
  <c r="BL452" i="3"/>
  <c r="G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AZ385" i="3"/>
  <c r="AZ239" i="3"/>
  <c r="BA258" i="3"/>
  <c r="AZ258" i="3" s="1"/>
  <c r="BA259" i="3"/>
  <c r="AZ259" i="3" s="1"/>
  <c r="BL261" i="3"/>
  <c r="AZ261" i="3" s="1"/>
  <c r="BA262" i="3"/>
  <c r="AZ262" i="3" s="1"/>
  <c r="BA263" i="3"/>
  <c r="AZ263" i="3" s="1"/>
  <c r="BL265" i="3"/>
  <c r="AZ265" i="3" s="1"/>
  <c r="G268" i="3"/>
  <c r="G269" i="3"/>
  <c r="G270" i="3"/>
  <c r="BL270" i="3"/>
  <c r="AZ270" i="3" s="1"/>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G290" i="3"/>
  <c r="BL290" i="3"/>
  <c r="G293" i="3"/>
  <c r="BL293" i="3"/>
  <c r="AZ293"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G198" i="3"/>
  <c r="G199" i="3"/>
  <c r="D58" i="71"/>
  <c r="C59" i="71"/>
  <c r="G202" i="3"/>
  <c r="G203" i="3"/>
  <c r="G205" i="3"/>
  <c r="BL205" i="3"/>
  <c r="G18" i="3"/>
  <c r="BL18" i="3"/>
  <c r="AZ18" i="3" s="1"/>
  <c r="BL20" i="3"/>
  <c r="AZ20" i="3" s="1"/>
  <c r="BA22" i="3"/>
  <c r="AZ22" i="3" s="1"/>
  <c r="BL24" i="3"/>
  <c r="AZ24" i="3" s="1"/>
  <c r="BA25" i="3"/>
  <c r="AZ25" i="3" s="1"/>
  <c r="BA26" i="3"/>
  <c r="AZ26" i="3" s="1"/>
  <c r="BL28" i="3"/>
  <c r="AZ28" i="3" s="1"/>
  <c r="G31" i="3"/>
  <c r="G32" i="3"/>
  <c r="G33" i="3"/>
  <c r="G34" i="3"/>
  <c r="BL34" i="3"/>
  <c r="AZ34" i="3" s="1"/>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1" i="43"/>
  <c r="C5" i="68"/>
  <c r="C40" i="68"/>
  <c r="C40" i="69"/>
  <c r="AB18" i="35"/>
  <c r="C29" i="39"/>
  <c r="B68" i="43"/>
  <c r="B77" i="43"/>
  <c r="D32" i="71"/>
  <c r="C52" i="71"/>
  <c r="C56" i="71"/>
  <c r="C70" i="71"/>
  <c r="D70" i="71" s="1"/>
  <c r="D75" i="71"/>
  <c r="D63" i="71"/>
  <c r="C66" i="71"/>
  <c r="AA27" i="71"/>
  <c r="E28" i="71"/>
  <c r="E27" i="71" s="1"/>
  <c r="E26" i="71" s="1"/>
  <c r="AB25" i="71"/>
  <c r="D80" i="71"/>
  <c r="D72" i="71"/>
  <c r="D34" i="71"/>
  <c r="X27" i="71"/>
  <c r="Y37" i="71"/>
  <c r="Z37" i="71" s="1"/>
  <c r="X32" i="71"/>
  <c r="X30" i="71"/>
  <c r="AA30" i="71"/>
  <c r="AA33" i="71"/>
  <c r="B43" i="71"/>
  <c r="B44" i="71" s="1"/>
  <c r="S44" i="71" s="1"/>
  <c r="B47" i="71"/>
  <c r="B48" i="71" s="1"/>
  <c r="S48" i="71" s="1"/>
  <c r="V24" i="71"/>
  <c r="U25" i="33"/>
  <c r="AB25" i="33"/>
  <c r="J25" i="33"/>
  <c r="W25" i="33" s="1"/>
  <c r="S15" i="33"/>
  <c r="AA34" i="33"/>
  <c r="AC32" i="33"/>
  <c r="W35" i="33"/>
  <c r="U34" i="33"/>
  <c r="S32" i="33"/>
  <c r="AC27" i="33"/>
  <c r="U27" i="33"/>
  <c r="W21" i="33"/>
  <c r="S25" i="33"/>
  <c r="S23" i="33"/>
  <c r="U19" i="33"/>
  <c r="AA19" i="33"/>
  <c r="AB17" i="33"/>
  <c r="AC28" i="33"/>
  <c r="W15" i="33"/>
  <c r="W8" i="33"/>
  <c r="M20" i="67"/>
  <c r="F34" i="15"/>
  <c r="F62" i="15" s="1"/>
  <c r="F34" i="67"/>
  <c r="F62" i="67" s="1"/>
  <c r="G5" i="3"/>
  <c r="BH5" i="3"/>
  <c r="BD5" i="3"/>
  <c r="BO5" i="3"/>
  <c r="BK5" i="3"/>
  <c r="BG5" i="3"/>
  <c r="BC5" i="3"/>
  <c r="E8" i="6" s="1"/>
  <c r="BP5" i="3"/>
  <c r="G29" i="6" s="1"/>
  <c r="BR5" i="3"/>
  <c r="BM5" i="3"/>
  <c r="F29" i="6" s="1"/>
  <c r="BL13" i="3"/>
  <c r="BA13" i="3"/>
  <c r="C28" i="67"/>
  <c r="E19" i="71"/>
  <c r="E18" i="71" s="1"/>
  <c r="E17" i="71" s="1"/>
  <c r="E16" i="71" s="1"/>
  <c r="V20" i="71"/>
  <c r="AZ583" i="3"/>
  <c r="AZ558" i="3"/>
  <c r="AC35" i="40"/>
  <c r="W35" i="40"/>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J12" i="39"/>
  <c r="F12" i="39"/>
  <c r="F14" i="39"/>
  <c r="J14" i="39"/>
  <c r="AC14" i="39" s="1"/>
  <c r="H31" i="39"/>
  <c r="F31" i="39"/>
  <c r="J31" i="39"/>
  <c r="W32" i="40"/>
  <c r="AC32" i="40"/>
  <c r="AB31" i="35"/>
  <c r="U31" i="35"/>
  <c r="F36" i="39"/>
  <c r="H36" i="39"/>
  <c r="J36" i="39"/>
  <c r="BL584" i="3"/>
  <c r="AZ584" i="3" s="1"/>
  <c r="BA582" i="3"/>
  <c r="AZ582" i="3" s="1"/>
  <c r="BL581" i="3"/>
  <c r="BA581" i="3"/>
  <c r="BA580" i="3"/>
  <c r="AZ580" i="3" s="1"/>
  <c r="BL579" i="3"/>
  <c r="BA579" i="3"/>
  <c r="AZ579" i="3" s="1"/>
  <c r="BL578" i="3"/>
  <c r="BA578" i="3"/>
  <c r="AZ578" i="3" s="1"/>
  <c r="BL568" i="3"/>
  <c r="BA568" i="3"/>
  <c r="AZ568" i="3" s="1"/>
  <c r="BL567" i="3"/>
  <c r="BA567" i="3"/>
  <c r="AZ567" i="3" s="1"/>
  <c r="BA566" i="3"/>
  <c r="AZ566" i="3" s="1"/>
  <c r="BA564" i="3"/>
  <c r="AZ564" i="3" s="1"/>
  <c r="BL563" i="3"/>
  <c r="BA563" i="3"/>
  <c r="AZ563" i="3" s="1"/>
  <c r="BL562" i="3"/>
  <c r="BA562" i="3"/>
  <c r="AZ562" i="3" s="1"/>
  <c r="BL555" i="3"/>
  <c r="AZ555" i="3" s="1"/>
  <c r="BL554" i="3"/>
  <c r="AZ554" i="3" s="1"/>
  <c r="BA553" i="3"/>
  <c r="AZ553" i="3" s="1"/>
  <c r="BL552" i="3"/>
  <c r="AZ552" i="3" s="1"/>
  <c r="BL551" i="3"/>
  <c r="BL550" i="3"/>
  <c r="AZ550" i="3" s="1"/>
  <c r="BL548" i="3"/>
  <c r="AZ548" i="3" s="1"/>
  <c r="D17" i="71"/>
  <c r="C16" i="71"/>
  <c r="M23" i="43" s="1"/>
  <c r="D19" i="53"/>
  <c r="B38" i="72" s="1"/>
  <c r="D16" i="53"/>
  <c r="B34" i="72" s="1"/>
  <c r="W17" i="21"/>
  <c r="U12" i="39"/>
  <c r="AA27" i="40"/>
  <c r="G28" i="6"/>
  <c r="E28" i="6" s="1"/>
  <c r="K14" i="1" s="1"/>
  <c r="W12" i="37"/>
  <c r="AC12" i="37"/>
  <c r="AZ515" i="3"/>
  <c r="AZ565" i="3"/>
  <c r="AZ520" i="3"/>
  <c r="AZ542" i="3"/>
  <c r="AA21" i="40"/>
  <c r="S21" i="40"/>
  <c r="AA26" i="33"/>
  <c r="S26" i="33"/>
  <c r="J26" i="33"/>
  <c r="H26" i="33"/>
  <c r="AC9" i="34"/>
  <c r="W9" i="34"/>
  <c r="J27" i="34"/>
  <c r="F27" i="34"/>
  <c r="H27" i="34"/>
  <c r="AC31" i="37"/>
  <c r="W31" i="37"/>
  <c r="AB14" i="37"/>
  <c r="U14" i="37"/>
  <c r="U27" i="37"/>
  <c r="AB27" i="37"/>
  <c r="F28" i="37"/>
  <c r="J28" i="37"/>
  <c r="H28" i="37"/>
  <c r="H38" i="37"/>
  <c r="J38" i="37"/>
  <c r="F38" i="37"/>
  <c r="J12" i="40"/>
  <c r="F12" i="40"/>
  <c r="H14" i="40"/>
  <c r="J14" i="40"/>
  <c r="F14" i="40"/>
  <c r="F38" i="40"/>
  <c r="J38" i="40"/>
  <c r="H38" i="40"/>
  <c r="U41" i="21"/>
  <c r="AB41" i="21"/>
  <c r="BL525" i="3"/>
  <c r="AZ525" i="3" s="1"/>
  <c r="BA524" i="3"/>
  <c r="AZ524" i="3" s="1"/>
  <c r="BA523" i="3"/>
  <c r="AZ523" i="3" s="1"/>
  <c r="BL522" i="3"/>
  <c r="BA522" i="3"/>
  <c r="BL521" i="3"/>
  <c r="AZ521" i="3" s="1"/>
  <c r="BL518" i="3"/>
  <c r="BA518" i="3"/>
  <c r="BL517" i="3"/>
  <c r="BA517" i="3"/>
  <c r="BL516" i="3"/>
  <c r="BA516" i="3"/>
  <c r="BA514" i="3"/>
  <c r="AZ514" i="3" s="1"/>
  <c r="BL513" i="3"/>
  <c r="BA513" i="3"/>
  <c r="BL512" i="3"/>
  <c r="AZ512" i="3" s="1"/>
  <c r="BL510" i="3"/>
  <c r="AZ510" i="3" s="1"/>
  <c r="BL509" i="3"/>
  <c r="AZ509" i="3" s="1"/>
  <c r="AZ507" i="3"/>
  <c r="BL505" i="3"/>
  <c r="AZ505" i="3" s="1"/>
  <c r="AZ503" i="3"/>
  <c r="BL501" i="3"/>
  <c r="AZ501" i="3" s="1"/>
  <c r="BL499" i="3"/>
  <c r="AZ499" i="3" s="1"/>
  <c r="BL497" i="3"/>
  <c r="AZ497" i="3" s="1"/>
  <c r="BL495" i="3"/>
  <c r="AZ495" i="3" s="1"/>
  <c r="H5" i="3"/>
  <c r="BL586" i="3"/>
  <c r="BA586" i="3"/>
  <c r="J14" i="21"/>
  <c r="F14" i="21"/>
  <c r="H14" i="21"/>
  <c r="H30" i="21"/>
  <c r="F30" i="21"/>
  <c r="J30" i="21"/>
  <c r="J45" i="21"/>
  <c r="F45" i="21"/>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AZ576" i="3" s="1"/>
  <c r="BL570" i="3"/>
  <c r="AZ570" i="3" s="1"/>
  <c r="BL560" i="3"/>
  <c r="AZ560" i="3" s="1"/>
  <c r="BA551" i="3"/>
  <c r="AZ551" i="3" s="1"/>
  <c r="BL546" i="3"/>
  <c r="AZ546" i="3" s="1"/>
  <c r="BL538" i="3"/>
  <c r="AZ538" i="3" s="1"/>
  <c r="BL530" i="3"/>
  <c r="AZ530" i="3" s="1"/>
  <c r="BL502" i="3"/>
  <c r="AZ502" i="3" s="1"/>
  <c r="BL494" i="3"/>
  <c r="AZ494" i="3" s="1"/>
  <c r="AZ400" i="3"/>
  <c r="AZ405" i="3"/>
  <c r="AZ407" i="3"/>
  <c r="AZ419" i="3"/>
  <c r="AZ435" i="3"/>
  <c r="AZ439" i="3"/>
  <c r="AZ444" i="3"/>
  <c r="AZ448" i="3"/>
  <c r="AZ452" i="3"/>
  <c r="AZ456" i="3"/>
  <c r="AZ458" i="3"/>
  <c r="AZ462" i="3"/>
  <c r="AZ469" i="3"/>
  <c r="AZ472" i="3"/>
  <c r="AZ475" i="3"/>
  <c r="AZ483" i="3"/>
  <c r="AZ489" i="3"/>
  <c r="AZ316" i="3"/>
  <c r="AZ332" i="3"/>
  <c r="AZ397" i="3"/>
  <c r="AZ212" i="3"/>
  <c r="AZ217" i="3"/>
  <c r="AZ220" i="3"/>
  <c r="AZ228" i="3"/>
  <c r="AZ231" i="3"/>
  <c r="AZ244" i="3"/>
  <c r="AZ247" i="3"/>
  <c r="AZ260" i="3"/>
  <c r="AZ264" i="3"/>
  <c r="AZ277" i="3"/>
  <c r="AZ282" i="3"/>
  <c r="AZ290" i="3"/>
  <c r="AZ301" i="3"/>
  <c r="AZ122" i="3"/>
  <c r="AZ125" i="3"/>
  <c r="AZ169" i="3"/>
  <c r="AZ205" i="3"/>
  <c r="AZ23" i="3"/>
  <c r="AZ38" i="3"/>
  <c r="AZ48" i="3"/>
  <c r="AZ52" i="3"/>
  <c r="AZ56" i="3"/>
  <c r="AZ68" i="3"/>
  <c r="AZ73" i="3"/>
  <c r="AZ92" i="3"/>
  <c r="AZ103" i="3"/>
  <c r="T64" i="71"/>
  <c r="D64" i="71"/>
  <c r="P66" i="71"/>
  <c r="P65" i="71"/>
  <c r="D35" i="71"/>
  <c r="C36" i="71"/>
  <c r="B27" i="71"/>
  <c r="B26" i="71" s="1"/>
  <c r="S28" i="71"/>
  <c r="C39" i="71"/>
  <c r="D38" i="71"/>
  <c r="C43" i="71"/>
  <c r="D42" i="71"/>
  <c r="C47" i="71"/>
  <c r="D47" i="71" s="1"/>
  <c r="D46" i="71"/>
  <c r="C21" i="68"/>
  <c r="S21" i="37"/>
  <c r="W29" i="39"/>
  <c r="C26" i="71"/>
  <c r="D26" i="71" s="1"/>
  <c r="D27" i="71"/>
  <c r="U18" i="36"/>
  <c r="F30" i="71"/>
  <c r="F31" i="71" s="1"/>
  <c r="F32" i="71" s="1"/>
  <c r="V32" i="71" s="1"/>
  <c r="Y9" i="71"/>
  <c r="Z9" i="71" s="1"/>
  <c r="Y10" i="71"/>
  <c r="Z10" i="71" s="1"/>
  <c r="AA9" i="71"/>
  <c r="AA10" i="71"/>
  <c r="S68" i="71"/>
  <c r="B67" i="71"/>
  <c r="AB24" i="71"/>
  <c r="Y21" i="71"/>
  <c r="Z21" i="71" s="1"/>
  <c r="AB23" i="71"/>
  <c r="AB21" i="71"/>
  <c r="Y18" i="71"/>
  <c r="Z18" i="71" s="1"/>
  <c r="X17" i="71"/>
  <c r="Y17" i="71"/>
  <c r="Z17" i="71" s="1"/>
  <c r="AB18" i="71"/>
  <c r="Y14" i="71"/>
  <c r="Z14" i="71" s="1"/>
  <c r="AA17" i="71"/>
  <c r="V28" i="71"/>
  <c r="AA28" i="71"/>
  <c r="AA26" i="71"/>
  <c r="AB28" i="71"/>
  <c r="AB26" i="71"/>
  <c r="X28" i="71"/>
  <c r="X26" i="71"/>
  <c r="Y28" i="71"/>
  <c r="Z28" i="71" s="1"/>
  <c r="Y27" i="71"/>
  <c r="Z27" i="71" s="1"/>
  <c r="Y26" i="71"/>
  <c r="Z26" i="71" s="1"/>
  <c r="Y25" i="71"/>
  <c r="Z25" i="71" s="1"/>
  <c r="X35" i="71"/>
  <c r="X34" i="71"/>
  <c r="AA32" i="71"/>
  <c r="AA31" i="71"/>
  <c r="AA37" i="71"/>
  <c r="X9" i="71"/>
  <c r="X10" i="71"/>
  <c r="Y39" i="71"/>
  <c r="Z39" i="71" s="1"/>
  <c r="AA39" i="71"/>
  <c r="AB9" i="71"/>
  <c r="X22" i="71"/>
  <c r="AA24" i="71"/>
  <c r="AA22" i="71"/>
  <c r="X21" i="71"/>
  <c r="AA21" i="71"/>
  <c r="X18" i="71"/>
  <c r="AA18" i="71"/>
  <c r="X12" i="71"/>
  <c r="AA14" i="71"/>
  <c r="AB17" i="71"/>
  <c r="X24" i="71"/>
  <c r="Y24" i="71"/>
  <c r="Z24" i="71" s="1"/>
  <c r="AB15" i="71"/>
  <c r="AB13" i="71"/>
  <c r="AB10" i="71"/>
  <c r="Y11" i="71"/>
  <c r="Z11" i="71" s="1"/>
  <c r="Y13" i="71"/>
  <c r="Z13" i="71" s="1"/>
  <c r="AA12" i="71"/>
  <c r="X11" i="71"/>
  <c r="Y23" i="71"/>
  <c r="Z23" i="71" s="1"/>
  <c r="Y22" i="71"/>
  <c r="Z22" i="71" s="1"/>
  <c r="AA23" i="71"/>
  <c r="X15" i="71"/>
  <c r="AA15" i="71"/>
  <c r="AB12" i="71"/>
  <c r="AB11" i="71"/>
  <c r="AB14" i="71"/>
  <c r="Y12" i="71"/>
  <c r="Z12" i="71" s="1"/>
  <c r="AA11" i="71"/>
  <c r="AA13"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J53" i="67"/>
  <c r="J57" i="67"/>
  <c r="J55" i="67" s="1"/>
  <c r="J58" i="67" s="1"/>
  <c r="Q50" i="67" s="1"/>
  <c r="L56" i="67"/>
  <c r="I54" i="67"/>
  <c r="M7" i="15"/>
  <c r="J6" i="15" s="1"/>
  <c r="F50" i="15"/>
  <c r="F51" i="15"/>
  <c r="F71" i="15"/>
  <c r="C6" i="15"/>
  <c r="F66" i="67"/>
  <c r="F64" i="15"/>
  <c r="C27" i="15"/>
  <c r="B13" i="70"/>
  <c r="F68" i="15"/>
  <c r="C36" i="68"/>
  <c r="D9" i="68"/>
  <c r="M6" i="67"/>
  <c r="F38" i="15"/>
  <c r="F7" i="67"/>
  <c r="M24" i="67"/>
  <c r="F13" i="67"/>
  <c r="F26" i="67"/>
  <c r="F16" i="15"/>
  <c r="M22" i="67"/>
  <c r="M23" i="15"/>
  <c r="C76" i="15"/>
  <c r="F42" i="15"/>
  <c r="J15" i="67"/>
  <c r="F27" i="69"/>
  <c r="L47" i="67"/>
  <c r="F36" i="67"/>
  <c r="F9" i="67"/>
  <c r="M26" i="15"/>
  <c r="F8" i="67"/>
  <c r="D9" i="69"/>
  <c r="C36" i="69"/>
  <c r="M26" i="67"/>
  <c r="C76" i="67"/>
  <c r="F40" i="67"/>
  <c r="L47" i="15"/>
  <c r="M23" i="67"/>
  <c r="M28" i="15"/>
  <c r="J15" i="15"/>
  <c r="F37" i="15"/>
  <c r="G1" i="73"/>
  <c r="AZ504" i="3" l="1"/>
  <c r="AZ539" i="3"/>
  <c r="AZ543" i="3"/>
  <c r="AZ573" i="3"/>
  <c r="AZ574" i="3"/>
  <c r="AZ99" i="3"/>
  <c r="AZ90" i="3"/>
  <c r="AZ44" i="3"/>
  <c r="AZ35" i="3"/>
  <c r="AZ29" i="3"/>
  <c r="AZ27" i="3"/>
  <c r="AZ154" i="3"/>
  <c r="AZ149" i="3"/>
  <c r="AZ291" i="3"/>
  <c r="AZ275" i="3"/>
  <c r="AZ271" i="3"/>
  <c r="AZ251" i="3"/>
  <c r="AZ249" i="3"/>
  <c r="U28" i="33"/>
  <c r="AB28" i="33"/>
  <c r="AA40" i="37"/>
  <c r="S40" i="37"/>
  <c r="U29" i="21"/>
  <c r="AB29" i="21"/>
  <c r="AZ586" i="3"/>
  <c r="D83" i="71"/>
  <c r="C82" i="71"/>
  <c r="D82" i="71" s="1"/>
  <c r="AA13" i="40"/>
  <c r="S13" i="40"/>
  <c r="AA31" i="40"/>
  <c r="S31" i="40"/>
  <c r="AC36" i="35"/>
  <c r="W36" i="35"/>
  <c r="W34" i="33"/>
  <c r="AC34" i="33"/>
  <c r="AC29" i="21"/>
  <c r="W29" i="21"/>
  <c r="AB23" i="33"/>
  <c r="W23" i="33"/>
  <c r="AC23" i="33"/>
  <c r="AA27" i="33"/>
  <c r="S27" i="33"/>
  <c r="E26" i="43"/>
  <c r="F64" i="67"/>
  <c r="Q71" i="67"/>
  <c r="C27" i="67"/>
  <c r="N59" i="15"/>
  <c r="L59" i="15"/>
  <c r="Q74" i="15" s="1"/>
  <c r="L58" i="15"/>
  <c r="Q73" i="15" s="1"/>
  <c r="M59" i="15"/>
  <c r="F65" i="15"/>
  <c r="Q71" i="15"/>
  <c r="M7" i="67"/>
  <c r="J6" i="67" s="1"/>
  <c r="J18" i="67" s="1"/>
  <c r="F50" i="67"/>
  <c r="F66" i="15"/>
  <c r="N59" i="67"/>
  <c r="L58" i="67"/>
  <c r="Q73" i="67" s="1"/>
  <c r="L59" i="67"/>
  <c r="Q61" i="67" s="1"/>
  <c r="M59" i="67"/>
  <c r="F51" i="67"/>
  <c r="F68" i="67"/>
  <c r="B3" i="3"/>
  <c r="D66" i="71"/>
  <c r="O66" i="71"/>
  <c r="O65" i="71"/>
  <c r="T56" i="71"/>
  <c r="D56" i="71"/>
  <c r="AZ531" i="3"/>
  <c r="AZ535" i="3"/>
  <c r="AZ540" i="3"/>
  <c r="AZ547" i="3"/>
  <c r="U40" i="40"/>
  <c r="AB40" i="40"/>
  <c r="AA37" i="39"/>
  <c r="S37" i="39"/>
  <c r="S14" i="37"/>
  <c r="AA14" i="37"/>
  <c r="AA9" i="36"/>
  <c r="S9" i="36"/>
  <c r="W35" i="39"/>
  <c r="AC35" i="39"/>
  <c r="AC45" i="39"/>
  <c r="W45" i="39"/>
  <c r="U45" i="39"/>
  <c r="AB45" i="39"/>
  <c r="AB13" i="37"/>
  <c r="U13" i="37"/>
  <c r="AC30" i="33"/>
  <c r="W30" i="33"/>
  <c r="AA27" i="37"/>
  <c r="S27" i="37"/>
  <c r="U31" i="40"/>
  <c r="AB31" i="40"/>
  <c r="AZ513" i="3"/>
  <c r="AZ522" i="3"/>
  <c r="F27" i="6"/>
  <c r="T52" i="71"/>
  <c r="D52" i="71"/>
  <c r="D59" i="71"/>
  <c r="C60" i="71"/>
  <c r="AZ487" i="3"/>
  <c r="AZ481" i="3"/>
  <c r="AZ450" i="3"/>
  <c r="AZ422" i="3"/>
  <c r="AZ498" i="3"/>
  <c r="S40" i="40"/>
  <c r="AA40" i="40"/>
  <c r="W40" i="40"/>
  <c r="AC40" i="40"/>
  <c r="AC37" i="39"/>
  <c r="W37" i="39"/>
  <c r="AC9" i="36"/>
  <c r="W9" i="36"/>
  <c r="AZ561" i="3"/>
  <c r="AA35" i="39"/>
  <c r="S35" i="39"/>
  <c r="AB35" i="39"/>
  <c r="U35" i="39"/>
  <c r="S45" i="39"/>
  <c r="AA45" i="39"/>
  <c r="W13" i="37"/>
  <c r="AC13" i="37"/>
  <c r="S30" i="33"/>
  <c r="AA30" i="33"/>
  <c r="AB9" i="33"/>
  <c r="U9" i="33"/>
  <c r="AB24" i="35"/>
  <c r="U24" i="35"/>
  <c r="AC25" i="33"/>
  <c r="E105" i="3"/>
  <c r="E393" i="3"/>
  <c r="E493" i="3"/>
  <c r="E564" i="3"/>
  <c r="E543" i="3"/>
  <c r="E427" i="3"/>
  <c r="E486" i="3"/>
  <c r="E507" i="3"/>
  <c r="E422" i="3"/>
  <c r="E440" i="3"/>
  <c r="E490" i="3"/>
  <c r="E376" i="3"/>
  <c r="AH6" i="3"/>
  <c r="J6" i="3"/>
  <c r="E498" i="3"/>
  <c r="E419" i="3"/>
  <c r="E483" i="3"/>
  <c r="E401" i="3"/>
  <c r="E463" i="3"/>
  <c r="E40" i="3"/>
  <c r="E25" i="3"/>
  <c r="E108" i="3"/>
  <c r="E178" i="3"/>
  <c r="E119" i="3"/>
  <c r="E539" i="3"/>
  <c r="E199" i="3"/>
  <c r="E442" i="3"/>
  <c r="E141" i="3"/>
  <c r="E554" i="3"/>
  <c r="E95" i="3"/>
  <c r="E243" i="3"/>
  <c r="AL6" i="3"/>
  <c r="E428" i="3"/>
  <c r="E96" i="3"/>
  <c r="E174" i="3"/>
  <c r="N94" i="46"/>
  <c r="J26" i="43"/>
  <c r="E536" i="3"/>
  <c r="E212" i="3"/>
  <c r="E286" i="3"/>
  <c r="R6" i="3"/>
  <c r="E541" i="3"/>
  <c r="E165" i="3"/>
  <c r="E552" i="3"/>
  <c r="I3" i="6"/>
  <c r="E435" i="3"/>
  <c r="E56" i="3"/>
  <c r="E132" i="3"/>
  <c r="E281" i="3"/>
  <c r="E332" i="3"/>
  <c r="E356" i="3"/>
  <c r="E42" i="3"/>
  <c r="E75" i="3"/>
  <c r="E482" i="3"/>
  <c r="E18" i="3"/>
  <c r="E78" i="3"/>
  <c r="E190" i="3"/>
  <c r="E220" i="3"/>
  <c r="E499" i="3"/>
  <c r="E502" i="3"/>
  <c r="E466" i="3"/>
  <c r="E430" i="3"/>
  <c r="E255" i="3"/>
  <c r="E149" i="3"/>
  <c r="AD6" i="3"/>
  <c r="E464" i="3"/>
  <c r="E459" i="3"/>
  <c r="AP6" i="3"/>
  <c r="E517" i="3"/>
  <c r="E491" i="3"/>
  <c r="E479" i="3"/>
  <c r="E37" i="3"/>
  <c r="E152" i="3"/>
  <c r="E202" i="3"/>
  <c r="E242" i="3"/>
  <c r="E226" i="3"/>
  <c r="E276" i="3"/>
  <c r="E346" i="3"/>
  <c r="E333" i="3"/>
  <c r="E372" i="3"/>
  <c r="L6" i="3"/>
  <c r="E60" i="3"/>
  <c r="E43" i="3"/>
  <c r="E540" i="3"/>
  <c r="E473" i="3"/>
  <c r="E15" i="3"/>
  <c r="E455" i="3"/>
  <c r="E79" i="3"/>
  <c r="E38" i="3"/>
  <c r="E100" i="3"/>
  <c r="E170" i="3"/>
  <c r="E137" i="3"/>
  <c r="E194" i="3"/>
  <c r="E15" i="6"/>
  <c r="E64" i="39" s="1"/>
  <c r="E12" i="6"/>
  <c r="E57" i="40" s="1"/>
  <c r="E510" i="3"/>
  <c r="E167" i="3"/>
  <c r="E542" i="3"/>
  <c r="E487" i="3"/>
  <c r="E374" i="3"/>
  <c r="E500" i="3"/>
  <c r="E413" i="3"/>
  <c r="E520" i="3"/>
  <c r="E39" i="3"/>
  <c r="E57" i="3"/>
  <c r="E187" i="3"/>
  <c r="E192" i="3"/>
  <c r="E258" i="3"/>
  <c r="E241" i="3"/>
  <c r="E292" i="3"/>
  <c r="E363" i="3"/>
  <c r="E349" i="3"/>
  <c r="E389" i="3"/>
  <c r="E544" i="3"/>
  <c r="E76" i="3"/>
  <c r="E59" i="3"/>
  <c r="E409"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8" i="3"/>
  <c r="E98" i="3"/>
  <c r="E138" i="3"/>
  <c r="E163" i="3"/>
  <c r="E275" i="3"/>
  <c r="E235" i="3"/>
  <c r="E324" i="3"/>
  <c r="E244" i="3"/>
  <c r="E312" i="3"/>
  <c r="E421" i="3"/>
  <c r="E416" i="3"/>
  <c r="E566" i="3"/>
  <c r="E582" i="3"/>
  <c r="E460" i="3"/>
  <c r="E436" i="3"/>
  <c r="E90" i="3"/>
  <c r="E131" i="3"/>
  <c r="E155" i="3"/>
  <c r="E240" i="3"/>
  <c r="E297" i="3"/>
  <c r="E259" i="3"/>
  <c r="E348" i="3"/>
  <c r="E378" i="3"/>
  <c r="E375" i="3"/>
  <c r="E504" i="3"/>
  <c r="E58" i="3"/>
  <c r="E110" i="3"/>
  <c r="E462" i="3"/>
  <c r="E521" i="3"/>
  <c r="E446" i="3"/>
  <c r="E47" i="3"/>
  <c r="E65" i="3"/>
  <c r="E195" i="3"/>
  <c r="E248" i="3"/>
  <c r="E219" i="3"/>
  <c r="E299" i="3"/>
  <c r="E339" i="3"/>
  <c r="E325" i="3"/>
  <c r="E392" i="3"/>
  <c r="AQ6" i="3"/>
  <c r="E52" i="3"/>
  <c r="E36" i="3"/>
  <c r="E112" i="3"/>
  <c r="E123" i="3"/>
  <c r="E147" i="3"/>
  <c r="E289" i="3"/>
  <c r="E340" i="3"/>
  <c r="E364" i="3"/>
  <c r="E50" i="3"/>
  <c r="E20" i="3"/>
  <c r="E62" i="3"/>
  <c r="E176" i="3"/>
  <c r="E218" i="3"/>
  <c r="E265" i="3"/>
  <c r="E365" i="3"/>
  <c r="E524" i="3"/>
  <c r="E101" i="3"/>
  <c r="E383" i="3"/>
  <c r="E342" i="3"/>
  <c r="E522" i="3"/>
  <c r="E35" i="3"/>
  <c r="E86" i="3"/>
  <c r="E34" i="3"/>
  <c r="E49" i="3"/>
  <c r="E206" i="3"/>
  <c r="E232" i="3"/>
  <c r="E251" i="3"/>
  <c r="E370" i="3"/>
  <c r="AF6" i="3"/>
  <c r="E102" i="3"/>
  <c r="E80" i="3"/>
  <c r="E113" i="3"/>
  <c r="E158" i="3"/>
  <c r="E287" i="3"/>
  <c r="E308" i="3"/>
  <c r="E326" i="3"/>
  <c r="E22" i="3"/>
  <c r="E83" i="3"/>
  <c r="E10" i="6"/>
  <c r="E14" i="6"/>
  <c r="E59" i="40" s="1"/>
  <c r="G30" i="6"/>
  <c r="G31" i="6" s="1"/>
  <c r="E29" i="6"/>
  <c r="K15" i="1" s="1"/>
  <c r="F30" i="6"/>
  <c r="F31" i="6" s="1"/>
  <c r="E63" i="39"/>
  <c r="N370" i="46"/>
  <c r="G26" i="43"/>
  <c r="E13" i="6"/>
  <c r="E16" i="6" s="1"/>
  <c r="E11" i="6"/>
  <c r="E60" i="39" s="1"/>
  <c r="T36" i="71"/>
  <c r="D36" i="71"/>
  <c r="AC39" i="40"/>
  <c r="W39" i="40"/>
  <c r="AA44" i="39"/>
  <c r="S44" i="39"/>
  <c r="AA26" i="37"/>
  <c r="S26" i="37"/>
  <c r="AC26" i="37"/>
  <c r="W26" i="37"/>
  <c r="AA35" i="35"/>
  <c r="S35" i="35"/>
  <c r="AB25" i="35"/>
  <c r="U25" i="35"/>
  <c r="W25" i="35"/>
  <c r="AC25" i="35"/>
  <c r="AC13" i="35"/>
  <c r="W13" i="35"/>
  <c r="AC47" i="34"/>
  <c r="W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C38" i="40"/>
  <c r="W38" i="40"/>
  <c r="S14" i="40"/>
  <c r="AA14" i="40"/>
  <c r="AB14" i="40"/>
  <c r="U14" i="40"/>
  <c r="AC12" i="40"/>
  <c r="W12" i="40"/>
  <c r="AC38" i="37"/>
  <c r="W38" i="37"/>
  <c r="AB28" i="37"/>
  <c r="U28" i="37"/>
  <c r="AA28" i="37"/>
  <c r="S28" i="37"/>
  <c r="AA27" i="34"/>
  <c r="S27" i="34"/>
  <c r="U26" i="33"/>
  <c r="AB26" i="33"/>
  <c r="U36" i="39"/>
  <c r="AB36" i="39"/>
  <c r="W31" i="39"/>
  <c r="AC31" i="39"/>
  <c r="AB31" i="39"/>
  <c r="U31" i="39"/>
  <c r="S14" i="39"/>
  <c r="AA14" i="39"/>
  <c r="AC12" i="39"/>
  <c r="W12" i="39"/>
  <c r="W25" i="37"/>
  <c r="AC25" i="37"/>
  <c r="AB24" i="36"/>
  <c r="U24" i="36"/>
  <c r="AC24" i="36"/>
  <c r="W24" i="36"/>
  <c r="U12" i="36"/>
  <c r="AB12" i="36"/>
  <c r="AA23" i="35"/>
  <c r="S23" i="35"/>
  <c r="U23" i="35"/>
  <c r="AB23" i="35"/>
  <c r="AC31" i="21"/>
  <c r="W31" i="21"/>
  <c r="AC28" i="21"/>
  <c r="W28" i="21"/>
  <c r="AB28" i="21"/>
  <c r="U28" i="21"/>
  <c r="BL5" i="3"/>
  <c r="B15" i="71"/>
  <c r="B14" i="71" s="1"/>
  <c r="B13" i="71" s="1"/>
  <c r="B12" i="71" s="1"/>
  <c r="S16" i="71"/>
  <c r="F7" i="36"/>
  <c r="J7" i="37"/>
  <c r="AC7" i="37" s="1"/>
  <c r="V42" i="37" s="1"/>
  <c r="I42" i="37" s="1"/>
  <c r="H7" i="36"/>
  <c r="B66" i="71"/>
  <c r="N67" i="71"/>
  <c r="D43" i="71"/>
  <c r="C44" i="71"/>
  <c r="D39" i="71"/>
  <c r="C40" i="71"/>
  <c r="AB39" i="40"/>
  <c r="U39" i="40"/>
  <c r="W44" i="39"/>
  <c r="AC44" i="39"/>
  <c r="AB44" i="39"/>
  <c r="U44" i="39"/>
  <c r="U26" i="37"/>
  <c r="AB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Z516" i="3"/>
  <c r="AZ517" i="3"/>
  <c r="AZ518" i="3"/>
  <c r="U38" i="40"/>
  <c r="AB38" i="40"/>
  <c r="S38" i="40"/>
  <c r="AA38" i="40"/>
  <c r="W14" i="40"/>
  <c r="AC14" i="40"/>
  <c r="S12" i="40"/>
  <c r="AA12" i="40"/>
  <c r="S38" i="37"/>
  <c r="AA38" i="37"/>
  <c r="AB38" i="37"/>
  <c r="U38" i="37"/>
  <c r="AC28" i="37"/>
  <c r="W28" i="37"/>
  <c r="AB27" i="34"/>
  <c r="U27" i="34"/>
  <c r="W27" i="34"/>
  <c r="AC27" i="34"/>
  <c r="AC26" i="33"/>
  <c r="W26" i="33"/>
  <c r="BA5" i="3"/>
  <c r="C15" i="71"/>
  <c r="T16" i="71"/>
  <c r="AZ581" i="3"/>
  <c r="AC36" i="39"/>
  <c r="W36" i="39"/>
  <c r="S36" i="39"/>
  <c r="AA36" i="39"/>
  <c r="AA31" i="39"/>
  <c r="S31" i="39"/>
  <c r="S12" i="39"/>
  <c r="AA12" i="39"/>
  <c r="AA25" i="37"/>
  <c r="S25" i="37"/>
  <c r="U25" i="37"/>
  <c r="AB25" i="37"/>
  <c r="S24" i="36"/>
  <c r="AA24" i="36"/>
  <c r="S12" i="36"/>
  <c r="AA12" i="36"/>
  <c r="W12" i="36"/>
  <c r="AC12" i="36"/>
  <c r="AC23" i="35"/>
  <c r="W23" i="35"/>
  <c r="S31" i="21"/>
  <c r="AA31" i="21"/>
  <c r="AB31" i="21"/>
  <c r="U31" i="21"/>
  <c r="AA28" i="21"/>
  <c r="S28"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M14" i="1"/>
  <c r="D5" i="43"/>
  <c r="D26" i="43"/>
  <c r="C25" i="43" s="1"/>
  <c r="C7" i="43"/>
  <c r="C5" i="43" s="1"/>
  <c r="D10" i="52"/>
  <c r="D125" i="9"/>
  <c r="D11" i="52" s="1"/>
  <c r="B7" i="74"/>
  <c r="C7" i="74" s="1"/>
  <c r="F67" i="39"/>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M11" i="67"/>
  <c r="J10" i="67" s="1"/>
  <c r="F11" i="15"/>
  <c r="M11" i="15"/>
  <c r="J10" i="15" s="1"/>
  <c r="J5" i="15" s="1"/>
  <c r="J24" i="15" s="1"/>
  <c r="F11" i="67"/>
  <c r="F1" i="15"/>
  <c r="Q52" i="15"/>
  <c r="C32" i="15"/>
  <c r="F1" i="67"/>
  <c r="Q52" i="67"/>
  <c r="AE11" i="1"/>
  <c r="AE9" i="1"/>
  <c r="AE7" i="1"/>
  <c r="AE8" i="1"/>
  <c r="AE12" i="1"/>
  <c r="AE10" i="1"/>
  <c r="AE6" i="1"/>
  <c r="C16" i="15"/>
  <c r="Q60" i="15" l="1"/>
  <c r="J5" i="67"/>
  <c r="J24" i="67" s="1"/>
  <c r="Q61" i="15"/>
  <c r="Q74" i="67"/>
  <c r="E234" i="3"/>
  <c r="E129" i="3"/>
  <c r="E94" i="3"/>
  <c r="E225" i="3"/>
  <c r="E398" i="3"/>
  <c r="E575" i="3"/>
  <c r="E139" i="3"/>
  <c r="E115" i="3"/>
  <c r="E104" i="3"/>
  <c r="E420" i="3"/>
  <c r="E452" i="3"/>
  <c r="E13" i="3"/>
  <c r="E556" i="3"/>
  <c r="E451" i="3"/>
  <c r="E512" i="3"/>
  <c r="E456" i="3"/>
  <c r="T6" i="3"/>
  <c r="E525"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12" i="3"/>
  <c r="E391" i="3"/>
  <c r="E417" i="3"/>
  <c r="E449" i="3"/>
  <c r="E148" i="3"/>
  <c r="E198" i="3"/>
  <c r="E41" i="3"/>
  <c r="E26" i="3"/>
  <c r="E470" i="3"/>
  <c r="E494" i="3"/>
  <c r="E497" i="3"/>
  <c r="E360" i="3"/>
  <c r="E408" i="3"/>
  <c r="E469" i="3"/>
  <c r="E405" i="3"/>
  <c r="E534" i="3"/>
  <c r="E369"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T60" i="71"/>
  <c r="D60" i="71"/>
  <c r="E19" i="6"/>
  <c r="K6" i="1" s="1"/>
  <c r="E58" i="40"/>
  <c r="E62" i="39"/>
  <c r="E65" i="39" s="1"/>
  <c r="E3" i="6"/>
  <c r="E6" i="6" s="1"/>
  <c r="C14" i="71"/>
  <c r="D15" i="71"/>
  <c r="N65" i="71"/>
  <c r="N66" i="71"/>
  <c r="B11" i="71"/>
  <c r="B10" i="71" s="1"/>
  <c r="B9" i="71" s="1"/>
  <c r="B8" i="71" s="1"/>
  <c r="B7" i="71" s="1"/>
  <c r="B6" i="71" s="1"/>
  <c r="B5" i="71" s="1"/>
  <c r="S12" i="71"/>
  <c r="E11" i="71"/>
  <c r="E10" i="71" s="1"/>
  <c r="E9" i="71" s="1"/>
  <c r="E8" i="71" s="1"/>
  <c r="E7" i="71" s="1"/>
  <c r="E6" i="71" s="1"/>
  <c r="E5" i="71" s="1"/>
  <c r="V12" i="71"/>
  <c r="T40" i="71"/>
  <c r="D40" i="71"/>
  <c r="T44" i="71"/>
  <c r="D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O14" i="1"/>
  <c r="AY566" i="3"/>
  <c r="D3" i="21"/>
  <c r="D37" i="11"/>
  <c r="D19" i="11"/>
  <c r="C19" i="11" s="1"/>
  <c r="C17" i="4"/>
  <c r="B4" i="52" s="1"/>
  <c r="B43" i="72" s="1"/>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48" i="67" s="1"/>
  <c r="C53" i="15"/>
  <c r="C48" i="15" s="1"/>
  <c r="C66" i="15" s="1"/>
  <c r="C10" i="15"/>
  <c r="C5" i="15" s="1"/>
  <c r="C38" i="15" s="1"/>
  <c r="F25" i="12"/>
  <c r="F22" i="69"/>
  <c r="F41" i="69" s="1"/>
  <c r="F24" i="67"/>
  <c r="C24" i="67" s="1"/>
  <c r="F22" i="11"/>
  <c r="F22" i="68"/>
  <c r="F24" i="15"/>
  <c r="C24" i="15" s="1"/>
  <c r="F43" i="67"/>
  <c r="M27" i="67"/>
  <c r="M29" i="67"/>
  <c r="M27" i="15"/>
  <c r="F41" i="67"/>
  <c r="F41" i="15"/>
  <c r="H6" i="3" l="1"/>
  <c r="M18" i="9"/>
  <c r="B118" i="9" s="1"/>
  <c r="B1" i="74" s="1"/>
  <c r="AY188" i="3"/>
  <c r="AY335" i="3"/>
  <c r="AY209" i="3"/>
  <c r="AY260" i="3"/>
  <c r="AY549" i="3"/>
  <c r="AY44" i="3"/>
  <c r="AY283" i="3"/>
  <c r="AY360" i="3"/>
  <c r="AY295" i="3"/>
  <c r="AY475"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176" i="3"/>
  <c r="AY297" i="3"/>
  <c r="AY289" i="3"/>
  <c r="AY441" i="3"/>
  <c r="AY310" i="3"/>
  <c r="AY97" i="3"/>
  <c r="AY154" i="3"/>
  <c r="AY230" i="3"/>
  <c r="AY56" i="3"/>
  <c r="AY353" i="3"/>
  <c r="AY398"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62" i="3"/>
  <c r="AY348" i="3"/>
  <c r="AY242" i="3"/>
  <c r="AY166" i="3"/>
  <c r="AY109" i="3"/>
  <c r="AY397" i="3"/>
  <c r="AY247" i="3"/>
  <c r="AY133" i="3"/>
  <c r="AY190" i="3"/>
  <c r="AY61" i="3"/>
  <c r="AY533" i="3"/>
  <c r="AY420" i="3"/>
  <c r="AY372" i="3"/>
  <c r="AY26" i="3"/>
  <c r="AY473" i="3"/>
  <c r="AY261" i="3"/>
  <c r="AY50" i="3"/>
  <c r="AY225" i="3"/>
  <c r="AY276" i="3"/>
  <c r="AY115" i="3"/>
  <c r="AY66" i="3"/>
  <c r="F71" i="67"/>
  <c r="J33" i="33"/>
  <c r="F33" i="33"/>
  <c r="H33" i="33"/>
  <c r="AP6" i="1"/>
  <c r="Q16" i="1"/>
  <c r="H16" i="1"/>
  <c r="M6" i="1"/>
  <c r="G16" i="1"/>
  <c r="K16" i="1"/>
  <c r="E27" i="6"/>
  <c r="AC6" i="3"/>
  <c r="E6" i="3" s="1"/>
  <c r="F69" i="67"/>
  <c r="V2" i="43"/>
  <c r="D116" i="43"/>
  <c r="D3" i="33"/>
  <c r="D3" i="34"/>
  <c r="D14" i="12"/>
  <c r="D17" i="12" s="1"/>
  <c r="C17" i="12" s="1"/>
  <c r="D14" i="71"/>
  <c r="C13" i="71"/>
  <c r="P37" i="43"/>
  <c r="M37" i="43"/>
  <c r="Q37" i="43"/>
  <c r="O37" i="43"/>
  <c r="N37" i="43"/>
  <c r="C34" i="43"/>
  <c r="E34" i="43" s="1"/>
  <c r="F69" i="15"/>
  <c r="E33" i="43"/>
  <c r="S11" i="1"/>
  <c r="E11" i="70" s="1"/>
  <c r="S9" i="1"/>
  <c r="S7" i="1"/>
  <c r="E7" i="70" s="1"/>
  <c r="S10" i="1"/>
  <c r="E10" i="70" s="1"/>
  <c r="S12" i="1"/>
  <c r="C20" i="11"/>
  <c r="D10" i="11"/>
  <c r="C10" i="11" s="1"/>
  <c r="D20" i="12"/>
  <c r="C20" i="12" s="1"/>
  <c r="C18" i="12" s="1"/>
  <c r="D15" i="6"/>
  <c r="D21" i="6"/>
  <c r="D20" i="6"/>
  <c r="D8" i="6"/>
  <c r="D6" i="6"/>
  <c r="D10" i="6"/>
  <c r="D19" i="6"/>
  <c r="M19" i="9" s="1"/>
  <c r="C118" i="9" s="1"/>
  <c r="B2" i="74" s="1"/>
  <c r="D23" i="6"/>
  <c r="D12" i="6"/>
  <c r="D13"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6" i="67"/>
  <c r="C17" i="15"/>
  <c r="D28" i="6" l="1"/>
  <c r="D11" i="6"/>
  <c r="D5" i="6"/>
  <c r="C18" i="4"/>
  <c r="D29" i="6"/>
  <c r="D9" i="6"/>
  <c r="D14" i="6"/>
  <c r="D26" i="6"/>
  <c r="D24" i="6"/>
  <c r="D22" i="6"/>
  <c r="O6" i="1"/>
  <c r="O16" i="1" s="1"/>
  <c r="M16" i="1"/>
  <c r="F28" i="12"/>
  <c r="C29" i="12" s="1"/>
  <c r="D28" i="12" s="1"/>
  <c r="F27" i="68"/>
  <c r="F27" i="11"/>
  <c r="C28" i="11" s="1"/>
  <c r="C27" i="11" s="1"/>
  <c r="AB33" i="33"/>
  <c r="T48" i="33" s="1"/>
  <c r="G48" i="33" s="1"/>
  <c r="U33" i="33"/>
  <c r="AC33" i="33"/>
  <c r="V48" i="33" s="1"/>
  <c r="I48" i="33" s="1"/>
  <c r="I52" i="33" s="1"/>
  <c r="J52" i="33" s="1"/>
  <c r="W33" i="33"/>
  <c r="K26" i="6"/>
  <c r="M26" i="6" s="1"/>
  <c r="I26" i="6" s="1"/>
  <c r="K21" i="6"/>
  <c r="K25" i="6"/>
  <c r="M25" i="6" s="1"/>
  <c r="I25" i="6" s="1"/>
  <c r="K23" i="6"/>
  <c r="M23" i="6" s="1"/>
  <c r="I23" i="6" s="1"/>
  <c r="S23" i="6" s="1"/>
  <c r="E31" i="6"/>
  <c r="K19" i="6"/>
  <c r="K20" i="6"/>
  <c r="M20" i="6" s="1"/>
  <c r="I20" i="6" s="1"/>
  <c r="S20" i="6" s="1"/>
  <c r="K22" i="6"/>
  <c r="M22" i="6" s="1"/>
  <c r="I22" i="6" s="1"/>
  <c r="K24" i="6"/>
  <c r="M24" i="6" s="1"/>
  <c r="I24" i="6" s="1"/>
  <c r="F10" i="39"/>
  <c r="H10" i="39"/>
  <c r="J10" i="39"/>
  <c r="J10" i="40"/>
  <c r="F10" i="40"/>
  <c r="H10" i="40"/>
  <c r="AA33" i="33"/>
  <c r="R48" i="33" s="1"/>
  <c r="S33" i="33"/>
  <c r="C12" i="71"/>
  <c r="D13" i="71"/>
  <c r="H23" i="6"/>
  <c r="C30" i="43"/>
  <c r="B2" i="43" s="1"/>
  <c r="B3" i="43" s="1"/>
  <c r="C31" i="43"/>
  <c r="H20" i="6"/>
  <c r="R20" i="6" s="1"/>
  <c r="R7" i="1" s="1"/>
  <c r="E12" i="70"/>
  <c r="F34" i="11"/>
  <c r="F11" i="12"/>
  <c r="E9" i="70"/>
  <c r="AR9" i="1"/>
  <c r="AQ9" i="1"/>
  <c r="T9" i="1"/>
  <c r="AQ11" i="1"/>
  <c r="AR11" i="1"/>
  <c r="T11" i="1"/>
  <c r="AR12" i="1"/>
  <c r="T12" i="1"/>
  <c r="AQ12" i="1"/>
  <c r="AQ10" i="1"/>
  <c r="T10" i="1"/>
  <c r="AR10" i="1"/>
  <c r="AR7" i="1"/>
  <c r="AQ7" i="1"/>
  <c r="T7" i="1"/>
  <c r="D16" i="6"/>
  <c r="C15" i="12"/>
  <c r="C12" i="12"/>
  <c r="R23" i="6"/>
  <c r="R10" i="1" s="1"/>
  <c r="D27" i="6"/>
  <c r="D8" i="74"/>
  <c r="D7" i="74"/>
  <c r="C4" i="52"/>
  <c r="B45" i="72" s="1"/>
  <c r="A10" i="51"/>
  <c r="B9" i="72" s="1"/>
  <c r="A7" i="51"/>
  <c r="B7" i="72" s="1"/>
  <c r="C10" i="68"/>
  <c r="D19" i="68"/>
  <c r="H69" i="39"/>
  <c r="I67" i="39"/>
  <c r="G65" i="40"/>
  <c r="H63" i="40"/>
  <c r="C43" i="37"/>
  <c r="C42" i="37"/>
  <c r="I48" i="35"/>
  <c r="H58" i="21"/>
  <c r="E47" i="37"/>
  <c r="F47" i="37" s="1"/>
  <c r="E46" i="37"/>
  <c r="F46" i="37" s="1"/>
  <c r="I47" i="37"/>
  <c r="J47" i="37" s="1"/>
  <c r="C33" i="15"/>
  <c r="C22" i="11"/>
  <c r="J19" i="67"/>
  <c r="C34" i="68"/>
  <c r="C14" i="15"/>
  <c r="B6" i="76"/>
  <c r="E6" i="76"/>
  <c r="D30" i="6" l="1"/>
  <c r="D31" i="6" s="1"/>
  <c r="AB10" i="40"/>
  <c r="U10" i="40"/>
  <c r="AC10" i="40"/>
  <c r="W10" i="40"/>
  <c r="U10" i="39"/>
  <c r="AB10" i="39"/>
  <c r="S24" i="6"/>
  <c r="H24" i="6"/>
  <c r="R24" i="6" s="1"/>
  <c r="R11" i="1" s="1"/>
  <c r="S25" i="6"/>
  <c r="H25" i="6"/>
  <c r="R25" i="6" s="1"/>
  <c r="R12" i="1" s="1"/>
  <c r="S26" i="6"/>
  <c r="H26" i="6"/>
  <c r="R26" i="6" s="1"/>
  <c r="C29" i="11"/>
  <c r="D27" i="11" s="1"/>
  <c r="C47" i="11"/>
  <c r="D45" i="11" s="1"/>
  <c r="C31" i="11"/>
  <c r="E48" i="33"/>
  <c r="R49" i="33"/>
  <c r="S10" i="40"/>
  <c r="AA10" i="40"/>
  <c r="W10" i="39"/>
  <c r="AC10" i="39"/>
  <c r="AA10" i="39"/>
  <c r="S10" i="39"/>
  <c r="S22" i="6"/>
  <c r="H22" i="6"/>
  <c r="R22" i="6" s="1"/>
  <c r="R9" i="1" s="1"/>
  <c r="S6" i="1"/>
  <c r="K27" i="6"/>
  <c r="M19" i="6"/>
  <c r="S8" i="1"/>
  <c r="M21" i="6"/>
  <c r="I21" i="6" s="1"/>
  <c r="G53" i="33"/>
  <c r="H53" i="33" s="1"/>
  <c r="G52" i="33"/>
  <c r="H52" i="33" s="1"/>
  <c r="C47" i="68"/>
  <c r="D45" i="68" s="1"/>
  <c r="F45" i="68"/>
  <c r="C29" i="68"/>
  <c r="D27" i="68" s="1"/>
  <c r="N16" i="1"/>
  <c r="L16" i="1"/>
  <c r="C11" i="71"/>
  <c r="T12" i="71"/>
  <c r="D12" i="71"/>
  <c r="U12" i="71" s="1"/>
  <c r="C18" i="15"/>
  <c r="C15" i="15"/>
  <c r="C38" i="68"/>
  <c r="C35" i="68"/>
  <c r="C36" i="11"/>
  <c r="C37" i="11"/>
  <c r="C34" i="11"/>
  <c r="C23" i="12"/>
  <c r="C14" i="12"/>
  <c r="C16" i="12" s="1"/>
  <c r="C21" i="12" s="1"/>
  <c r="C22" i="12" s="1"/>
  <c r="C19" i="68"/>
  <c r="D37" i="68"/>
  <c r="C37" i="68" s="1"/>
  <c r="C19" i="69"/>
  <c r="C24" i="69" s="1"/>
  <c r="E2" i="76"/>
  <c r="B2" i="76"/>
  <c r="I69" i="39"/>
  <c r="J67" i="39"/>
  <c r="I63" i="40"/>
  <c r="H65" i="40"/>
  <c r="I58" i="21"/>
  <c r="J58" i="21" s="1"/>
  <c r="K58" i="21" s="1"/>
  <c r="L58" i="21" s="1"/>
  <c r="M58" i="21" s="1"/>
  <c r="N58" i="21" s="1"/>
  <c r="O58" i="21" s="1"/>
  <c r="H7" i="21" s="1"/>
  <c r="J48" i="35"/>
  <c r="C34" i="69"/>
  <c r="C17" i="67"/>
  <c r="D10" i="69"/>
  <c r="C14" i="67"/>
  <c r="F7" i="21" l="1"/>
  <c r="C6" i="69"/>
  <c r="C7" i="69" s="1"/>
  <c r="I6" i="6"/>
  <c r="I5" i="6"/>
  <c r="C38" i="69"/>
  <c r="C35" i="69"/>
  <c r="C18" i="67"/>
  <c r="C15" i="67"/>
  <c r="D19" i="69"/>
  <c r="D37" i="69" s="1"/>
  <c r="C37" i="69" s="1"/>
  <c r="C10" i="69"/>
  <c r="C8" i="69" s="1"/>
  <c r="C5" i="69" s="1"/>
  <c r="C23" i="69" s="1"/>
  <c r="E8" i="70"/>
  <c r="AQ8" i="1"/>
  <c r="AR8" i="1"/>
  <c r="T8" i="1"/>
  <c r="C49" i="33"/>
  <c r="C48" i="33"/>
  <c r="F50" i="69"/>
  <c r="F50" i="68"/>
  <c r="F50" i="11"/>
  <c r="S21" i="6"/>
  <c r="H21" i="6"/>
  <c r="R21" i="6" s="1"/>
  <c r="R8" i="1" s="1"/>
  <c r="M27" i="6"/>
  <c r="I19" i="6"/>
  <c r="E6" i="70"/>
  <c r="AR6" i="1"/>
  <c r="AQ6" i="1"/>
  <c r="T6" i="1"/>
  <c r="T16" i="1" s="1"/>
  <c r="S16" i="1"/>
  <c r="I53" i="33"/>
  <c r="J53" i="33" s="1"/>
  <c r="E53" i="33"/>
  <c r="F53" i="33" s="1"/>
  <c r="E52" i="33"/>
  <c r="F52" i="33" s="1"/>
  <c r="J7" i="21"/>
  <c r="W7" i="21" s="1"/>
  <c r="C10" i="71"/>
  <c r="D11" i="71"/>
  <c r="C19" i="15"/>
  <c r="C20" i="15" s="1"/>
  <c r="C26" i="15" s="1"/>
  <c r="C33" i="68"/>
  <c r="C39" i="68" s="1"/>
  <c r="C30" i="12"/>
  <c r="C28" i="12" s="1"/>
  <c r="C38" i="11"/>
  <c r="C35" i="11"/>
  <c r="C27" i="12"/>
  <c r="C25" i="12" s="1"/>
  <c r="C20" i="68"/>
  <c r="C28" i="68" s="1"/>
  <c r="C27" i="68" s="1"/>
  <c r="C24" i="68"/>
  <c r="B3" i="76"/>
  <c r="J69" i="39"/>
  <c r="K67" i="39"/>
  <c r="U7" i="21"/>
  <c r="AB7" i="21"/>
  <c r="T48" i="21" s="1"/>
  <c r="G48" i="21" s="1"/>
  <c r="S7" i="21"/>
  <c r="AA7" i="21"/>
  <c r="R48" i="21" s="1"/>
  <c r="J63" i="40"/>
  <c r="I65" i="40"/>
  <c r="K48" i="35"/>
  <c r="L48" i="35" s="1"/>
  <c r="M48" i="35" s="1"/>
  <c r="N48" i="35" s="1"/>
  <c r="O48" i="35" s="1"/>
  <c r="H7" i="35" s="1"/>
  <c r="AC7" i="21"/>
  <c r="V48" i="21" s="1"/>
  <c r="I48" i="21" s="1"/>
  <c r="E2" i="70" l="1"/>
  <c r="V19" i="1"/>
  <c r="W19" i="1" s="1"/>
  <c r="U6" i="1"/>
  <c r="C20" i="69"/>
  <c r="C28" i="69" s="1"/>
  <c r="C27" i="69" s="1"/>
  <c r="C19" i="67"/>
  <c r="C20" i="67" s="1"/>
  <c r="C26" i="67" s="1"/>
  <c r="C33" i="69"/>
  <c r="L18" i="9"/>
  <c r="H19" i="6"/>
  <c r="I27" i="6"/>
  <c r="S19" i="6"/>
  <c r="S27" i="6" s="1"/>
  <c r="J7" i="35"/>
  <c r="AC7" i="35" s="1"/>
  <c r="V38" i="35" s="1"/>
  <c r="I38" i="35" s="1"/>
  <c r="V20" i="1"/>
  <c r="W20" i="1" s="1"/>
  <c r="D10" i="71"/>
  <c r="C9" i="71"/>
  <c r="C33" i="11"/>
  <c r="C39" i="11" s="1"/>
  <c r="C61" i="67"/>
  <c r="C42" i="68"/>
  <c r="C32" i="12"/>
  <c r="B2" i="12" s="1"/>
  <c r="B3" i="12" s="1"/>
  <c r="C23" i="15"/>
  <c r="C29" i="15"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6" i="67"/>
  <c r="M21" i="15"/>
  <c r="W7" i="35" l="1"/>
  <c r="C25" i="69"/>
  <c r="C22" i="69" s="1"/>
  <c r="C31" i="69" s="1"/>
  <c r="W21" i="1"/>
  <c r="C23" i="67"/>
  <c r="C29" i="67" s="1"/>
  <c r="J59" i="67" s="1"/>
  <c r="J60" i="67" s="1"/>
  <c r="Q48" i="67" s="1"/>
  <c r="C39" i="69"/>
  <c r="C42" i="69"/>
  <c r="C6" i="67"/>
  <c r="L19" i="9"/>
  <c r="H27" i="6"/>
  <c r="R19" i="6"/>
  <c r="C8" i="71"/>
  <c r="D9"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36" i="67" l="1"/>
  <c r="J14" i="67"/>
  <c r="Q49" i="67"/>
  <c r="C13" i="67"/>
  <c r="C57" i="67"/>
  <c r="C64" i="67" s="1"/>
  <c r="C37" i="67"/>
  <c r="C43" i="69"/>
  <c r="C41" i="69" s="1"/>
  <c r="C46" i="69"/>
  <c r="C45" i="69" s="1"/>
  <c r="R27" i="6"/>
  <c r="R6" i="1"/>
  <c r="C10" i="67"/>
  <c r="C5" i="67" s="1"/>
  <c r="C38" i="67" s="1"/>
  <c r="C32" i="67"/>
  <c r="C33" i="67"/>
  <c r="C7" i="71"/>
  <c r="D8" i="7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M21" i="67"/>
  <c r="F35" i="67"/>
  <c r="J13" i="67" l="1"/>
  <c r="J23" i="67" s="1"/>
  <c r="J22" i="67"/>
  <c r="Q70" i="67"/>
  <c r="C75" i="67"/>
  <c r="C56" i="67"/>
  <c r="C65" i="67" s="1"/>
  <c r="C49" i="69"/>
  <c r="C51" i="69" s="1"/>
  <c r="J20" i="67"/>
  <c r="J17" i="67" s="1"/>
  <c r="F63" i="67"/>
  <c r="C62" i="67" s="1"/>
  <c r="C59" i="67" s="1"/>
  <c r="C34" i="67"/>
  <c r="C31" i="67" s="1"/>
  <c r="C30" i="67" s="1"/>
  <c r="C39" i="67" s="1"/>
  <c r="R16" i="1"/>
  <c r="C6" i="71"/>
  <c r="D7" i="7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8" i="67" l="1"/>
  <c r="C67" i="67" s="1"/>
  <c r="C68" i="67" s="1"/>
  <c r="C71" i="67" s="1"/>
  <c r="C80" i="67"/>
  <c r="C79" i="67" s="1"/>
  <c r="J16" i="67"/>
  <c r="J25" i="67" s="1"/>
  <c r="J26" i="67" s="1"/>
  <c r="J29" i="67" s="1"/>
  <c r="C40" i="67"/>
  <c r="C52" i="69"/>
  <c r="B2" i="69" s="1"/>
  <c r="Q69" i="67"/>
  <c r="Q68" i="67" s="1"/>
  <c r="D6" i="71"/>
  <c r="C5" i="71"/>
  <c r="D5" i="71" s="1"/>
  <c r="M24" i="43" s="1"/>
  <c r="Q66" i="67"/>
  <c r="Q57" i="67"/>
  <c r="B2" i="33"/>
  <c r="B3" i="33" s="1"/>
  <c r="C43" i="67"/>
  <c r="C80" i="15"/>
  <c r="C79" i="15" s="1"/>
  <c r="C40" i="15"/>
  <c r="C46" i="15" s="1"/>
  <c r="H7" i="39"/>
  <c r="J7" i="39"/>
  <c r="S7" i="39"/>
  <c r="AA7" i="39"/>
  <c r="R47" i="39" s="1"/>
  <c r="O63" i="40"/>
  <c r="O65" i="40" s="1"/>
  <c r="N65" i="40"/>
  <c r="D2" i="36"/>
  <c r="B3" i="69"/>
  <c r="L51" i="67"/>
  <c r="C19" i="9"/>
  <c r="L51" i="15"/>
  <c r="D2" i="35"/>
  <c r="D2" i="37"/>
  <c r="D2" i="34"/>
  <c r="Q65" i="67" l="1"/>
  <c r="Q75" i="67" s="1"/>
  <c r="C83" i="67"/>
  <c r="C82" i="67" s="1"/>
  <c r="Q47" i="67"/>
  <c r="Q53" i="67" s="1"/>
  <c r="D2" i="67"/>
  <c r="B2" i="67" s="1"/>
  <c r="Q56" i="67"/>
  <c r="Q62" i="67" s="1"/>
  <c r="C45" i="67"/>
  <c r="C46" i="67" s="1"/>
  <c r="C21" i="9"/>
  <c r="C102" i="9"/>
  <c r="C57" i="69"/>
  <c r="C56" i="69" s="1"/>
  <c r="Q67"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1" i="1"/>
  <c r="AO7" i="1"/>
  <c r="AO10" i="1"/>
  <c r="D19" i="9"/>
  <c r="AO6" i="1"/>
  <c r="AO12" i="1"/>
  <c r="AO9" i="1"/>
  <c r="AO8" i="1"/>
  <c r="C103" i="9" l="1"/>
  <c r="B3" i="67"/>
  <c r="D102" i="9"/>
  <c r="D22" i="9"/>
  <c r="D21"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20" i="9"/>
  <c r="R24" i="31" s="1"/>
  <c r="D103" i="9"/>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8" i="31"/>
  <c r="S28" i="31" s="1"/>
  <c r="R27" i="31"/>
  <c r="S27" i="31" s="1"/>
  <c r="R26" i="31"/>
  <c r="S26" i="31" s="1"/>
  <c r="R25" i="31"/>
  <c r="S25"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B53" i="72"/>
  <c r="F5" i="52"/>
  <c r="F119" i="9"/>
  <c r="B47" i="72"/>
  <c r="D4" i="52"/>
  <c r="M54" i="9"/>
  <c r="D56" i="9"/>
  <c r="D58" i="9"/>
  <c r="C97" i="9"/>
  <c r="B52" i="72"/>
  <c r="G4" i="52"/>
  <c r="E97" i="9"/>
  <c r="E96" i="9"/>
  <c r="C85" i="9"/>
  <c r="C95" i="9"/>
  <c r="C96" i="9"/>
  <c r="B51" i="72"/>
  <c r="G118" i="9"/>
  <c r="F118" i="9"/>
  <c r="F4" i="52"/>
  <c r="C6" i="74"/>
  <c r="D8" i="52"/>
  <c r="B20" i="72"/>
  <c r="N60" i="9"/>
  <c r="N59" i="9"/>
  <c r="N61" i="9"/>
  <c r="C73" i="9"/>
  <c r="C78" i="9"/>
  <c r="B21" i="72"/>
  <c r="D7" i="53"/>
  <c r="M55" i="9"/>
  <c r="D59" i="9"/>
  <c r="D118" i="9"/>
  <c r="D119" i="9"/>
  <c r="D5" i="52"/>
  <c r="B49" i="72"/>
  <c r="B30" i="72"/>
  <c r="H4" i="52"/>
  <c r="C104" i="9"/>
  <c r="M48" i="9"/>
  <c r="C105" i="9"/>
  <c r="I4" i="52"/>
  <c r="E118" i="9"/>
  <c r="E4" i="52"/>
  <c r="B48" i="72"/>
  <c r="H108" i="9"/>
  <c r="D15" i="53"/>
  <c r="B31" i="72"/>
  <c r="C81" i="9"/>
  <c r="C72" i="9"/>
  <c r="C79" i="9"/>
  <c r="C80" i="9"/>
  <c r="E80" i="9"/>
  <c r="E81" i="9"/>
  <c r="C86" i="9"/>
  <c r="C93" i="9"/>
  <c r="D54" i="9"/>
  <c r="C64" i="9"/>
  <c r="C63" i="9"/>
  <c r="C67" i="9"/>
  <c r="C68" i="9"/>
  <c r="D13" i="53"/>
  <c r="D14" i="53"/>
  <c r="B32" i="72"/>
  <c r="H119" i="9"/>
  <c r="H5" i="52"/>
  <c r="H107" i="9"/>
  <c r="D122" i="9"/>
  <c r="D123" i="9"/>
  <c r="D9" i="52"/>
  <c r="D5" i="53"/>
  <c r="D6" i="53"/>
  <c r="B22" i="72"/>
  <c r="P57" i="9"/>
  <c r="D55" i="9"/>
  <c r="M53" i="9"/>
  <c r="N57" i="9"/>
  <c r="N58" i="9"/>
  <c r="D52" i="9"/>
  <c r="H101" i="9"/>
  <c r="D45" i="9"/>
  <c r="D53"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think</author>
    <author>admin</author>
  </authors>
  <commentList>
    <comment ref="L7" authorId="0" shapeId="0" xr:uid="{00000000-0006-0000-2400-000001000000}">
      <text>
        <r>
          <rPr>
            <b/>
            <sz val="9"/>
            <color indexed="81"/>
            <rFont val="宋体"/>
            <family val="3"/>
            <charset val="134"/>
          </rPr>
          <t>think:</t>
        </r>
        <r>
          <rPr>
            <sz val="9"/>
            <color indexed="81"/>
            <rFont val="宋体"/>
            <family val="3"/>
            <charset val="134"/>
          </rPr>
          <t xml:space="preserve">
2019.10.31-2021.10.30 37500元/月2021.10.31-2023.10.30 40500元/月2023.10.31-2024.10.30 43740元/月</t>
        </r>
      </text>
    </comment>
    <comment ref="P7" authorId="1" shapeId="0" xr:uid="{00000000-0006-0000-2400-000002000000}">
      <text>
        <r>
          <rPr>
            <b/>
            <sz val="9"/>
            <color indexed="81"/>
            <rFont val="宋体"/>
            <family val="3"/>
            <charset val="134"/>
          </rPr>
          <t>admin:</t>
        </r>
        <r>
          <rPr>
            <sz val="9"/>
            <color indexed="81"/>
            <rFont val="宋体"/>
            <family val="3"/>
            <charset val="134"/>
          </rPr>
          <t xml:space="preserve">
起租日2019年10月31日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DELL</author>
    <author>Administrator</author>
  </authors>
  <commentList>
    <comment ref="R7" authorId="0" shapeId="0" xr:uid="{00000000-0006-0000-2500-000001000000}">
      <text>
        <r>
          <rPr>
            <sz val="9"/>
            <rFont val="宋体"/>
            <family val="3"/>
            <charset val="134"/>
          </rPr>
          <t>DELL:基础租金
提成租金每月8-10万</t>
        </r>
      </text>
    </comment>
    <comment ref="N10" authorId="0" shapeId="0" xr:uid="{00000000-0006-0000-2500-000002000000}">
      <text>
        <r>
          <rPr>
            <sz val="9"/>
            <rFont val="宋体"/>
            <family val="3"/>
            <charset val="134"/>
          </rPr>
          <t>DELL:
续签物业费不变：2787.20</t>
        </r>
      </text>
    </comment>
    <comment ref="R10" authorId="0" shapeId="0" xr:uid="{00000000-0006-0000-2500-000003000000}">
      <text>
        <r>
          <rPr>
            <sz val="9"/>
            <rFont val="宋体"/>
            <family val="3"/>
            <charset val="134"/>
          </rPr>
          <t>DELL:
原租金：15630.82，新租金：16000.67</t>
        </r>
      </text>
    </comment>
    <comment ref="N14" authorId="1" shapeId="0" xr:uid="{00000000-0006-0000-2500-000004000000}">
      <text>
        <r>
          <rPr>
            <sz val="9"/>
            <rFont val="宋体"/>
            <family val="3"/>
            <charset val="134"/>
          </rPr>
          <t>Administrator:
续签月物业费：3436.80</t>
        </r>
      </text>
    </comment>
    <comment ref="R14" authorId="1" shapeId="0" xr:uid="{00000000-0006-0000-2500-000005000000}">
      <text>
        <r>
          <rPr>
            <sz val="9"/>
            <rFont val="宋体"/>
            <family val="3"/>
            <charset val="134"/>
          </rPr>
          <t>Administrator:
续签月租金：46877.86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<sst xmlns="http://schemas.openxmlformats.org/spreadsheetml/2006/main" count="8195" uniqueCount="3669">
  <si>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</si>
  <si>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</si>
  <si>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</si>
  <si>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</si>
  <si>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</si>
  <si>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</si>
  <si>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</si>
  <si>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</si>
  <si>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</si>
  <si>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</si>
  <si>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</si>
  <si>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</si>
  <si>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</si>
  <si>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</si>
  <si>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</si>
  <si>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</si>
  <si>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</si>
  <si>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</si>
  <si>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</si>
  <si>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</si>
  <si>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</si>
  <si>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</si>
  <si>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</si>
  <si>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</si>
  <si>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</si>
  <si>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</si>
  <si>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</si>
  <si>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</si>
  <si>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</si>
  <si>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</si>
  <si>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</si>
  <si>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</si>
  <si>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</si>
  <si>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</si>
  <si>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</si>
  <si>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</si>
  <si>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</si>
  <si>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</si>
  <si>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</si>
  <si>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</si>
  <si>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</si>
  <si>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</si>
  <si>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</si>
  <si>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</si>
  <si>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</si>
  <si>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</si>
  <si>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</si>
  <si>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</si>
  <si>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</si>
  <si>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</si>
  <si>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</si>
  <si>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</si>
  <si>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</si>
  <si>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</si>
  <si>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</si>
  <si>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</si>
  <si>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</si>
  <si>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</si>
  <si>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</si>
  <si>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</si>
  <si>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</si>
  <si>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</si>
  <si>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</si>
  <si>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</si>
  <si>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</si>
  <si>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</si>
  <si>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</si>
  <si>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</si>
  <si>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</si>
  <si>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</si>
  <si>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</si>
  <si>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</si>
  <si>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</si>
  <si>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</si>
  <si>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</si>
  <si>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</si>
  <si>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</si>
  <si>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</si>
  <si>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</si>
  <si>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</si>
  <si>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</si>
  <si>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</si>
  <si>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</si>
  <si>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</si>
  <si>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</si>
  <si>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</si>
  <si>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</si>
  <si>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</si>
  <si>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</si>
  <si>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</si>
  <si>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</si>
  <si>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</si>
  <si>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</si>
  <si>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</si>
  <si>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</si>
  <si>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</si>
  <si>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</si>
  <si>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</si>
  <si>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</si>
  <si>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</si>
  <si>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</si>
  <si>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</si>
  <si>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</si>
  <si>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</si>
  <si>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</si>
  <si>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</si>
  <si>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</si>
  <si>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</si>
  <si>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</si>
  <si>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</si>
  <si>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</si>
  <si>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</si>
  <si>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</si>
  <si>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</si>
  <si>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</si>
  <si>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</si>
  <si>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</si>
  <si>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</si>
  <si>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</si>
  <si>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</si>
  <si>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</si>
  <si>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</si>
  <si>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</si>
  <si>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</si>
  <si>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</si>
  <si>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</si>
  <si>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</si>
  <si>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</si>
  <si>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</si>
  <si>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</si>
  <si>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</si>
  <si>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</si>
  <si>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</si>
  <si>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</si>
  <si>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</si>
  <si>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</si>
  <si>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</si>
  <si>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</si>
  <si>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</si>
  <si>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</si>
  <si>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</si>
  <si>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</si>
  <si>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</si>
  <si>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</si>
  <si>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</si>
  <si>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</si>
  <si>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</si>
  <si>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</si>
  <si>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</si>
  <si>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</si>
  <si>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</si>
  <si>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</si>
  <si>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</si>
  <si>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</si>
  <si>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</si>
  <si>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</si>
  <si>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</si>
  <si>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</si>
  <si>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</si>
  <si>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</si>
  <si>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</si>
  <si>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</si>
  <si>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</si>
  <si>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</si>
  <si>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</si>
  <si>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</si>
  <si>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</si>
  <si>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</si>
  <si>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</si>
  <si>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</si>
  <si>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</si>
  <si>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</si>
  <si>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</si>
  <si>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</si>
  <si>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</si>
  <si>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</si>
  <si>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</si>
  <si>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</si>
  <si>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</si>
  <si>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</si>
  <si>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</si>
  <si>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</si>
  <si>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</si>
  <si>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</si>
  <si>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</si>
  <si>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</si>
  <si>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</si>
  <si>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</si>
  <si>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</si>
  <si>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</si>
  <si>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</si>
  <si>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</si>
  <si>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</si>
  <si>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</si>
  <si>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</si>
  <si>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</si>
  <si>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</si>
  <si>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</si>
  <si>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</si>
  <si>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</si>
  <si>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</si>
  <si>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</si>
  <si>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</si>
  <si>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</si>
  <si>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</si>
  <si>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</si>
  <si>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</si>
  <si>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</si>
  <si>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</si>
  <si>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</si>
  <si>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</si>
  <si>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</si>
  <si>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</si>
  <si>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</si>
  <si>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</si>
  <si>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</si>
  <si>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</si>
  <si>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</si>
  <si>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</si>
  <si>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</si>
  <si>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</si>
  <si>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</si>
  <si>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</si>
  <si>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</si>
  <si>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</si>
  <si>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</si>
  <si>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</si>
  <si>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</si>
  <si>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</si>
  <si>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</si>
  <si>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</si>
  <si>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</si>
  <si>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</si>
  <si>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</si>
  <si>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</si>
  <si>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</si>
  <si>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</si>
  <si>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</si>
  <si>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</si>
  <si>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</si>
  <si>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</si>
  <si>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</si>
  <si>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</si>
  <si>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</si>
  <si>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</si>
  <si>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</si>
  <si>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</si>
  <si>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</si>
  <si>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</si>
  <si>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</si>
  <si>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</si>
  <si>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</si>
  <si>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</si>
  <si>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</si>
  <si>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</si>
  <si>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</si>
  <si>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</si>
  <si>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</si>
  <si>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</si>
  <si>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</si>
  <si>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</si>
  <si>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</si>
  <si>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</si>
  <si>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</si>
  <si>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</si>
  <si>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</si>
  <si>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</si>
  <si>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</si>
  <si>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</si>
  <si>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</si>
  <si>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</si>
  <si>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</si>
  <si>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</si>
  <si>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</si>
  <si>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</si>
  <si>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</si>
  <si>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</si>
  <si>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</si>
  <si>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</si>
  <si>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</si>
  <si>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</si>
  <si>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</si>
  <si>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</si>
  <si>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</si>
  <si>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</si>
  <si>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</si>
  <si>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</si>
  <si>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</si>
  <si>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</si>
  <si>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</si>
  <si>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</si>
  <si>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</si>
  <si>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</si>
  <si>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</si>
  <si>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</si>
  <si>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</si>
  <si>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</si>
  <si>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</si>
  <si>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</si>
  <si>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</si>
  <si>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</si>
  <si>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</si>
  <si>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</si>
  <si>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</si>
  <si>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</si>
  <si>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</si>
  <si>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</si>
  <si>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</si>
  <si>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</si>
  <si>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</si>
  <si>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</si>
  <si>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</si>
  <si>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</si>
  <si>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</si>
  <si>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</si>
  <si>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</si>
  <si>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</si>
  <si>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</si>
  <si>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</si>
  <si>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</si>
  <si>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</si>
  <si>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</si>
  <si>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</si>
  <si>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</si>
  <si>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</si>
  <si>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</si>
  <si>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</si>
  <si>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</si>
  <si>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</si>
  <si>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</si>
  <si>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</si>
  <si>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</si>
  <si>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</si>
  <si>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</si>
  <si>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</si>
  <si>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</si>
  <si>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</si>
  <si>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</si>
  <si>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</si>
  <si>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</si>
  <si>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</si>
  <si>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</si>
  <si>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</si>
  <si>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</si>
  <si>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</si>
  <si>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</si>
  <si>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</si>
  <si>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</si>
  <si>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</si>
  <si>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</si>
  <si>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</si>
  <si>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</si>
  <si>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</si>
  <si>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</si>
  <si>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</si>
  <si>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</si>
  <si>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</si>
  <si>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</si>
  <si>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</si>
  <si>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</si>
  <si>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</si>
  <si>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</si>
  <si>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</si>
  <si>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</si>
  <si>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</si>
  <si>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</si>
  <si>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</si>
  <si>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</si>
  <si>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</si>
  <si>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</si>
  <si>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</si>
  <si>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</si>
  <si>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</si>
  <si>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</si>
  <si>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</si>
  <si>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</si>
  <si>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</si>
  <si>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</si>
  <si>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</si>
  <si>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</si>
  <si>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</si>
  <si>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</si>
  <si>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</si>
  <si>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</si>
  <si>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</si>
  <si>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</si>
  <si>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</si>
  <si>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</si>
  <si>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</si>
  <si>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</si>
  <si>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</si>
  <si>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</si>
  <si>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</si>
  <si>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</si>
  <si>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</si>
  <si>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</si>
  <si>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</si>
  <si>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</si>
  <si>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</si>
  <si>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</si>
  <si>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</si>
  <si>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</si>
  <si>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</si>
  <si>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</si>
  <si>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</si>
  <si>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</si>
  <si>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</si>
  <si>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</si>
  <si>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</si>
  <si>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</si>
  <si>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</si>
  <si>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</si>
  <si>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</si>
  <si>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</si>
  <si>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</si>
  <si>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</si>
  <si>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</si>
  <si>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</si>
  <si>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</si>
  <si>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</si>
  <si>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</si>
  <si>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</si>
  <si>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</si>
  <si>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</si>
  <si>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</si>
  <si>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</si>
  <si>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</si>
  <si>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</si>
  <si>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</si>
  <si>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</si>
  <si>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</si>
  <si>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</si>
  <si>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</si>
  <si>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</si>
  <si>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</si>
  <si>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</si>
  <si>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</si>
  <si>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</si>
  <si>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</si>
  <si>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</si>
  <si>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</si>
  <si>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</si>
  <si>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</si>
  <si>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</si>
  <si>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</si>
  <si>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</si>
  <si>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</si>
  <si>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</si>
  <si>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</si>
  <si>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</si>
  <si>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</si>
  <si>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</si>
  <si>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</si>
  <si>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</si>
  <si>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</si>
  <si>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</si>
  <si>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</si>
  <si>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</si>
  <si>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</si>
  <si>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</si>
  <si>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</si>
  <si>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</si>
  <si>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</si>
  <si>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</si>
  <si>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</si>
  <si>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</si>
  <si>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</si>
  <si>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</si>
  <si>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</si>
  <si>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</si>
  <si>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</si>
  <si>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</si>
  <si>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</si>
  <si>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</si>
  <si>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</si>
  <si>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</si>
  <si>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</si>
  <si>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</si>
  <si>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</si>
  <si>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</si>
  <si>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</si>
  <si>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</si>
  <si>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</si>
  <si>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</si>
  <si>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</si>
  <si>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</si>
  <si>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</si>
  <si>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</si>
  <si>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</si>
  <si>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</si>
  <si>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</si>
  <si>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</si>
  <si>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</si>
  <si>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</si>
  <si>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</si>
  <si>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</si>
  <si>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</si>
  <si>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</si>
  <si>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</si>
  <si>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</si>
  <si>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</si>
  <si>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</si>
  <si>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</si>
  <si>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</si>
  <si>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</si>
  <si>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</si>
  <si>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</si>
  <si>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</si>
  <si>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</si>
  <si>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</si>
  <si>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</si>
  <si>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</si>
  <si>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</si>
  <si>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</si>
  <si>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</si>
  <si>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</si>
  <si>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</si>
  <si>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</si>
  <si>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</si>
  <si>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</si>
  <si>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</si>
  <si>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</si>
  <si>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</si>
  <si>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</si>
  <si>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</si>
  <si>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</si>
  <si>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</si>
  <si>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</si>
  <si>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</si>
  <si>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</si>
  <si>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</si>
  <si>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</si>
  <si>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</si>
  <si>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</si>
  <si>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</si>
  <si>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</si>
  <si>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</si>
  <si>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</si>
  <si>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</si>
  <si>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</si>
  <si>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</si>
  <si>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</si>
  <si>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</si>
  <si>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</si>
  <si>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</si>
  <si>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</si>
  <si>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</si>
  <si>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</si>
  <si>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</si>
  <si>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</si>
  <si>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</si>
  <si>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</si>
  <si>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</si>
  <si>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</si>
  <si>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</si>
  <si>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</si>
  <si>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</si>
  <si>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</si>
  <si>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</si>
  <si>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</si>
  <si>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</si>
  <si>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</si>
  <si>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</si>
  <si>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</si>
  <si>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</si>
  <si>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</si>
  <si>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</si>
  <si>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</si>
  <si>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</si>
  <si>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</si>
  <si>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</si>
  <si>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</si>
  <si>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</si>
  <si>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</si>
  <si>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</si>
  <si>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</si>
  <si>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</si>
  <si>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</si>
  <si>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</si>
  <si>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</si>
  <si>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</si>
  <si>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</si>
  <si>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</si>
  <si>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</si>
  <si>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</si>
  <si>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</si>
  <si>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</si>
  <si>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</si>
  <si>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</si>
  <si>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</si>
  <si>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</si>
  <si>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</si>
  <si>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</si>
  <si>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</si>
  <si>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</si>
  <si>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</si>
  <si>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</si>
  <si>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</si>
  <si>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</si>
  <si>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</si>
  <si>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</si>
  <si>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</si>
  <si>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</si>
  <si>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</si>
  <si>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</si>
  <si>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</si>
  <si>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</si>
  <si>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</si>
  <si>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</si>
  <si>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</si>
  <si>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</si>
  <si>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</si>
  <si>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</si>
  <si>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</si>
  <si>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</si>
  <si>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</si>
  <si>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</si>
  <si>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</si>
  <si>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</si>
  <si>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</si>
  <si>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</si>
  <si>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</si>
  <si>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</si>
  <si>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</si>
  <si>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</si>
  <si>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</si>
  <si>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</si>
  <si>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</si>
  <si>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</si>
  <si>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</si>
  <si>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</si>
  <si>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</si>
  <si>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</si>
  <si>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</si>
  <si>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</si>
  <si>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</si>
  <si>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</si>
  <si>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</si>
  <si>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</si>
  <si>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</si>
  <si>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</si>
  <si>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</si>
  <si>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</si>
  <si>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</si>
  <si>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</si>
  <si>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</si>
  <si>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</si>
  <si>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</si>
  <si>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</si>
  <si>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</si>
  <si>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</si>
  <si>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</si>
  <si>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</si>
  <si>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</si>
  <si>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</si>
  <si>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</si>
  <si>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</si>
  <si>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</si>
  <si>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</si>
  <si>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</si>
  <si>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</si>
  <si>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</si>
  <si>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</si>
  <si>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</si>
  <si>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</si>
  <si>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</si>
  <si>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</si>
  <si>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</si>
  <si>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</si>
  <si>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</si>
  <si>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</si>
  <si>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</si>
  <si>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</si>
  <si>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</si>
  <si>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</si>
  <si>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</si>
  <si>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</si>
  <si>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</si>
  <si>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</si>
  <si>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</si>
  <si>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</si>
  <si>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</si>
  <si>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</si>
  <si>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</si>
  <si>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</si>
  <si>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</si>
  <si>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</si>
  <si>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</si>
  <si>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</si>
  <si>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</si>
  <si>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</si>
  <si>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</si>
  <si>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</si>
  <si>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</si>
  <si>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</si>
  <si>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</si>
  <si>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</si>
  <si>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</si>
  <si>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</si>
  <si>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</si>
  <si>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</si>
  <si>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</si>
  <si>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</si>
  <si>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</si>
  <si>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</si>
  <si>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</si>
  <si>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</si>
  <si>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</si>
  <si>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</si>
  <si>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</si>
  <si>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</si>
  <si>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</si>
  <si>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</si>
  <si>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</si>
  <si>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</si>
  <si>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</si>
  <si>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</si>
  <si>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</si>
  <si>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</si>
  <si>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</si>
  <si>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</si>
  <si>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</si>
  <si>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</si>
  <si>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</si>
  <si>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</si>
  <si>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</si>
  <si>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</si>
  <si>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</si>
  <si>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</si>
  <si>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</si>
  <si>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</si>
  <si>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</si>
  <si>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</si>
  <si>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</si>
  <si>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</si>
  <si>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</si>
  <si>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</si>
  <si>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</si>
  <si>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</si>
  <si>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</si>
  <si>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</si>
  <si>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</si>
  <si>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</si>
  <si>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</si>
  <si>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</si>
  <si>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</si>
  <si>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</si>
  <si>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</si>
  <si>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</si>
  <si>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</si>
  <si>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</si>
  <si>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</si>
  <si>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</si>
  <si>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</si>
  <si>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</si>
  <si>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</si>
  <si>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</si>
  <si>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</si>
  <si>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</si>
  <si>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</si>
  <si>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</si>
  <si>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</si>
  <si>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</si>
  <si>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</si>
  <si>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</si>
  <si>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</si>
  <si>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</si>
  <si>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</si>
  <si>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</si>
  <si>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</si>
  <si>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</si>
  <si>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</si>
  <si>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</si>
  <si>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</si>
  <si>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</si>
  <si>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</si>
  <si>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</si>
  <si>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</si>
  <si>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</si>
  <si>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</si>
  <si>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</si>
  <si>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</si>
  <si>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</si>
  <si>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</si>
  <si>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</si>
  <si>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</si>
  <si>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</si>
  <si>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</si>
  <si>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</si>
  <si>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</si>
  <si>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</si>
  <si>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</si>
  <si>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</si>
  <si>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</si>
  <si>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</si>
  <si>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</si>
  <si>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</si>
  <si>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</si>
  <si>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</si>
  <si>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</si>
  <si>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</si>
  <si>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</si>
  <si>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</si>
  <si>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</si>
  <si>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</si>
  <si>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</si>
  <si>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</si>
  <si>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</si>
  <si>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</si>
  <si>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</si>
  <si>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</si>
  <si>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</si>
  <si>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</si>
  <si>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</si>
  <si>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</si>
  <si>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</si>
  <si>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</si>
  <si>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</si>
  <si>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</si>
  <si>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</si>
  <si>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</si>
  <si>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</si>
  <si>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</si>
  <si>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</si>
  <si>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</si>
  <si>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</si>
  <si>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</si>
  <si>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</si>
  <si>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</si>
  <si>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</si>
  <si>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</si>
  <si>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</si>
  <si>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</si>
  <si>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</si>
  <si>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</si>
  <si>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</si>
  <si>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</si>
  <si>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</si>
  <si>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</si>
  <si>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</si>
  <si>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</si>
  <si>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</si>
  <si>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</si>
  <si>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</si>
  <si>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</si>
  <si>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</si>
  <si>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</si>
  <si>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</si>
  <si>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</si>
  <si>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</si>
  <si>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</si>
  <si>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</si>
  <si>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</si>
  <si>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</si>
  <si>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</si>
  <si>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</si>
  <si>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</si>
  <si>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</si>
  <si>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</si>
  <si>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</si>
  <si>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</si>
  <si>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</si>
  <si>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</si>
  <si>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</si>
  <si>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</si>
  <si>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</si>
  <si>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</si>
  <si>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</si>
  <si>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</si>
  <si>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</si>
  <si>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</si>
  <si>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</si>
  <si>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</si>
  <si>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</si>
  <si>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</si>
  <si>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</si>
  <si>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</si>
  <si>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</si>
  <si>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</si>
  <si>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</si>
  <si>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</si>
  <si>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</si>
  <si>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</si>
  <si>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</si>
  <si>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</si>
  <si>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</si>
  <si>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</si>
  <si>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</si>
  <si>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</si>
  <si>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</si>
  <si>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</si>
  <si>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</si>
  <si>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</si>
  <si>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</si>
  <si>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</si>
  <si>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</si>
  <si>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</si>
  <si>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</si>
  <si>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</si>
  <si>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</si>
  <si>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</si>
  <si>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</si>
  <si>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</si>
  <si>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</si>
  <si>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</si>
  <si>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</si>
  <si>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</si>
  <si>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</si>
  <si>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</si>
  <si>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</si>
  <si>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</si>
  <si>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</si>
  <si>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</si>
  <si>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</si>
  <si>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</si>
  <si>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</si>
  <si>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</si>
  <si>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</si>
  <si>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</si>
  <si>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</si>
  <si>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</si>
  <si>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</si>
  <si>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</si>
  <si>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</si>
  <si>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</si>
  <si>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</si>
  <si>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</si>
  <si>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</si>
  <si>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</si>
  <si>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</si>
  <si>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</si>
  <si>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</si>
  <si>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</si>
  <si>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</si>
  <si>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</si>
  <si>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</si>
  <si>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</si>
  <si>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</si>
  <si>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</si>
  <si>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</si>
  <si>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</si>
  <si>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</si>
  <si>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</si>
  <si>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</si>
  <si>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</si>
  <si>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</si>
  <si>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</si>
  <si>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</si>
  <si>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</si>
  <si>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</si>
  <si>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</si>
  <si>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</si>
  <si>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</si>
  <si>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</si>
  <si>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</si>
  <si>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</si>
  <si>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</si>
  <si>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</si>
  <si>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</si>
  <si>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</si>
  <si>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</si>
  <si>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</si>
  <si>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</si>
  <si>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</si>
  <si>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</si>
  <si>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</si>
  <si>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</si>
  <si>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</si>
  <si>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</si>
  <si>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</si>
  <si>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</si>
  <si>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</si>
  <si>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</si>
  <si>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</si>
  <si>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</si>
  <si>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</si>
  <si>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</si>
  <si>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</si>
  <si>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</si>
  <si>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</si>
  <si>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</si>
  <si>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</si>
  <si>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</si>
  <si>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</si>
  <si>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</si>
  <si>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</si>
  <si>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</si>
  <si>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</si>
  <si>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</si>
  <si>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</si>
  <si>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</si>
  <si>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</si>
  <si>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</si>
  <si>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</si>
  <si>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</si>
  <si>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</si>
  <si>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</si>
  <si>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</si>
  <si>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</si>
  <si>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</si>
  <si>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</si>
  <si>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</si>
  <si>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</si>
  <si>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</si>
  <si>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</si>
  <si>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</si>
  <si>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</si>
  <si>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</si>
  <si>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</si>
  <si>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</si>
  <si>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</si>
  <si>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</si>
  <si>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</si>
  <si>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</si>
  <si>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</si>
  <si>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</si>
  <si>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</si>
  <si>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</si>
  <si>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</si>
  <si>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</si>
  <si>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</si>
  <si>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</si>
  <si>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</si>
  <si>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</si>
  <si>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</si>
  <si>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</si>
  <si>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</si>
  <si>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</si>
  <si>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</si>
  <si>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</si>
  <si>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</si>
  <si>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</si>
  <si>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</si>
  <si>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</si>
  <si>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</si>
  <si>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</si>
  <si>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</si>
  <si>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</si>
  <si>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</si>
  <si>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</si>
  <si>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</si>
  <si>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</si>
  <si>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</si>
  <si>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</si>
  <si>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</si>
  <si>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</si>
  <si>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</si>
  <si>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</si>
  <si>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</si>
  <si>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</si>
  <si>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</si>
  <si>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</si>
  <si>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</si>
  <si>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</si>
  <si>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</si>
  <si>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</si>
  <si>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</si>
  <si>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</si>
  <si>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</si>
  <si>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</si>
  <si>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</si>
  <si>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</si>
  <si>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</si>
  <si>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</si>
  <si>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</si>
  <si>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</si>
  <si>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</si>
  <si>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</si>
  <si>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</si>
  <si>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</si>
  <si>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</si>
  <si>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</si>
  <si>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</si>
  <si>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</si>
  <si>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</si>
  <si>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</si>
  <si>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</si>
  <si>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</si>
  <si>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</si>
  <si>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</si>
  <si>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</si>
  <si>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</si>
  <si>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</si>
  <si>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</si>
  <si>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</si>
  <si>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</si>
  <si>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</si>
  <si>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</si>
  <si>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</si>
  <si>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</si>
  <si>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</si>
  <si>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</si>
  <si>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</si>
  <si>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</si>
  <si>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</si>
  <si>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</si>
  <si>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</si>
  <si>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</si>
  <si>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</si>
  <si>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</si>
  <si>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</si>
  <si>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</si>
  <si>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</si>
  <si>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</si>
  <si>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</si>
  <si>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</si>
  <si>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</si>
  <si>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</si>
  <si>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</si>
  <si>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</si>
  <si>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</si>
  <si>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</si>
  <si>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</si>
  <si>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</si>
  <si>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</si>
  <si>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</si>
  <si>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</si>
  <si>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</si>
  <si>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</si>
  <si>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</si>
  <si>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</si>
  <si>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</si>
  <si>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</si>
  <si>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</si>
  <si>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</si>
  <si>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</si>
  <si>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</si>
  <si>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</si>
  <si>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</si>
  <si>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</si>
  <si>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</si>
  <si>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</si>
  <si>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</si>
  <si>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</si>
  <si>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</si>
  <si>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</si>
  <si>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</si>
  <si>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</si>
  <si>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</si>
  <si>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</si>
  <si>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</si>
  <si>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</si>
  <si>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</si>
  <si>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</si>
  <si>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</si>
  <si>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</si>
  <si>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</si>
  <si>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</si>
  <si>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</si>
  <si>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</si>
  <si>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</si>
  <si>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</si>
  <si>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</si>
  <si>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</si>
  <si>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</si>
  <si>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</si>
  <si>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</si>
  <si>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</si>
  <si>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</si>
  <si>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</si>
  <si>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</si>
  <si>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</si>
  <si>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</si>
  <si>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</si>
  <si>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</si>
  <si>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</si>
  <si>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</si>
  <si>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</si>
  <si>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</si>
  <si>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</si>
  <si>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</si>
  <si>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</si>
  <si>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</si>
  <si>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</si>
  <si>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</si>
  <si>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</si>
  <si>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</si>
  <si>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</si>
  <si>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</si>
  <si>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</si>
  <si>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</si>
  <si>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</si>
  <si>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</si>
  <si>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</si>
  <si>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</si>
  <si>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</si>
  <si>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</si>
  <si>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</si>
  <si>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</si>
  <si>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</si>
  <si>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</si>
  <si>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</si>
  <si>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</si>
  <si>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</si>
  <si>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</si>
  <si>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</si>
  <si>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</si>
  <si>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</si>
  <si>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</si>
  <si>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</si>
  <si>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</si>
  <si>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</si>
  <si>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</si>
  <si>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</si>
  <si>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</si>
  <si>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</si>
  <si>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</si>
  <si>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</si>
  <si>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</si>
  <si>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</si>
  <si>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</si>
  <si>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</si>
  <si>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</si>
  <si>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</si>
  <si>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</si>
  <si>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</si>
  <si>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</si>
  <si>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</si>
  <si>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</si>
  <si>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</si>
  <si>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</si>
  <si>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</si>
  <si>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</si>
  <si>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</si>
  <si>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</si>
  <si>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</si>
  <si>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</si>
  <si>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</si>
  <si>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</si>
  <si>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</si>
  <si>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</si>
  <si>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</si>
  <si>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</si>
  <si>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</si>
  <si>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</si>
  <si>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</si>
  <si>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</si>
  <si>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</si>
  <si>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</si>
  <si>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</si>
  <si>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</si>
  <si>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</si>
  <si>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</si>
  <si>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</si>
  <si>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</si>
  <si>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</si>
  <si>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</si>
  <si>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</si>
  <si>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</si>
  <si>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</si>
  <si>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</si>
  <si>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</si>
  <si>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</si>
  <si>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</si>
  <si>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</si>
  <si>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</si>
  <si>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</si>
  <si>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</si>
  <si>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</si>
  <si>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</si>
  <si>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</si>
  <si>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</si>
  <si>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</si>
  <si>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</si>
  <si>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</si>
  <si>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</si>
  <si>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</si>
  <si>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</si>
  <si>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</si>
  <si>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</si>
  <si>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</si>
  <si>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</si>
  <si>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</si>
  <si>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</si>
  <si>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</si>
  <si>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</si>
  <si>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</si>
  <si>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</si>
  <si>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</si>
  <si>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</si>
  <si>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</si>
  <si>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</si>
  <si>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</si>
  <si>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</si>
  <si>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</si>
  <si>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</si>
  <si>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</si>
  <si>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</si>
  <si>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</si>
  <si>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</si>
  <si>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</si>
  <si>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</si>
  <si>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</si>
  <si>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</si>
  <si>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</si>
  <si>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</si>
  <si>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</si>
  <si>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</si>
  <si>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</si>
  <si>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</si>
  <si>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</si>
  <si>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</si>
  <si>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</si>
  <si>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</si>
  <si>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</si>
  <si>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</si>
  <si>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</si>
  <si>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</si>
  <si>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</si>
  <si>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</si>
  <si>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</si>
  <si>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</si>
  <si>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</si>
  <si>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</si>
  <si>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</si>
  <si>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</si>
  <si>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</si>
  <si>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</si>
  <si>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</si>
  <si>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</si>
  <si>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</si>
  <si>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</si>
  <si>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</si>
  <si>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</si>
  <si>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</si>
  <si>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</si>
  <si>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</si>
  <si>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</si>
  <si>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</si>
  <si>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</si>
  <si>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</si>
  <si>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</si>
  <si>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</si>
  <si>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</si>
  <si>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</si>
  <si>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</si>
  <si>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</si>
  <si>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</si>
  <si>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</si>
  <si>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</si>
  <si>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</si>
  <si>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</si>
  <si>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</si>
  <si>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</si>
  <si>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</si>
  <si>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</si>
  <si>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</si>
  <si>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</si>
  <si>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</si>
  <si>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</si>
  <si>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</si>
  <si>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</si>
  <si>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</si>
  <si>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</si>
  <si>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</si>
  <si>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</si>
  <si>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</si>
  <si>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</si>
  <si>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</si>
  <si>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</si>
  <si>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</si>
  <si>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</si>
  <si>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</si>
  <si>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</si>
  <si>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</si>
  <si>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</si>
  <si>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</si>
  <si>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</si>
  <si>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</si>
  <si>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</si>
  <si>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</si>
  <si>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</si>
  <si>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</si>
  <si>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</si>
  <si>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</si>
  <si>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</si>
  <si>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</si>
  <si>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</si>
  <si>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</si>
  <si>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</si>
  <si>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</si>
  <si>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</si>
  <si>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</si>
  <si>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</si>
  <si>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</si>
  <si>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</si>
  <si>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</si>
  <si>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</si>
  <si>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</si>
  <si>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</si>
  <si>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</si>
  <si>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</si>
  <si>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</si>
  <si>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</si>
  <si>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</si>
  <si>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</si>
  <si>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</si>
  <si>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</si>
  <si>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</si>
  <si>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</si>
  <si>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</si>
  <si>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</si>
  <si>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</si>
  <si>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</si>
  <si>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</si>
  <si>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</si>
  <si>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</si>
  <si>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</si>
  <si>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</si>
  <si>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</si>
  <si>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</si>
  <si>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</si>
  <si>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</si>
  <si>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</si>
  <si>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</si>
  <si>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</si>
  <si>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</si>
  <si>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</si>
  <si>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</si>
  <si>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</si>
  <si>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</si>
  <si>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</si>
  <si>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</si>
  <si>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</si>
  <si>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</si>
  <si>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</si>
  <si>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</si>
  <si>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</si>
  <si>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</si>
  <si>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</si>
  <si>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</si>
  <si>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</si>
  <si>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</si>
  <si>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</si>
  <si>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</si>
  <si>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</si>
  <si>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</si>
  <si>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</si>
  <si>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</si>
  <si>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</si>
  <si>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</si>
  <si>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</si>
  <si>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</si>
  <si>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</si>
  <si>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</si>
  <si>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</si>
  <si>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</si>
  <si>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</si>
  <si>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</si>
  <si>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</si>
  <si>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</si>
  <si>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</si>
  <si>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</si>
  <si>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</si>
  <si>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</si>
  <si>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</si>
  <si>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</si>
  <si>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</si>
  <si>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</si>
  <si>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</si>
  <si>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</si>
  <si>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</si>
  <si>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</si>
  <si>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</si>
  <si>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</si>
  <si>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</si>
  <si>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</si>
  <si>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</si>
  <si>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</si>
  <si>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</si>
  <si>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</si>
  <si>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</si>
  <si>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</si>
  <si>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</si>
  <si>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</si>
  <si>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</si>
  <si>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</si>
  <si>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</si>
  <si>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</si>
  <si>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</si>
  <si>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</si>
  <si>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</si>
  <si>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</si>
  <si>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</si>
  <si>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</si>
  <si>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</si>
  <si>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</si>
  <si>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</si>
  <si>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</si>
  <si>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</si>
  <si>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</si>
  <si>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</si>
  <si>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</si>
  <si>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</si>
  <si>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</si>
  <si>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</si>
  <si>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</si>
  <si>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</si>
  <si>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</si>
  <si>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</si>
  <si>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</si>
  <si>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</si>
  <si>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</si>
  <si>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</si>
  <si>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</si>
  <si>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</si>
  <si>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</si>
  <si>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</si>
  <si>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</si>
  <si>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</si>
  <si>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</si>
  <si>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</si>
  <si>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</si>
  <si>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</si>
  <si>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</si>
  <si>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</si>
  <si>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</si>
  <si>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</si>
  <si>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</si>
  <si>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</si>
  <si>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</si>
  <si>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</si>
  <si>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</si>
  <si>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</si>
  <si>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</si>
  <si>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</si>
  <si>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</si>
  <si>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</si>
  <si>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</si>
  <si>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</si>
  <si>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</si>
  <si>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</si>
  <si>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</si>
  <si>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</si>
  <si>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</si>
  <si>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</si>
  <si>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</si>
  <si>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</si>
  <si>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</si>
  <si>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</si>
  <si>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</si>
  <si>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</si>
  <si>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</si>
  <si>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</si>
  <si>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</si>
  <si>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</si>
  <si>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</si>
  <si>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</si>
  <si>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</si>
  <si>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</si>
  <si>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</si>
  <si>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</si>
  <si>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</si>
  <si>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</si>
  <si>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</si>
  <si>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</si>
  <si>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</si>
  <si>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</si>
  <si>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</si>
  <si>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</si>
  <si>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</si>
  <si>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</si>
  <si>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</si>
  <si>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</si>
  <si>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</si>
  <si>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</si>
  <si>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</si>
  <si>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</si>
  <si>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</si>
  <si>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</si>
  <si>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</si>
  <si>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</si>
  <si>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</si>
  <si>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</si>
  <si>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</si>
  <si>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</si>
  <si>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</si>
  <si>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</si>
  <si>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</si>
  <si>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</si>
  <si>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</si>
  <si>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</si>
  <si>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</si>
  <si>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</si>
  <si>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</si>
  <si>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</si>
  <si>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</si>
  <si>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</si>
  <si>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</si>
  <si>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</si>
  <si>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</si>
  <si>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</si>
  <si>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</si>
  <si>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</si>
  <si>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</si>
  <si>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</si>
  <si>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</si>
  <si>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</si>
  <si>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</si>
  <si>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</si>
  <si>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</si>
  <si>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</si>
  <si>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</si>
  <si>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</si>
  <si>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</si>
  <si>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</si>
  <si>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</si>
  <si>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</si>
  <si>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</si>
  <si>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</si>
  <si>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</si>
  <si>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</si>
  <si>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</si>
  <si>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</si>
  <si>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</si>
  <si>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</si>
  <si>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</si>
  <si>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</si>
  <si>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</si>
  <si>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</si>
  <si>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</si>
  <si>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</si>
  <si>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</si>
  <si>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</si>
  <si>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</si>
  <si>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</si>
  <si>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</si>
  <si>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</si>
  <si>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</si>
  <si>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</si>
  <si>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</si>
  <si>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</si>
  <si>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</si>
  <si>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</si>
  <si>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</si>
  <si>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</si>
  <si>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</si>
  <si>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</si>
  <si>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</si>
  <si>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</si>
  <si>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</si>
  <si>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</si>
  <si>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</si>
  <si>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</si>
  <si>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</si>
  <si>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</si>
  <si>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</si>
  <si>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</si>
  <si>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</si>
  <si>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</si>
  <si>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</si>
  <si>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</si>
  <si>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</si>
  <si>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</si>
  <si>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</si>
  <si>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</si>
  <si>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</si>
  <si>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</si>
  <si>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</si>
  <si>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</si>
  <si>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</si>
  <si>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</si>
  <si>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</si>
  <si>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</si>
  <si>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</si>
  <si>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</si>
  <si>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</si>
  <si>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</si>
  <si>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</si>
  <si>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</si>
  <si>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</si>
  <si>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</si>
  <si>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</si>
  <si>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</si>
  <si>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</si>
  <si>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</si>
  <si>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</si>
  <si>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</si>
  <si>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</si>
  <si>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</si>
  <si>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</si>
  <si>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</si>
  <si>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</si>
  <si>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</si>
  <si>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</si>
  <si>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</si>
  <si>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</si>
  <si>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</si>
  <si>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</si>
  <si>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</si>
  <si>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</si>
  <si>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</si>
  <si>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</si>
  <si>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</si>
  <si>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</si>
  <si>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</si>
  <si>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</si>
  <si>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</si>
  <si>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</si>
  <si>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</si>
  <si>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</si>
  <si>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</si>
  <si>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</si>
  <si>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</si>
  <si>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</si>
  <si>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</si>
  <si>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</si>
  <si>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</si>
  <si>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</si>
  <si>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</si>
  <si>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</si>
  <si>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</si>
  <si>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</si>
  <si>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</si>
  <si>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</si>
  <si>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</si>
  <si>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</si>
  <si>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</si>
  <si>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</si>
  <si>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</si>
  <si>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</si>
  <si>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</si>
  <si>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</si>
  <si>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</si>
  <si>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</si>
  <si>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</si>
  <si>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</si>
  <si>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</si>
  <si>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</si>
  <si>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</si>
  <si>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</si>
  <si>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</si>
  <si>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</si>
  <si>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</si>
  <si>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</si>
  <si>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</si>
  <si>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</si>
  <si>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</si>
  <si>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</si>
  <si>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</si>
  <si>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</si>
  <si>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</si>
  <si>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</si>
  <si>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</si>
  <si>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</si>
  <si>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</si>
  <si>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</si>
  <si>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</si>
  <si>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</si>
  <si>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</si>
  <si>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</si>
  <si>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</si>
  <si>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</si>
  <si>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</si>
  <si>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</si>
  <si>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</si>
  <si>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</si>
  <si>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</si>
  <si>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</si>
  <si>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</si>
  <si>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</si>
  <si>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</si>
  <si>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</si>
  <si>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</si>
  <si>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</si>
  <si>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</si>
  <si>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</si>
  <si>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</si>
  <si>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</si>
  <si>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</si>
  <si>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</si>
  <si>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</si>
  <si>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</si>
  <si>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</si>
  <si>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</si>
  <si>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</si>
  <si>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</si>
  <si>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</si>
  <si>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</si>
  <si>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</si>
  <si>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</si>
  <si>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</si>
  <si>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</si>
  <si>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</si>
  <si>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</si>
  <si>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</si>
  <si>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</si>
  <si>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</si>
  <si>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</si>
  <si>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</si>
  <si>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</si>
  <si>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</si>
  <si>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</si>
  <si>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</si>
  <si>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</si>
  <si>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</si>
  <si>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</si>
  <si>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</si>
  <si>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</si>
  <si>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</si>
  <si>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</si>
  <si>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</si>
  <si>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</si>
  <si>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</si>
  <si>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</si>
  <si>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</si>
  <si>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</si>
  <si>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</si>
  <si>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</si>
  <si>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</si>
  <si>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</si>
  <si>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</si>
  <si>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</si>
  <si>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</si>
  <si>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</si>
  <si>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</si>
  <si>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</si>
  <si>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</si>
  <si>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</si>
  <si>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</si>
  <si>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</si>
  <si>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</si>
  <si>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</si>
  <si>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</si>
  <si>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</si>
  <si>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</si>
  <si>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</si>
  <si>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</si>
  <si>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</si>
  <si>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</si>
  <si>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</si>
  <si>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</si>
  <si>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</si>
  <si>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</si>
  <si>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</si>
  <si>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</si>
  <si>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</si>
  <si>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</si>
  <si>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</si>
  <si>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</si>
  <si>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</si>
  <si>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</si>
  <si>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</si>
  <si>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</si>
  <si>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</si>
  <si>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</si>
  <si>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</si>
  <si>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</si>
  <si>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</si>
  <si>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</si>
  <si>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</si>
  <si>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</si>
  <si>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</si>
  <si>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</si>
  <si>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</si>
  <si>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</si>
  <si>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</si>
  <si>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</si>
  <si>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</si>
  <si>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</si>
  <si>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</si>
  <si>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</si>
  <si>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</si>
  <si>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</si>
  <si>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</si>
  <si>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</si>
  <si>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</si>
  <si>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</si>
  <si>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</si>
  <si>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</si>
  <si>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</si>
  <si>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</si>
  <si>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</si>
  <si>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</si>
  <si>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</si>
  <si>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</si>
  <si>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</si>
  <si>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</si>
  <si>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</si>
  <si>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</si>
  <si>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</si>
  <si>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</si>
  <si>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</si>
  <si>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</si>
  <si>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</si>
  <si>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</si>
  <si>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</si>
  <si>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</si>
  <si>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</si>
  <si>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</si>
  <si>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</si>
  <si>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</si>
  <si>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</si>
  <si>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</si>
  <si>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</si>
  <si>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</si>
  <si>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</si>
  <si>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</si>
  <si>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</si>
  <si>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</si>
  <si>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</si>
  <si>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</si>
  <si>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</si>
  <si>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</si>
  <si>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</si>
  <si>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</si>
  <si>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</si>
  <si>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</si>
  <si>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</si>
  <si>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</si>
  <si>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</si>
  <si>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</si>
  <si>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</si>
  <si>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</si>
  <si>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</si>
  <si>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</si>
  <si>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</si>
  <si>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</si>
  <si>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</si>
  <si>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</si>
  <si>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</si>
  <si>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</si>
  <si>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</si>
  <si>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</si>
  <si>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</si>
  <si>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</si>
  <si>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</si>
  <si>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</si>
  <si>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</si>
  <si>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</si>
  <si>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</si>
  <si>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</si>
  <si>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</si>
  <si>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</si>
  <si>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</si>
  <si>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</si>
  <si>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</si>
  <si>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</si>
  <si>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</si>
  <si>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</si>
  <si>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</si>
  <si>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</si>
  <si>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</si>
  <si>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</si>
  <si>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</si>
  <si>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</si>
  <si>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</si>
  <si>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</si>
  <si>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</si>
  <si>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</si>
  <si>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</si>
  <si>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</si>
  <si>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</si>
  <si>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</si>
  <si>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</si>
  <si>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</si>
  <si>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</si>
  <si>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</si>
  <si>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</si>
  <si>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</si>
  <si>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</si>
  <si>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</si>
  <si>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</si>
  <si>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</si>
  <si>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</si>
  <si>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</si>
  <si>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</si>
  <si>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</si>
  <si>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</si>
  <si>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</si>
  <si>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</si>
  <si>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</si>
  <si>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</si>
  <si>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</si>
  <si>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</si>
  <si>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</si>
  <si>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</si>
  <si>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</si>
  <si>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</si>
  <si>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</si>
  <si>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</si>
  <si>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</si>
  <si>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</si>
  <si>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</si>
  <si>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</si>
  <si>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</si>
  <si>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</si>
  <si>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</si>
  <si>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</si>
  <si>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</si>
  <si>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</si>
  <si>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</si>
  <si>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</si>
  <si>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</si>
  <si>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</si>
  <si>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</si>
  <si>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</si>
  <si>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</si>
  <si>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</si>
  <si>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</si>
  <si>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</si>
  <si>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</si>
  <si>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</si>
  <si>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</si>
  <si>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</si>
  <si>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</si>
  <si>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</si>
  <si>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</si>
  <si>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</si>
  <si>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</si>
  <si>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</si>
  <si>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</si>
  <si>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</si>
  <si>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</si>
  <si>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</si>
  <si>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</si>
  <si>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</si>
  <si>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</si>
  <si>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</si>
  <si>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</si>
  <si>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</si>
  <si>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</si>
  <si>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</si>
  <si>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</si>
  <si>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</si>
  <si>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</si>
  <si>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</si>
  <si>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</si>
  <si>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</si>
  <si>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</si>
  <si>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</si>
  <si>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</si>
  <si>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</si>
  <si>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</si>
  <si>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</si>
  <si>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</si>
  <si>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</si>
  <si>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</si>
  <si>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</si>
  <si>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</si>
  <si>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</si>
  <si>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</si>
  <si>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</si>
  <si>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</si>
  <si>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</si>
  <si>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</si>
  <si>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</si>
  <si>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</si>
  <si>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</si>
  <si>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</si>
  <si>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</si>
  <si>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</si>
  <si>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</si>
  <si>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</si>
  <si>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</si>
  <si>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</si>
  <si>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</si>
  <si>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</si>
  <si>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</si>
  <si>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</si>
  <si>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</si>
  <si>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</si>
  <si>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</si>
  <si>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</si>
  <si>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</si>
  <si>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</si>
  <si>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</si>
  <si>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</si>
  <si>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</si>
  <si>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</si>
  <si>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</si>
  <si>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</si>
  <si>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</si>
  <si>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</si>
  <si>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</si>
  <si>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</si>
  <si>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</si>
  <si>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</si>
  <si>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</si>
  <si>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</si>
  <si>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</si>
  <si>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</si>
  <si>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</si>
  <si>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</si>
  <si>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</si>
  <si>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</si>
  <si>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</si>
  <si>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</si>
  <si>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</si>
  <si>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</si>
  <si>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</si>
  <si>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</si>
  <si>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</si>
  <si>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</si>
  <si>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</si>
  <si>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</si>
  <si>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</si>
  <si>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</si>
  <si>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</si>
  <si>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</si>
  <si>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</si>
  <si>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</si>
  <si>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</si>
  <si>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</si>
  <si>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</si>
  <si>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</si>
  <si>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</si>
  <si>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</si>
  <si>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</si>
  <si>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</si>
  <si>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</si>
  <si>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</si>
  <si>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</si>
  <si>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</si>
  <si>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</si>
  <si>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</si>
  <si>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</si>
  <si>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</si>
  <si>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</si>
  <si>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</si>
  <si>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</si>
  <si>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</si>
  <si>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</si>
  <si>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</si>
  <si>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</si>
  <si>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</si>
  <si>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</si>
  <si>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</si>
  <si>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</si>
  <si>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</si>
  <si>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</si>
  <si>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</si>
  <si>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</si>
  <si>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</si>
  <si>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</si>
  <si>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</si>
  <si>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</si>
  <si>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</si>
  <si>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</si>
  <si>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</si>
  <si>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</si>
  <si>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</si>
  <si>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</si>
  <si>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</si>
  <si>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</si>
  <si>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</si>
  <si>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</si>
  <si>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</si>
  <si>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</si>
  <si>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</si>
  <si>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</si>
  <si>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</si>
  <si>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</si>
  <si>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</si>
  <si>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</si>
  <si>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</si>
  <si>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</si>
  <si>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</si>
  <si>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</si>
  <si>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</si>
  <si>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</si>
  <si>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</si>
  <si>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</si>
  <si>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</si>
  <si>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</si>
  <si>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</si>
  <si>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</si>
  <si>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</si>
  <si>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</si>
  <si>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</si>
  <si>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</si>
  <si>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</si>
  <si>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</si>
  <si>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</si>
  <si>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</si>
  <si>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</si>
  <si>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</si>
  <si>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</si>
  <si>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</si>
  <si>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</si>
  <si>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</si>
  <si>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</si>
  <si>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</si>
  <si>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</si>
  <si>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</si>
  <si>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</si>
  <si>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</si>
  <si>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</si>
  <si>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</si>
  <si>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</si>
  <si>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</si>
  <si>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</si>
  <si>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</si>
  <si>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</si>
  <si>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</si>
  <si>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</si>
  <si>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</si>
  <si>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</si>
  <si>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</si>
  <si>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</si>
  <si>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</si>
  <si>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</si>
  <si>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</si>
  <si>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</si>
  <si>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</si>
  <si>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</si>
  <si>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</si>
  <si>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</si>
  <si>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</si>
  <si>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</si>
  <si>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</si>
  <si>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</si>
  <si>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</si>
  <si>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</si>
  <si>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</si>
  <si>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</si>
  <si>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</si>
  <si>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</si>
  <si>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</si>
  <si>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</si>
  <si>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</si>
  <si>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</si>
  <si>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</si>
  <si>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</si>
  <si>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</si>
  <si>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</si>
  <si>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</si>
  <si>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</si>
  <si>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</si>
  <si>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</si>
  <si>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</si>
  <si>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</si>
  <si>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</si>
  <si>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</si>
  <si>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</si>
  <si>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</si>
  <si>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</si>
  <si>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</si>
  <si>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</si>
  <si>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</si>
  <si>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</si>
  <si>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</si>
  <si>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</si>
  <si>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</si>
  <si>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</si>
  <si>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</si>
  <si>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</si>
  <si>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</si>
  <si>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</si>
  <si>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</si>
  <si>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</si>
  <si>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</si>
  <si>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</si>
  <si>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</si>
  <si>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</si>
  <si>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</si>
  <si>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</si>
  <si>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</si>
  <si>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</si>
  <si>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</si>
  <si>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</si>
  <si>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</si>
  <si>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</si>
  <si>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</si>
  <si>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</si>
  <si>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</si>
  <si>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</si>
  <si>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</si>
  <si>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</si>
  <si>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</si>
  <si>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</si>
  <si>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</si>
  <si>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</si>
  <si>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</si>
  <si>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</si>
  <si>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</si>
  <si>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</si>
  <si>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</si>
  <si>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</si>
  <si>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</si>
  <si>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</si>
  <si>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</si>
  <si>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</si>
  <si>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</si>
  <si>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</si>
  <si>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</si>
  <si>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</si>
  <si>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</si>
  <si>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</si>
  <si>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</si>
  <si>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</si>
  <si>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</si>
  <si>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</si>
  <si>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</si>
  <si>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</si>
  <si>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</si>
  <si>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</si>
  <si>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</si>
  <si>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</si>
  <si>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</si>
  <si>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</si>
  <si>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</si>
  <si>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</si>
  <si>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</si>
  <si>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</si>
  <si>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</si>
  <si>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</si>
  <si>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</si>
  <si>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</si>
  <si>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</si>
  <si>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</si>
  <si>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</si>
  <si>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</si>
  <si>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</si>
  <si>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</si>
  <si>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</si>
  <si>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</si>
  <si>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</si>
  <si>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</si>
  <si>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</si>
  <si>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</si>
  <si>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</si>
  <si>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</si>
  <si>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</si>
  <si>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</si>
  <si>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</si>
  <si>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</si>
  <si>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</si>
  <si>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</si>
  <si>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</si>
  <si>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</si>
  <si>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</si>
  <si>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</si>
  <si>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</si>
  <si>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</si>
  <si>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</si>
  <si>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</si>
  <si>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</si>
  <si>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</si>
  <si>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</si>
  <si>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</si>
  <si>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</si>
  <si>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</si>
  <si>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</si>
  <si>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</si>
  <si>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</si>
  <si>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</si>
  <si>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</si>
  <si>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</si>
  <si>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</si>
  <si>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</si>
  <si>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</si>
  <si>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</si>
  <si>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</si>
  <si>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</si>
  <si>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</si>
  <si>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</si>
  <si>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</si>
  <si>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</si>
  <si>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</si>
  <si>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</si>
  <si>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</si>
  <si>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</si>
  <si>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</si>
  <si>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</si>
  <si>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</si>
  <si>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</si>
  <si>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</si>
  <si>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</si>
  <si>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</si>
  <si>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</si>
  <si>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</si>
  <si>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</si>
  <si>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</si>
  <si>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</si>
  <si>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</si>
  <si>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</si>
  <si>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</si>
  <si>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</si>
  <si>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</si>
  <si>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</si>
  <si>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</si>
  <si>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</si>
  <si>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</si>
  <si>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</si>
  <si>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</si>
  <si>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</si>
  <si>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</si>
  <si>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</si>
  <si>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</si>
  <si>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</si>
  <si>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</si>
  <si>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</si>
  <si>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</si>
  <si>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</si>
  <si>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</si>
  <si>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</si>
  <si>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</si>
  <si>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</si>
  <si>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</si>
  <si>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</si>
  <si>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</si>
  <si>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</si>
  <si>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</si>
  <si>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</si>
  <si>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</si>
  <si>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</si>
  <si>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</si>
  <si>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</si>
  <si>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</si>
  <si>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</si>
  <si>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</si>
  <si>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</si>
  <si>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</si>
  <si>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</si>
  <si>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</si>
  <si>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</si>
  <si>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</si>
  <si>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</si>
  <si>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</si>
  <si>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</si>
  <si>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</si>
  <si>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</si>
  <si>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</si>
  <si>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</si>
  <si>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</si>
  <si>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</si>
  <si>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</si>
  <si>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</si>
  <si>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</si>
  <si>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</si>
  <si>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</si>
  <si>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</si>
  <si>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</si>
  <si>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</si>
  <si>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</si>
  <si>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</si>
  <si>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</si>
  <si>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</si>
  <si>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</si>
  <si>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</si>
  <si>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</si>
  <si>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</si>
  <si>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</si>
  <si>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</si>
  <si>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</si>
  <si>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</si>
  <si>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</si>
  <si>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</si>
  <si>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</si>
  <si>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</si>
  <si>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</si>
  <si>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</si>
  <si>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</si>
  <si>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</si>
  <si>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</si>
  <si>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</si>
  <si>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</si>
  <si>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</si>
  <si>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</si>
  <si>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</si>
  <si>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</si>
  <si>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</si>
  <si>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</si>
  <si>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</si>
  <si>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</si>
  <si>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</si>
  <si>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</si>
  <si>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</si>
  <si>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</si>
  <si>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</si>
  <si>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</si>
  <si>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</si>
  <si>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</si>
  <si>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</si>
  <si>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</si>
  <si>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</si>
  <si>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</si>
  <si>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</si>
  <si>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</si>
  <si>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</si>
  <si>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</si>
  <si>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</si>
  <si>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</si>
  <si>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</si>
  <si>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</si>
  <si>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</si>
  <si>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</si>
  <si>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</si>
  <si>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</si>
  <si>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</si>
  <si>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</si>
  <si>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</si>
  <si>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</si>
  <si>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</si>
  <si>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</si>
  <si>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</si>
  <si>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</si>
  <si>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</si>
  <si>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</si>
  <si>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</si>
  <si>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</si>
  <si>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</si>
  <si>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</si>
  <si>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</si>
  <si>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</si>
  <si>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</si>
  <si>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</si>
  <si>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</si>
  <si>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</si>
  <si>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</si>
  <si>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</si>
  <si>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</si>
  <si>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</si>
  <si>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</si>
  <si>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</si>
  <si>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</si>
  <si>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</si>
  <si>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</si>
  <si>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</si>
  <si>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</si>
  <si>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</si>
  <si>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</si>
  <si>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</si>
  <si>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</si>
  <si>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</si>
  <si>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</si>
  <si>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</si>
  <si>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</si>
  <si>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</si>
  <si>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</si>
  <si>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</si>
  <si>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</si>
  <si>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</si>
  <si>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</si>
  <si>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</si>
  <si>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</si>
  <si>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</si>
  <si>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</si>
  <si>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</si>
  <si>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</si>
  <si>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</si>
  <si>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</si>
  <si>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</si>
  <si>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</si>
  <si>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</si>
  <si>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</si>
  <si>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</si>
  <si>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</si>
  <si>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</si>
  <si>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</si>
  <si>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</si>
  <si>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</si>
  <si>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</si>
  <si>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</si>
  <si>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</si>
  <si>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</si>
  <si>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</si>
  <si>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</si>
  <si>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</si>
  <si>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</si>
  <si>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</si>
  <si>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</si>
  <si>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</si>
  <si>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</si>
  <si>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</si>
  <si>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</si>
  <si>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</si>
  <si>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</si>
  <si>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</si>
  <si>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</si>
  <si>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</si>
  <si>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</si>
  <si>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</si>
  <si>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</si>
  <si>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</si>
  <si>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</si>
  <si>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</si>
  <si>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</si>
  <si>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</si>
  <si>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</si>
  <si>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</si>
  <si>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</si>
  <si>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</si>
  <si>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</si>
  <si>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</si>
  <si>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</si>
  <si>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</si>
  <si>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</si>
  <si>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</si>
  <si>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</si>
  <si>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</si>
  <si>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</si>
  <si>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</si>
  <si>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</si>
  <si>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</si>
  <si>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</si>
  <si>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</si>
  <si>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</si>
  <si>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</si>
  <si>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</si>
  <si>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</si>
  <si>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</si>
  <si>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</si>
  <si>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</si>
  <si>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</si>
  <si>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</si>
  <si>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</si>
  <si>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</si>
  <si>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</si>
  <si>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</si>
  <si>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</si>
  <si>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</si>
  <si>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</si>
  <si>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</si>
  <si>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</si>
  <si>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</si>
  <si>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</si>
  <si>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</si>
  <si>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</si>
  <si>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</si>
  <si>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</si>
  <si>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</si>
  <si>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</si>
  <si>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</si>
  <si>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</si>
  <si>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</si>
  <si>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</si>
  <si>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</si>
  <si>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</si>
  <si>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</si>
  <si>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</si>
  <si>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</si>
  <si>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</si>
  <si>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</si>
  <si>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</si>
  <si>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</si>
  <si>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</si>
  <si>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</si>
  <si>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</si>
  <si>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</si>
  <si>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</si>
  <si>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</si>
  <si>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</si>
  <si>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</si>
  <si>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</si>
  <si>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</si>
  <si>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</si>
  <si>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</si>
  <si>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</si>
  <si>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</si>
  <si>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</si>
  <si>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</si>
  <si>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</si>
  <si>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</si>
  <si>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</si>
  <si>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</si>
  <si>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</si>
  <si>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</si>
  <si>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</si>
  <si>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</si>
  <si>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</si>
  <si>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</si>
  <si>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</si>
  <si>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</si>
  <si>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</si>
  <si>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</si>
  <si>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</si>
  <si>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</si>
  <si>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</si>
  <si>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</si>
  <si>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</si>
  <si>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</si>
  <si>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</si>
  <si>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</si>
  <si>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</si>
  <si>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</si>
  <si>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</si>
  <si>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</si>
  <si>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</si>
  <si>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</si>
  <si>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</si>
  <si>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</si>
  <si>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</si>
  <si>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</si>
  <si>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</si>
  <si>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</si>
  <si>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</si>
  <si>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</si>
  <si>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</si>
  <si>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</si>
  <si>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</si>
  <si>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</si>
  <si>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</si>
  <si>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</si>
  <si>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</si>
  <si>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</si>
  <si>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</si>
  <si>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</si>
  <si>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</si>
  <si>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</si>
  <si>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</si>
  <si>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</si>
  <si>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</si>
  <si>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</si>
  <si>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</si>
  <si>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</si>
  <si>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</si>
  <si>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</si>
  <si>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</si>
  <si>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</si>
  <si>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</si>
  <si>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</si>
  <si>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</si>
  <si>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</si>
  <si>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</si>
  <si>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</si>
  <si>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</si>
  <si>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</si>
  <si>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</si>
  <si>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</si>
  <si>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</si>
  <si>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</si>
  <si>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</si>
  <si>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</si>
  <si>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</si>
  <si>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</si>
  <si>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</si>
  <si>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</si>
  <si>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</si>
  <si>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</si>
  <si>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</si>
  <si>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</si>
  <si>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</si>
  <si>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</si>
  <si>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</si>
  <si>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</si>
  <si>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</si>
  <si>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</si>
  <si>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</si>
  <si>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</si>
  <si>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</si>
  <si>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</si>
  <si>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</si>
  <si>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</si>
  <si>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</si>
  <si>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</si>
  <si>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</si>
  <si>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</si>
  <si>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</si>
  <si>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</si>
  <si>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</si>
  <si>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</si>
  <si>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</si>
  <si>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</si>
  <si>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</si>
  <si>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</si>
  <si>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</si>
  <si>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</si>
  <si>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</si>
  <si>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</si>
  <si>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</si>
  <si>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</si>
  <si>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</si>
  <si>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</si>
  <si>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</si>
  <si>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</si>
  <si>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</si>
  <si>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</si>
  <si>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</si>
  <si>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</si>
  <si>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</si>
  <si>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</si>
  <si>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</si>
  <si>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</si>
  <si>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</si>
  <si>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</si>
  <si>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</si>
  <si>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</si>
  <si>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</si>
  <si>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</si>
  <si>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</si>
  <si>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</si>
  <si>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</si>
  <si>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</si>
  <si>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</si>
  <si>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</si>
  <si>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</si>
  <si>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</si>
  <si>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</si>
  <si>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</si>
  <si>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</si>
  <si>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</si>
  <si>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</si>
  <si>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</si>
  <si>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</si>
  <si>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</si>
  <si>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</si>
  <si>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</si>
  <si>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</si>
  <si>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</si>
  <si>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</si>
  <si>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</si>
  <si>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</si>
  <si>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</si>
  <si>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</si>
  <si>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</si>
  <si>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</si>
  <si>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</si>
  <si>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</si>
  <si>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</si>
  <si>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</si>
  <si>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</si>
  <si>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</si>
  <si>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</si>
  <si>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</si>
  <si>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</si>
  <si>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</si>
  <si>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</si>
  <si>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</si>
  <si>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</si>
  <si>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</si>
  <si>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</si>
  <si>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</si>
  <si>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</si>
  <si>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</si>
  <si>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</si>
  <si>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</si>
  <si>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</si>
  <si>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</si>
  <si>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</si>
  <si>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</si>
  <si>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</si>
  <si>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</si>
  <si>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</si>
  <si>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</si>
  <si>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</si>
  <si>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</si>
  <si>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</si>
  <si>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</si>
  <si>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</si>
  <si>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</si>
  <si>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</si>
  <si>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</si>
  <si>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</si>
  <si>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</si>
  <si>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</si>
  <si>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</si>
  <si>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</si>
  <si>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</si>
  <si>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</si>
  <si>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</si>
  <si>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</si>
  <si>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</si>
  <si>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</si>
  <si>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</si>
  <si>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</si>
  <si>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</si>
  <si>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</si>
  <si>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</si>
  <si>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</si>
  <si>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</si>
  <si>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</si>
  <si>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</si>
  <si>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</si>
  <si>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</si>
  <si>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</si>
  <si>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</si>
  <si>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</si>
  <si>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</si>
  <si>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</si>
  <si>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</si>
  <si>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</si>
  <si>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</si>
  <si>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</si>
  <si>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</si>
  <si>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</si>
  <si>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</si>
  <si>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</si>
  <si>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</si>
  <si>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</si>
  <si>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</si>
  <si>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</si>
  <si>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</si>
  <si>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</si>
  <si>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</si>
  <si>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</si>
  <si>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</si>
  <si>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</si>
  <si>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</si>
  <si>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</si>
  <si>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</si>
  <si>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</si>
  <si>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</si>
  <si>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</si>
  <si>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</si>
  <si>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</si>
  <si>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</si>
  <si>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</si>
  <si>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</si>
  <si>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</si>
  <si>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</si>
  <si>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</si>
  <si>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</si>
  <si>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</si>
  <si>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</si>
  <si>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</si>
  <si>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</si>
  <si>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</si>
  <si>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</si>
  <si>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</si>
  <si>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</si>
  <si>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</si>
  <si>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</si>
  <si>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</si>
  <si>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</si>
  <si>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</si>
  <si>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</si>
  <si>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</si>
  <si>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</si>
  <si>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</si>
  <si>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</si>
  <si>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</si>
  <si>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</si>
  <si>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</si>
  <si>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</si>
  <si>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</si>
  <si>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</si>
  <si>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</si>
  <si>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</si>
  <si>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</si>
  <si>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</si>
  <si>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</si>
  <si>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</si>
  <si>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</si>
  <si>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</si>
  <si>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</si>
  <si>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</si>
  <si>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</si>
  <si>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</si>
  <si>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</si>
  <si>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</si>
  <si>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</si>
  <si>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</si>
  <si>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</si>
  <si>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</si>
  <si>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</si>
  <si>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</si>
  <si>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</si>
  <si>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</si>
  <si>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</si>
  <si>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</si>
  <si>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</si>
  <si>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</si>
  <si>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</si>
  <si>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</si>
  <si>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</si>
  <si>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</si>
  <si>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</si>
  <si>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</si>
  <si>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</si>
  <si>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</si>
  <si>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</si>
  <si>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</si>
  <si>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</si>
  <si>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</si>
  <si>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</si>
  <si>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</si>
  <si>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</si>
  <si>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</si>
  <si>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</si>
  <si>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</si>
  <si>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</si>
  <si>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</si>
  <si>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</si>
  <si>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</si>
  <si>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</si>
  <si>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</si>
  <si>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</si>
  <si>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</si>
  <si>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</si>
  <si>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</si>
  <si>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</si>
  <si>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</si>
  <si>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</si>
  <si>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</si>
  <si>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</si>
  <si>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</si>
  <si>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</si>
  <si>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</si>
  <si>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</si>
  <si>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</si>
  <si>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</si>
  <si>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</si>
  <si>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</si>
  <si>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</si>
  <si>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</si>
  <si>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</si>
  <si>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</si>
  <si>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</si>
  <si>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</si>
  <si>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</si>
  <si>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</si>
  <si>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</si>
  <si>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</si>
  <si>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</si>
  <si>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</si>
  <si>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</si>
  <si>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</si>
  <si>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</si>
  <si>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</si>
  <si>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</si>
  <si>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</si>
  <si>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</si>
  <si>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</si>
  <si>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</si>
  <si>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</si>
  <si>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</si>
  <si>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</si>
  <si>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</si>
  <si>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</si>
  <si>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</si>
  <si>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</si>
  <si>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</si>
  <si>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</si>
  <si>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</si>
  <si>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</si>
  <si>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</si>
  <si>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</si>
  <si>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</si>
  <si>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</si>
  <si>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</si>
  <si>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</si>
  <si>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</si>
  <si>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</si>
  <si>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</si>
  <si>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</si>
  <si>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</si>
  <si>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</si>
  <si>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</si>
  <si>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</si>
  <si>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</si>
  <si>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</si>
  <si>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</si>
  <si>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</si>
  <si>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</si>
  <si>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</si>
  <si>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</si>
  <si>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</si>
  <si>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</si>
  <si>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</si>
  <si>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</si>
  <si>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</si>
  <si>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</si>
  <si>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</si>
  <si>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</si>
  <si>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</si>
  <si>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</si>
  <si>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</si>
  <si>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</si>
  <si>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</si>
  <si>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</si>
  <si>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</si>
  <si>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</si>
  <si>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</si>
  <si>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</si>
  <si>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</si>
  <si>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</si>
  <si>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</si>
  <si>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</si>
  <si>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</si>
  <si>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</si>
  <si>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</si>
  <si>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</si>
  <si>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</si>
  <si>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</si>
  <si>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</si>
  <si>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</si>
  <si>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</si>
  <si>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</si>
  <si>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</si>
  <si>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</si>
  <si>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</si>
  <si>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</si>
  <si>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</si>
  <si>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</si>
  <si>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</si>
  <si>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</si>
  <si>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</si>
  <si>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</si>
  <si>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</si>
  <si>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</si>
  <si>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</si>
  <si>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</si>
  <si>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</si>
  <si>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</si>
  <si>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</si>
  <si>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</si>
  <si>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</si>
  <si>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</si>
  <si>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</si>
  <si>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</si>
  <si>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</si>
  <si>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</si>
  <si>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</si>
  <si>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</si>
  <si>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</si>
  <si>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</si>
  <si>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</si>
  <si>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</si>
  <si>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</si>
  <si>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</si>
  <si>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</si>
  <si>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</si>
  <si>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</si>
  <si>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</si>
  <si>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</si>
  <si>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</si>
  <si>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</si>
  <si>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</si>
  <si>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</si>
  <si>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</si>
  <si>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</si>
  <si>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</si>
  <si>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</si>
  <si>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</si>
  <si>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</si>
  <si>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</si>
  <si>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</si>
  <si>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</si>
  <si>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</si>
  <si>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</si>
  <si>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</si>
  <si>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</si>
  <si>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</si>
  <si>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</si>
  <si>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</si>
  <si>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</si>
  <si>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</si>
  <si>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</si>
  <si>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</si>
  <si>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</si>
  <si>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</si>
  <si>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</si>
  <si>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</si>
  <si>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</si>
  <si>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</si>
  <si>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</si>
  <si>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</si>
  <si>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</si>
  <si>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</si>
  <si>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</si>
  <si>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</si>
  <si>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</si>
  <si>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</si>
  <si>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</si>
  <si>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</si>
  <si>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</si>
  <si>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</si>
  <si>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</si>
  <si>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</si>
  <si>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</si>
  <si>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</si>
  <si>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</si>
  <si>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</si>
  <si>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</si>
  <si>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</si>
  <si>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</si>
  <si>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</si>
  <si>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</si>
  <si>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</si>
  <si>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</si>
  <si>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</si>
  <si>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</si>
  <si>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</si>
  <si>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</si>
  <si>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</si>
  <si>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</si>
  <si>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</si>
  <si>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</si>
  <si>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</si>
  <si>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</si>
  <si>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</si>
  <si>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</si>
  <si>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</si>
  <si>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</si>
  <si>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</si>
  <si>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</si>
  <si>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</si>
  <si>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</si>
  <si>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</si>
  <si>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</si>
  <si>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</si>
  <si>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</si>
  <si>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</si>
  <si>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</si>
  <si>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</si>
  <si>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</si>
  <si>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</si>
  <si>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</si>
  <si>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</si>
  <si>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</si>
  <si>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</si>
  <si>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</si>
  <si>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</si>
  <si>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</si>
  <si>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</si>
  <si>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</si>
  <si>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</si>
  <si>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</si>
  <si>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</si>
  <si>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</si>
  <si>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</si>
  <si>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</si>
  <si>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</si>
  <si>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</si>
  <si>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</si>
  <si>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</si>
  <si>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</si>
  <si>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</si>
  <si>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</si>
  <si>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</si>
  <si>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</si>
  <si>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</si>
  <si>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</si>
  <si>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</si>
  <si>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</si>
  <si>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</si>
  <si>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</si>
  <si>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</si>
  <si>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</si>
  <si>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</si>
  <si>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</si>
  <si>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</si>
  <si>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</si>
  <si>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</si>
  <si>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</si>
  <si>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</si>
  <si>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</si>
  <si>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</si>
  <si>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</si>
  <si>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</si>
  <si>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</si>
  <si>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</si>
  <si>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</si>
  <si>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</si>
  <si>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</si>
  <si>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</si>
  <si>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</si>
  <si>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</si>
  <si>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</si>
  <si>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</si>
  <si>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</si>
  <si>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</si>
  <si>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</si>
  <si>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</si>
  <si>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</si>
  <si>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</si>
  <si>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</si>
  <si>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</si>
  <si>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</si>
  <si>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</si>
  <si>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</si>
  <si>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</si>
  <si>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</si>
  <si>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</si>
  <si>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</si>
  <si>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</si>
  <si>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</si>
  <si>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</si>
  <si>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</si>
  <si>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</si>
  <si>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</si>
  <si>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</si>
  <si>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</si>
  <si>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</si>
  <si>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</si>
  <si>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</si>
  <si>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</si>
  <si>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</si>
  <si>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</si>
  <si>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</si>
  <si>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</si>
  <si>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</si>
  <si>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</si>
  <si>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</si>
  <si>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</si>
  <si>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</si>
  <si>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</si>
  <si>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</si>
  <si>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</si>
  <si>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</si>
  <si>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</si>
  <si>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</si>
  <si>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</si>
  <si>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</si>
  <si>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</si>
  <si>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</si>
  <si>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</si>
  <si>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</si>
  <si>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</si>
  <si>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</si>
  <si>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</si>
  <si>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</si>
  <si>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</si>
  <si>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</si>
  <si>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</si>
  <si>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</si>
  <si>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</si>
  <si>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</si>
  <si>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</si>
  <si>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</si>
  <si>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</si>
  <si>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</si>
  <si>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</si>
  <si>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</si>
  <si>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</si>
  <si>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</si>
  <si>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</si>
  <si>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</si>
  <si>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</si>
  <si>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</si>
  <si>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</si>
  <si>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</si>
  <si>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</si>
  <si>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</si>
  <si>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</si>
  <si>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</si>
  <si>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</si>
  <si>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</si>
  <si>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</si>
  <si>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</si>
  <si>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</si>
  <si>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</si>
  <si>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</si>
  <si>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</si>
  <si>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</si>
  <si>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</si>
  <si>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</si>
  <si>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</si>
  <si>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</si>
  <si>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</si>
  <si>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</si>
  <si>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</si>
  <si>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</si>
  <si>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</si>
  <si>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</si>
  <si>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</si>
  <si>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</si>
  <si>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</si>
  <si>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</si>
  <si>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</si>
  <si>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</si>
  <si>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</si>
  <si>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</si>
  <si>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</si>
  <si>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</si>
  <si>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</si>
  <si>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</si>
  <si>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</si>
  <si>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</si>
  <si>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</si>
  <si>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</si>
  <si>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</si>
  <si>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</si>
  <si>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</si>
  <si>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</si>
  <si>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</si>
  <si>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</si>
  <si>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</si>
  <si>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</si>
  <si>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</si>
  <si>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</si>
  <si>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</si>
  <si>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陈颖</t>
  </si>
  <si>
    <t>核定资产</t>
  </si>
  <si>
    <t>房地产市场价值</t>
  </si>
  <si>
    <t>北京市</t>
  </si>
  <si>
    <t>企业</t>
  </si>
  <si>
    <r>
      <t>1</t>
    </r>
    <r>
      <rPr>
        <sz val="10"/>
        <color indexed="8"/>
        <rFont val="宋体"/>
        <family val="3"/>
        <charset val="134"/>
      </rPr>
      <t>幢</t>
    </r>
    <r>
      <rPr>
        <sz val="10"/>
        <color indexed="8"/>
        <rFont val="Arial"/>
        <family val="2"/>
      </rPr>
      <t>1-2</t>
    </r>
    <phoneticPr fontId="4" type="noConversion"/>
  </si>
  <si>
    <t>是</t>
  </si>
  <si>
    <t>地上</t>
  </si>
  <si>
    <r>
      <t>X</t>
    </r>
    <r>
      <rPr>
        <sz val="10"/>
        <color indexed="8"/>
        <rFont val="宋体"/>
        <family val="3"/>
        <charset val="134"/>
      </rPr>
      <t>京房权证西字第</t>
    </r>
    <r>
      <rPr>
        <sz val="10"/>
        <color indexed="8"/>
        <rFont val="Arial"/>
        <family val="2"/>
      </rPr>
      <t>126121</t>
    </r>
    <r>
      <rPr>
        <sz val="10"/>
        <color indexed="8"/>
        <rFont val="宋体"/>
        <family val="3"/>
        <charset val="134"/>
      </rPr>
      <t>号</t>
    </r>
    <phoneticPr fontId="4" type="noConversion"/>
  </si>
  <si>
    <r>
      <t>2</t>
    </r>
    <r>
      <rPr>
        <sz val="10"/>
        <color indexed="8"/>
        <rFont val="宋体"/>
        <family val="3"/>
        <charset val="134"/>
      </rPr>
      <t>幢</t>
    </r>
    <r>
      <rPr>
        <sz val="10"/>
        <color indexed="8"/>
        <rFont val="Arial"/>
        <family val="2"/>
      </rPr>
      <t>1-2</t>
    </r>
    <phoneticPr fontId="4" type="noConversion"/>
  </si>
  <si>
    <r>
      <t>3</t>
    </r>
    <r>
      <rPr>
        <sz val="10"/>
        <color indexed="8"/>
        <rFont val="宋体"/>
        <family val="3"/>
        <charset val="134"/>
      </rPr>
      <t>幢</t>
    </r>
    <r>
      <rPr>
        <sz val="10"/>
        <color indexed="8"/>
        <rFont val="Arial"/>
        <family val="2"/>
      </rPr>
      <t>1-2</t>
    </r>
    <phoneticPr fontId="4" type="noConversion"/>
  </si>
  <si>
    <r>
      <t>4</t>
    </r>
    <r>
      <rPr>
        <sz val="10"/>
        <color indexed="8"/>
        <rFont val="宋体"/>
        <family val="3"/>
        <charset val="134"/>
      </rPr>
      <t>幢</t>
    </r>
    <r>
      <rPr>
        <sz val="10"/>
        <color indexed="8"/>
        <rFont val="Arial"/>
        <family val="2"/>
      </rPr>
      <t>1-2</t>
    </r>
    <phoneticPr fontId="4" type="noConversion"/>
  </si>
  <si>
    <r>
      <t>5</t>
    </r>
    <r>
      <rPr>
        <sz val="10"/>
        <color indexed="8"/>
        <rFont val="宋体"/>
        <family val="3"/>
        <charset val="134"/>
      </rPr>
      <t>幢</t>
    </r>
    <r>
      <rPr>
        <sz val="10"/>
        <color indexed="8"/>
        <rFont val="Arial"/>
        <family val="2"/>
      </rPr>
      <t>1</t>
    </r>
    <phoneticPr fontId="4" type="noConversion"/>
  </si>
  <si>
    <r>
      <rPr>
        <sz val="10"/>
        <color theme="9" tint="-0.249977111117893"/>
        <rFont val="宋体"/>
        <family val="3"/>
        <charset val="134"/>
      </rPr>
      <t>西城区琉璃厂东街</t>
    </r>
    <r>
      <rPr>
        <sz val="10"/>
        <color theme="9" tint="-0.249977111117893"/>
        <rFont val="Arial"/>
        <family val="2"/>
      </rPr>
      <t>22</t>
    </r>
    <r>
      <rPr>
        <sz val="10"/>
        <color theme="9" tint="-0.249977111117893"/>
        <rFont val="宋体"/>
        <family val="3"/>
        <charset val="134"/>
      </rPr>
      <t>、</t>
    </r>
    <r>
      <rPr>
        <sz val="10"/>
        <color theme="9" tint="-0.249977111117893"/>
        <rFont val="Arial"/>
        <family val="2"/>
      </rPr>
      <t>24</t>
    </r>
    <r>
      <rPr>
        <sz val="10"/>
        <color theme="9" tint="-0.249977111117893"/>
        <rFont val="宋体"/>
        <family val="3"/>
        <charset val="134"/>
      </rPr>
      <t>号</t>
    </r>
    <r>
      <rPr>
        <sz val="10"/>
        <color theme="9" tint="-0.249977111117893"/>
        <rFont val="Arial"/>
        <family val="2"/>
      </rPr>
      <t>1-5</t>
    </r>
    <r>
      <rPr>
        <sz val="10"/>
        <color theme="9" tint="-0.249977111117893"/>
        <rFont val="宋体"/>
        <family val="3"/>
        <charset val="134"/>
      </rPr>
      <t>幢</t>
    </r>
    <phoneticPr fontId="7" type="noConversion"/>
  </si>
  <si>
    <t>成新度</t>
  </si>
  <si>
    <t>一层</t>
    <phoneticPr fontId="4" type="noConversion"/>
  </si>
  <si>
    <t>二层</t>
    <phoneticPr fontId="4" type="noConversion"/>
  </si>
  <si>
    <t>比例</t>
    <phoneticPr fontId="4" type="noConversion"/>
  </si>
  <si>
    <t>利息：取LPR加浮动点数</t>
  </si>
  <si>
    <t>宗地容积率</t>
  </si>
  <si>
    <t>琉璃厂古文化街（琉璃厂西街、琉璃厂东街）</t>
  </si>
  <si>
    <t>与级别开发程度不一致</t>
  </si>
  <si>
    <t>通路</t>
  </si>
  <si>
    <t>通电</t>
  </si>
  <si>
    <t>通讯</t>
  </si>
  <si>
    <t>通上水</t>
  </si>
  <si>
    <t>通下水</t>
  </si>
  <si>
    <t>平整</t>
  </si>
  <si>
    <t>好</t>
  </si>
  <si>
    <t>较好</t>
  </si>
  <si>
    <t>一般</t>
  </si>
  <si>
    <t>楼层修正</t>
  </si>
  <si>
    <t>押三</t>
  </si>
  <si>
    <t>收益法 (元)</t>
  </si>
  <si>
    <t>混合</t>
    <phoneticPr fontId="4" type="noConversion"/>
  </si>
  <si>
    <t>http://www.beijing.gov.cn/zhengce/zhengcefagui/201905/t20190522_58891.html</t>
    <phoneticPr fontId="4" type="noConversion"/>
  </si>
  <si>
    <t>未包含在土地购买价格中</t>
  </si>
  <si>
    <t>已包含在土地取得成本中</t>
  </si>
  <si>
    <t>砖混</t>
  </si>
  <si>
    <t>非生产用房</t>
  </si>
  <si>
    <t>成本法 (元)</t>
  </si>
  <si>
    <t>现房</t>
  </si>
  <si>
    <t>正常</t>
  </si>
  <si>
    <t>商业</t>
    <phoneticPr fontId="31" type="noConversion"/>
  </si>
  <si>
    <t>前门大街</t>
    <phoneticPr fontId="4" type="noConversion"/>
  </si>
  <si>
    <t>A10-0101B/0103(1)/0103(2)/0103(2)C/0105(1)/203</t>
  </si>
  <si>
    <t>A10-0101B/0103(1)/0103(2)/0103(2)C/0105(1)/203</t>
    <phoneticPr fontId="4" type="noConversion"/>
  </si>
  <si>
    <t>A10-0106/0205/0302</t>
    <phoneticPr fontId="4" type="noConversion"/>
  </si>
  <si>
    <r>
      <t>1</t>
    </r>
    <r>
      <rPr>
        <sz val="11"/>
        <color indexed="8"/>
        <rFont val="宋体"/>
        <family val="3"/>
        <charset val="134"/>
      </rPr>
      <t>、</t>
    </r>
    <r>
      <rPr>
        <sz val="11"/>
        <color indexed="8"/>
        <rFont val="Arial"/>
        <family val="2"/>
      </rPr>
      <t>2</t>
    </r>
    <phoneticPr fontId="31" type="noConversion"/>
  </si>
  <si>
    <t>1</t>
  </si>
  <si>
    <t>1</t>
    <phoneticPr fontId="31" type="noConversion"/>
  </si>
  <si>
    <r>
      <t>B1</t>
    </r>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2</t>
    </r>
    <phoneticPr fontId="31"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</si>
  <si>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phoneticPr fontId="31" type="noConversion"/>
  </si>
  <si>
    <t>B1、1、2</t>
  </si>
  <si>
    <t>1、2、3</t>
  </si>
  <si>
    <t>序号</t>
  </si>
  <si>
    <t>前门大街地块</t>
  </si>
  <si>
    <t>商铺面积</t>
  </si>
  <si>
    <t>商铺门牌号</t>
  </si>
  <si>
    <t>商铺名称</t>
  </si>
  <si>
    <t>签约公司</t>
  </si>
  <si>
    <t>经营公司</t>
  </si>
  <si>
    <t>业态</t>
  </si>
  <si>
    <t>租赁年限</t>
  </si>
  <si>
    <t>合同周期</t>
  </si>
  <si>
    <t>装修周期</t>
  </si>
  <si>
    <t>物业费标准（元/㎡/月）</t>
  </si>
  <si>
    <t>物业费支付节点/支付方式</t>
  </si>
  <si>
    <t xml:space="preserve">物业费        </t>
  </si>
  <si>
    <t>递增点</t>
  </si>
  <si>
    <t>付款方式</t>
  </si>
  <si>
    <t>日租金（元/日/㎡）</t>
  </si>
  <si>
    <t>2018年10月租金</t>
  </si>
  <si>
    <t>A4-0101/0201</t>
  </si>
  <si>
    <t>辑粹苑</t>
  </si>
  <si>
    <t>北京鑫农源房地产开发有限公司</t>
  </si>
  <si>
    <t>珠宝</t>
  </si>
  <si>
    <t>2017.03.01   2025.02.28</t>
  </si>
  <si>
    <t>无</t>
  </si>
  <si>
    <t>每付款季（25日）/押二付三</t>
  </si>
  <si>
    <t>第三年（2019.03.01-2020.02.29）22.64；第五年（2021.03.01-2022.02.28）24.90；第七年（2023.03.01-2024.02.29）27.39；</t>
  </si>
  <si>
    <t>季付</t>
  </si>
  <si>
    <t>A4-0102/0202</t>
  </si>
  <si>
    <t>第三年（2019.03.01-2020.02.29）21.95；第五年（2021.03.01-2022.02.28）24.15；第七年（2023.03.01-2024.02.29）26.57；</t>
  </si>
  <si>
    <t>A4-0103/0203</t>
  </si>
  <si>
    <t>第三年（2019.03.01-2020.02.29）20.98；第五年（2021.03.01-2022.02.28）23.08；第七年（2023.03.01-2024.02.29）25.39；</t>
  </si>
  <si>
    <t>A4-0105(1)、0105（2）A</t>
  </si>
  <si>
    <t>12、14</t>
  </si>
  <si>
    <t>名创优品</t>
  </si>
  <si>
    <t>广东葆扬贸易有限公司</t>
  </si>
  <si>
    <t>北京亿来源商贸有限公司</t>
  </si>
  <si>
    <t>百货</t>
  </si>
  <si>
    <t>2015.04.01 2020.03.31</t>
  </si>
  <si>
    <t>2015.01.01 2015.03.31</t>
  </si>
  <si>
    <r>
      <t>每月25日/</t>
    </r>
    <r>
      <rPr>
        <b/>
        <sz val="12"/>
        <color indexed="8"/>
        <rFont val="宋体"/>
        <family val="3"/>
        <charset val="134"/>
      </rPr>
      <t>押三付一</t>
    </r>
  </si>
  <si>
    <r>
      <t>第三年（</t>
    </r>
    <r>
      <rPr>
        <sz val="12"/>
        <color indexed="10"/>
        <rFont val="宋体"/>
        <family val="3"/>
        <charset val="134"/>
      </rPr>
      <t>2017.04.01-2018.03.31</t>
    </r>
    <r>
      <rPr>
        <sz val="12"/>
        <color indexed="8"/>
        <rFont val="宋体"/>
        <family val="3"/>
        <charset val="134"/>
      </rPr>
      <t>）36.81；第五年（2019.04.01-2020.03.31）40.49=284911.60</t>
    </r>
  </si>
  <si>
    <t>月付</t>
  </si>
  <si>
    <t>A4-0105(3）</t>
  </si>
  <si>
    <t>古仁堂</t>
  </si>
  <si>
    <t>北京前门好得快医药有限公司</t>
  </si>
  <si>
    <t>药店</t>
  </si>
  <si>
    <t>2016.01.01  2021.03.31</t>
  </si>
  <si>
    <t>2016.01.01   2016.03.31</t>
  </si>
  <si>
    <t>第三年（2018.04.01-2019.03.31）33；第五年（2020.04.01-2021.03.31）36.3；</t>
  </si>
  <si>
    <t>A4栋部分</t>
  </si>
  <si>
    <t>4、6、8、10、12、14、16、18</t>
  </si>
  <si>
    <t>杜莎夫人蜡像馆</t>
  </si>
  <si>
    <t>Merlin Entertainments Developments Limited</t>
  </si>
  <si>
    <t>杜莎夫人展览（北京）有限公司</t>
  </si>
  <si>
    <t>展馆</t>
  </si>
  <si>
    <t>2013.07.19 2028.07.18</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</si>
  <si>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押三付一</t>
    </r>
  </si>
  <si>
    <r>
      <t>分成租金；基础租</t>
    </r>
    <r>
      <rPr>
        <sz val="12"/>
        <color theme="1"/>
        <rFont val="宋体"/>
        <family val="2"/>
        <scheme val="minor"/>
      </rPr>
      <t>金333333.33</t>
    </r>
  </si>
  <si>
    <t>A10-101A、201</t>
  </si>
  <si>
    <t>吴裕泰茶庄</t>
  </si>
  <si>
    <t>北京吴裕泰茶业股份有限公司</t>
  </si>
  <si>
    <t>北京吴裕泰茶业股份有限公司前门店</t>
  </si>
  <si>
    <t>茶业</t>
  </si>
  <si>
    <r>
      <t xml:space="preserve">2012.12.31 </t>
    </r>
    <r>
      <rPr>
        <b/>
        <sz val="12"/>
        <color indexed="8"/>
        <rFont val="宋体"/>
        <family val="3"/>
        <charset val="134"/>
      </rPr>
      <t>2018.12.31</t>
    </r>
  </si>
  <si>
    <t>（2017.01.01-2017.12.31）：364554.76；（2018.01.01-2018.12.31）:364554.76</t>
  </si>
  <si>
    <t>A10-301（1）</t>
  </si>
  <si>
    <t>42、46、48</t>
  </si>
  <si>
    <t>宣文楼老北京小吃</t>
  </si>
  <si>
    <t>北京宣文楼老北京小吃有限公司</t>
  </si>
  <si>
    <t>北京宣文楼老北京炸酱面有限公司</t>
  </si>
  <si>
    <t>餐饮</t>
  </si>
  <si>
    <t>5年零3个月</t>
  </si>
  <si>
    <t>2011.08.15 2016.11.14   2016.11.15    2021.11.14</t>
  </si>
  <si>
    <t>2011.08.15 2011.10.14</t>
  </si>
  <si>
    <r>
      <t>每月25日/</t>
    </r>
    <r>
      <rPr>
        <b/>
        <sz val="12"/>
        <color indexed="8"/>
        <rFont val="宋体"/>
        <family val="3"/>
        <charset val="134"/>
      </rPr>
      <t>押二付三</t>
    </r>
  </si>
  <si>
    <t>第三年（2018.11.15-2019.11.14）6.00；第五年（2020.11.15-2021.11.14）6.60；</t>
  </si>
  <si>
    <t>A10-0102（1）</t>
  </si>
  <si>
    <t>益德成鼻烟</t>
  </si>
  <si>
    <t>北京宝华荣晖商贸有限公司</t>
  </si>
  <si>
    <t>北京宝华荣晖商贸有限公司前门分公司</t>
  </si>
  <si>
    <t>工艺品</t>
  </si>
  <si>
    <r>
      <t xml:space="preserve">2012.12.18 2015.12.17  2015.12.18   </t>
    </r>
    <r>
      <rPr>
        <sz val="12"/>
        <color theme="1"/>
        <rFont val="宋体"/>
        <family val="2"/>
        <scheme val="minor"/>
      </rPr>
      <t>2017.12.17</t>
    </r>
    <r>
      <rPr>
        <sz val="12"/>
        <color indexed="10"/>
        <rFont val="宋体"/>
        <family val="3"/>
        <charset val="134"/>
      </rPr>
      <t xml:space="preserve"> </t>
    </r>
    <r>
      <rPr>
        <b/>
        <sz val="12"/>
        <color indexed="10"/>
        <rFont val="宋体"/>
        <family val="3"/>
        <charset val="134"/>
      </rPr>
      <t xml:space="preserve">  </t>
    </r>
    <r>
      <rPr>
        <b/>
        <sz val="12"/>
        <rFont val="宋体"/>
        <family val="3"/>
        <charset val="134"/>
      </rPr>
      <t>2017.12.18   2022.12.17</t>
    </r>
  </si>
  <si>
    <t>2012.12.18 2013.01.31</t>
  </si>
  <si>
    <r>
      <t>每月</t>
    </r>
    <r>
      <rPr>
        <sz val="12"/>
        <color indexed="10"/>
        <rFont val="宋体"/>
        <family val="3"/>
        <charset val="134"/>
      </rPr>
      <t>15</t>
    </r>
    <r>
      <rPr>
        <sz val="12"/>
        <color indexed="8"/>
        <rFont val="宋体"/>
        <family val="3"/>
        <charset val="134"/>
      </rPr>
      <t>日/押三付一</t>
    </r>
  </si>
  <si>
    <t>2017.12.17到期</t>
  </si>
  <si>
    <t>A10-0102(2)</t>
  </si>
  <si>
    <t>溢湘</t>
  </si>
  <si>
    <t>北京奥凯隆服装服饰有限公司</t>
  </si>
  <si>
    <t>北京奥凯隆服装服饰有限公司第一分公司</t>
  </si>
  <si>
    <t>服装</t>
  </si>
  <si>
    <t>2013.02.01 2016.01.31  2016.02.01  2021.01.31</t>
  </si>
  <si>
    <t>2013.02.01 2013.03.02</t>
  </si>
  <si>
    <t>第三年（2018.02.01-2019.01.31）16.07；第五年（2020.02.01-2021.01.31）17.68；</t>
  </si>
  <si>
    <t>44、46/48/50</t>
  </si>
  <si>
    <t>东方华韵</t>
    <phoneticPr fontId="135" type="noConversion"/>
  </si>
  <si>
    <t>永新华韵文化产业投资有限公司</t>
  </si>
  <si>
    <t>2016.09.01  2024.08.31</t>
  </si>
  <si>
    <t xml:space="preserve">2016.04.01  2016.08.31  </t>
  </si>
  <si>
    <t>押三付一</t>
  </si>
  <si>
    <t>第三年（2018.09.01-2019.08.31）12.99；第五年（2020.09.01-2021.08.31）14.29；</t>
  </si>
  <si>
    <t>A10-0106/0205/0302</t>
    <phoneticPr fontId="135" type="noConversion"/>
  </si>
  <si>
    <t>48、50、52</t>
  </si>
  <si>
    <t>庆丰包子</t>
  </si>
  <si>
    <t>北京庆丰餐饮文化有限公司</t>
  </si>
  <si>
    <t>2014.03.01 2022.02.28</t>
  </si>
  <si>
    <t>2014.03.01 2014.05.31</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</si>
  <si>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押三付三</t>
    </r>
  </si>
  <si>
    <t>第五年（2018.03.01-2019.02.28）10.42；第六年（2019.03.01-2020.02.28）11.46；第七年（2020.03.01-2021.02.28）12.61；第八年（2021.03.01-2022.02.28）13.87；</t>
  </si>
  <si>
    <t>A14-0102A</t>
  </si>
  <si>
    <t>马迭尔</t>
  </si>
  <si>
    <t>北京冰城一九零六食品有限公司</t>
  </si>
  <si>
    <t>北京冰城一九零六食品有限公司一分店</t>
  </si>
  <si>
    <r>
      <t xml:space="preserve">2013.05.28 </t>
    </r>
    <r>
      <rPr>
        <sz val="12"/>
        <color theme="1"/>
        <rFont val="宋体"/>
        <family val="2"/>
        <scheme val="minor"/>
      </rPr>
      <t>2017.05.27</t>
    </r>
    <r>
      <rPr>
        <b/>
        <sz val="12"/>
        <color indexed="10"/>
        <rFont val="宋体"/>
        <family val="3"/>
        <charset val="134"/>
      </rPr>
      <t xml:space="preserve">  </t>
    </r>
    <r>
      <rPr>
        <sz val="12"/>
        <color theme="1"/>
        <rFont val="宋体"/>
        <family val="2"/>
        <scheme val="minor"/>
      </rPr>
      <t xml:space="preserve">2017.05.28 </t>
    </r>
    <r>
      <rPr>
        <b/>
        <sz val="12"/>
        <color indexed="10"/>
        <rFont val="宋体"/>
        <family val="3"/>
        <charset val="134"/>
      </rPr>
      <t xml:space="preserve"> </t>
    </r>
    <r>
      <rPr>
        <sz val="12"/>
        <color theme="1"/>
        <rFont val="宋体"/>
        <family val="2"/>
        <scheme val="minor"/>
      </rPr>
      <t>2021.05.27</t>
    </r>
  </si>
  <si>
    <r>
      <t>每月</t>
    </r>
    <r>
      <rPr>
        <sz val="12"/>
        <color theme="1"/>
        <rFont val="宋体"/>
        <family val="2"/>
        <scheme val="minor"/>
      </rPr>
      <t>25</t>
    </r>
    <r>
      <rPr>
        <sz val="12"/>
        <color indexed="8"/>
        <rFont val="宋体"/>
        <family val="3"/>
        <charset val="134"/>
      </rPr>
      <t>日/</t>
    </r>
    <r>
      <rPr>
        <b/>
        <sz val="12"/>
        <color indexed="8"/>
        <rFont val="宋体"/>
        <family val="3"/>
        <charset val="134"/>
      </rPr>
      <t>押三付一</t>
    </r>
  </si>
  <si>
    <t>第三年2019.05.28-2020.05.27，￥23.68-￥2455.51</t>
  </si>
  <si>
    <t>A14-0102B</t>
  </si>
  <si>
    <t>谢馥春</t>
  </si>
  <si>
    <t>扬州谢馥春化妆品有限公司</t>
  </si>
  <si>
    <t>谢馥春（北京）化妆品有限公司</t>
  </si>
  <si>
    <t>化妆品</t>
  </si>
  <si>
    <t>2013.02.24 2016.02.23  2016.02.24   2019.02.23</t>
  </si>
  <si>
    <t>2013.02.24 2013.03.25</t>
  </si>
  <si>
    <t>第三年（2018.02.24-2019.02.23）11.77；</t>
  </si>
  <si>
    <t>A14-0103(1)</t>
  </si>
  <si>
    <t>百雀羚</t>
  </si>
  <si>
    <t>北京确威贸易有限公司</t>
  </si>
  <si>
    <t>北京隆瑞百商贸有限公司</t>
  </si>
  <si>
    <t>2014.04.10 2019.04.09</t>
  </si>
  <si>
    <t>2014.04.10 2014.06.09</t>
  </si>
  <si>
    <r>
      <t>第三年（2016.04.10-2017.04.09）15.75,38871.13；第四年（</t>
    </r>
    <r>
      <rPr>
        <sz val="12"/>
        <color indexed="10"/>
        <rFont val="宋体"/>
        <family val="3"/>
        <charset val="134"/>
      </rPr>
      <t>2017.04.10-</t>
    </r>
    <r>
      <rPr>
        <sz val="12"/>
        <color indexed="8"/>
        <rFont val="宋体"/>
        <family val="3"/>
        <charset val="134"/>
      </rPr>
      <t>2018.04.09）16.54,40820.86；第五年（2018.04.10-2019.04.09）17.37,42869.30；</t>
    </r>
  </si>
  <si>
    <t>付二</t>
  </si>
  <si>
    <t>A14-0103(2)</t>
  </si>
  <si>
    <t>SWEETIME/手工糖果</t>
  </si>
  <si>
    <t>上海偌颖商贸有限公司</t>
  </si>
  <si>
    <t>北京偌颖餐饮服务有限公司</t>
  </si>
  <si>
    <t>食品</t>
  </si>
  <si>
    <r>
      <t>每月15日/</t>
    </r>
    <r>
      <rPr>
        <b/>
        <sz val="12"/>
        <rFont val="宋体"/>
        <family val="3"/>
        <charset val="134"/>
      </rPr>
      <t>押三付二</t>
    </r>
  </si>
  <si>
    <r>
      <t>第三年（2016.04.10-2017.04.09）15.75,45956.47；第四年（</t>
    </r>
    <r>
      <rPr>
        <sz val="12"/>
        <color indexed="10"/>
        <rFont val="宋体"/>
        <family val="3"/>
        <charset val="134"/>
      </rPr>
      <t>2017.04.10-2018.04.09）16.54,48261.58</t>
    </r>
    <r>
      <rPr>
        <sz val="12"/>
        <rFont val="宋体"/>
        <family val="3"/>
        <charset val="134"/>
      </rPr>
      <t>；第五年（2018.04.10-2019.04.09）17.37,50683.42；</t>
    </r>
  </si>
  <si>
    <t>A14-0101A/B/C</t>
  </si>
  <si>
    <t>太平洋咖啡</t>
  </si>
  <si>
    <t>华润太平洋餐饮管理（北京）有限公司</t>
  </si>
  <si>
    <t>2014.03.10 2022.03.09</t>
  </si>
  <si>
    <t>2014.03.10 2014.08.09</t>
  </si>
  <si>
    <r>
      <t>每月</t>
    </r>
    <r>
      <rPr>
        <sz val="12"/>
        <color indexed="10"/>
        <rFont val="宋体"/>
        <family val="3"/>
        <charset val="134"/>
      </rPr>
      <t>15</t>
    </r>
    <r>
      <rPr>
        <sz val="12"/>
        <color indexed="8"/>
        <rFont val="宋体"/>
        <family val="3"/>
        <charset val="134"/>
      </rPr>
      <t>日/</t>
    </r>
    <r>
      <rPr>
        <b/>
        <sz val="12"/>
        <color indexed="8"/>
        <rFont val="宋体"/>
        <family val="3"/>
        <charset val="134"/>
      </rPr>
      <t>押二付一</t>
    </r>
  </si>
  <si>
    <t>第三年（2016.03.10-2018.03.09）5.25,155387.12；第五年（2018.03.10-2020.03.09）5.51,163082.48；第七年（2020.03.10-2022.03.09）5.79,171369.79；</t>
  </si>
  <si>
    <t>A14-0105、0106、0107、0108、0109、0201、0202、0203、0205、0206、0207、0208、0301、0302、0303</t>
  </si>
  <si>
    <t>66、68、70</t>
  </si>
  <si>
    <t>广誉远</t>
  </si>
  <si>
    <t>北京广誉远投资管理有限公司</t>
  </si>
  <si>
    <r>
      <t>展馆</t>
    </r>
    <r>
      <rPr>
        <sz val="12"/>
        <color indexed="8"/>
        <rFont val="宋体"/>
        <family val="3"/>
        <charset val="134"/>
      </rPr>
      <t>、办公、销售</t>
    </r>
  </si>
  <si>
    <t>2015.01.01 2022.12.31</t>
  </si>
  <si>
    <t>2015.01.01 2015.04.30</t>
  </si>
  <si>
    <t>第三年（2017.01.01-2018.12.31）6.49,474174.68；第五年（2019.01.01-2020.12.31）7.14,521665.21；第七年（2021.01.01-2022.12.31）7.85,573539.48；</t>
  </si>
  <si>
    <t>西城区开元明都(中融信托大厦)</t>
    <phoneticPr fontId="135" type="noConversion"/>
  </si>
  <si>
    <r>
      <rPr>
        <sz val="10"/>
        <rFont val="宋体"/>
        <family val="3"/>
        <charset val="134"/>
      </rPr>
      <t>序号</t>
    </r>
  </si>
  <si>
    <r>
      <rPr>
        <sz val="10"/>
        <rFont val="宋体"/>
        <family val="3"/>
        <charset val="134"/>
      </rPr>
      <t>合同编号</t>
    </r>
    <phoneticPr fontId="4" type="noConversion"/>
  </si>
  <si>
    <r>
      <rPr>
        <sz val="10"/>
        <rFont val="宋体"/>
        <family val="3"/>
        <charset val="134"/>
      </rPr>
      <t>租户</t>
    </r>
  </si>
  <si>
    <r>
      <rPr>
        <sz val="10"/>
        <rFont val="宋体"/>
        <family val="3"/>
        <charset val="134"/>
      </rPr>
      <t>名义楼层</t>
    </r>
    <phoneticPr fontId="4" type="noConversion"/>
  </si>
  <si>
    <r>
      <rPr>
        <sz val="10"/>
        <rFont val="宋体"/>
        <family val="3"/>
        <charset val="134"/>
      </rPr>
      <t>实际楼层</t>
    </r>
    <phoneticPr fontId="4" type="noConversion"/>
  </si>
  <si>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</si>
  <si>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</si>
  <si>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phoneticPr fontId="4" type="noConversion"/>
  </si>
  <si>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phoneticPr fontId="4" type="noConversion"/>
  </si>
  <si>
    <r>
      <rPr>
        <sz val="10"/>
        <rFont val="宋体"/>
        <family val="3"/>
        <charset val="134"/>
      </rPr>
      <t>平均租金水平</t>
    </r>
    <phoneticPr fontId="4" type="noConversion"/>
  </si>
  <si>
    <r>
      <rPr>
        <sz val="10"/>
        <rFont val="宋体"/>
        <family val="3"/>
        <charset val="134"/>
      </rPr>
      <t>租期</t>
    </r>
    <r>
      <rPr>
        <sz val="10"/>
        <rFont val="Arial Narrow"/>
        <family val="2"/>
      </rPr>
      <t>(</t>
    </r>
    <r>
      <rPr>
        <sz val="10"/>
        <rFont val="宋体"/>
        <family val="3"/>
        <charset val="134"/>
      </rPr>
      <t>有收入）</t>
    </r>
    <phoneticPr fontId="4" type="noConversion"/>
  </si>
  <si>
    <r>
      <rPr>
        <sz val="10"/>
        <rFont val="宋体"/>
        <family val="3"/>
        <charset val="134"/>
      </rPr>
      <t>月租金</t>
    </r>
    <phoneticPr fontId="4" type="noConversion"/>
  </si>
  <si>
    <r>
      <rPr>
        <sz val="10"/>
        <rFont val="宋体"/>
        <family val="3"/>
        <charset val="134"/>
      </rPr>
      <t>交付日</t>
    </r>
    <phoneticPr fontId="4" type="noConversion"/>
  </si>
  <si>
    <r>
      <rPr>
        <sz val="10"/>
        <rFont val="宋体"/>
        <family val="3"/>
        <charset val="134"/>
      </rPr>
      <t>装修期</t>
    </r>
  </si>
  <si>
    <t>免租期</t>
    <phoneticPr fontId="4" type="noConversion"/>
  </si>
  <si>
    <r>
      <rPr>
        <sz val="10"/>
        <rFont val="宋体"/>
        <family val="3"/>
        <charset val="134"/>
      </rPr>
      <t>租赁期间</t>
    </r>
    <phoneticPr fontId="4" type="noConversion"/>
  </si>
  <si>
    <r>
      <rPr>
        <sz val="10"/>
        <rFont val="宋体"/>
        <family val="3"/>
        <charset val="134"/>
      </rPr>
      <t>免租期</t>
    </r>
  </si>
  <si>
    <r>
      <rPr>
        <sz val="10"/>
        <rFont val="宋体"/>
        <family val="3"/>
        <charset val="134"/>
      </rPr>
      <t>租金支付周期</t>
    </r>
    <phoneticPr fontId="4" type="noConversion"/>
  </si>
  <si>
    <r>
      <rPr>
        <sz val="10"/>
        <rFont val="宋体"/>
        <family val="3"/>
        <charset val="134"/>
      </rPr>
      <t>发票开具要求</t>
    </r>
    <phoneticPr fontId="4" type="noConversion"/>
  </si>
  <si>
    <r>
      <rPr>
        <sz val="10"/>
        <rFont val="宋体"/>
        <family val="3"/>
        <charset val="134"/>
      </rPr>
      <t>备注</t>
    </r>
    <phoneticPr fontId="4" type="noConversion"/>
  </si>
  <si>
    <r>
      <rPr>
        <sz val="10"/>
        <rFont val="宋体"/>
        <family val="3"/>
        <charset val="134"/>
      </rPr>
      <t>收款情况</t>
    </r>
    <phoneticPr fontId="4" type="noConversion"/>
  </si>
  <si>
    <r>
      <rPr>
        <sz val="10"/>
        <rFont val="宋体"/>
        <family val="3"/>
        <charset val="134"/>
      </rPr>
      <t>付款时点</t>
    </r>
    <phoneticPr fontId="4" type="noConversion"/>
  </si>
  <si>
    <t>KYMD-2018-GFYH-B2&amp;1&amp;2&amp;11-20</t>
    <phoneticPr fontId="4" type="noConversion"/>
  </si>
  <si>
    <t>广发银行股份有限公司北京分行</t>
    <phoneticPr fontId="4" type="noConversion"/>
  </si>
  <si>
    <t>101B</t>
    <phoneticPr fontId="4" type="noConversion"/>
  </si>
  <si>
    <t>2019.03.01-2022.02.28</t>
    <phoneticPr fontId="4" type="noConversion"/>
  </si>
  <si>
    <t>2018.12.01</t>
    <phoneticPr fontId="4" type="noConversion"/>
  </si>
  <si>
    <t>2018.12.01-2019.02.28</t>
    <phoneticPr fontId="4" type="noConversion"/>
  </si>
  <si>
    <r>
      <rPr>
        <sz val="10"/>
        <rFont val="宋体"/>
        <family val="3"/>
        <charset val="134"/>
      </rPr>
      <t>半年付</t>
    </r>
    <phoneticPr fontId="4" type="noConversion"/>
  </si>
  <si>
    <r>
      <rPr>
        <sz val="10"/>
        <rFont val="宋体"/>
        <family val="3"/>
        <charset val="134"/>
      </rPr>
      <t>收到租金后</t>
    </r>
    <r>
      <rPr>
        <sz val="10"/>
        <rFont val="Arial Narrow"/>
        <family val="2"/>
      </rPr>
      <t>10</t>
    </r>
    <r>
      <rPr>
        <sz val="10"/>
        <rFont val="宋体"/>
        <family val="3"/>
        <charset val="134"/>
      </rPr>
      <t>个工作日</t>
    </r>
    <phoneticPr fontId="4" type="noConversion"/>
  </si>
  <si>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phoneticPr fontId="4" type="noConversion"/>
  </si>
  <si>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phoneticPr fontId="4" type="noConversion"/>
  </si>
  <si>
    <r>
      <rPr>
        <sz val="10"/>
        <rFont val="宋体"/>
        <family val="3"/>
        <charset val="134"/>
      </rPr>
      <t>详见</t>
    </r>
    <r>
      <rPr>
        <sz val="10"/>
        <rFont val="Arial Narrow"/>
        <family val="2"/>
      </rPr>
      <t>X24</t>
    </r>
  </si>
  <si>
    <t>105</t>
    <phoneticPr fontId="4" type="noConversion"/>
  </si>
  <si>
    <r>
      <t>KYMD-2018-GFYH-B2&amp;1&amp;2&amp;11-20-2022</t>
    </r>
    <r>
      <rPr>
        <sz val="10"/>
        <rFont val="宋体"/>
        <family val="3"/>
        <charset val="134"/>
      </rPr>
      <t>补1</t>
    </r>
    <phoneticPr fontId="4" type="noConversion"/>
  </si>
  <si>
    <t>2022.03.01-2023.02.28</t>
    <phoneticPr fontId="4" type="noConversion"/>
  </si>
  <si>
    <t>2022.3.1-2023.2.28</t>
    <phoneticPr fontId="4" type="noConversion"/>
  </si>
  <si>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phoneticPr fontId="4" type="noConversion"/>
  </si>
  <si>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phoneticPr fontId="4" type="noConversion"/>
  </si>
  <si>
    <t>罗森(北京)有限公司</t>
    <phoneticPr fontId="4" type="noConversion"/>
  </si>
  <si>
    <r>
      <t>1</t>
    </r>
    <r>
      <rPr>
        <sz val="10"/>
        <rFont val="宋体"/>
        <family val="3"/>
        <charset val="134"/>
      </rPr>
      <t>层</t>
    </r>
    <phoneticPr fontId="4" type="noConversion"/>
  </si>
  <si>
    <t>101A</t>
    <phoneticPr fontId="4" type="noConversion"/>
  </si>
  <si>
    <t>2019.10.31-2024.10.30</t>
    <phoneticPr fontId="4" type="noConversion"/>
  </si>
  <si>
    <t>2019.09.16</t>
    <phoneticPr fontId="4" type="noConversion"/>
  </si>
  <si>
    <t>无</t>
    <phoneticPr fontId="4" type="noConversion"/>
  </si>
  <si>
    <t>季付</t>
    <phoneticPr fontId="4" type="noConversion"/>
  </si>
  <si>
    <r>
      <t>3</t>
    </r>
    <r>
      <rPr>
        <sz val="10"/>
        <rFont val="宋体"/>
        <family val="3"/>
        <charset val="134"/>
      </rPr>
      <t>个月租金为租赁保证金</t>
    </r>
    <phoneticPr fontId="4" type="noConversion"/>
  </si>
  <si>
    <r>
      <rPr>
        <sz val="10"/>
        <rFont val="宋体"/>
        <family val="3"/>
        <charset val="134"/>
      </rPr>
      <t>已支付租赁保证金及首</t>
    </r>
    <r>
      <rPr>
        <sz val="10"/>
        <rFont val="Arial Narrow"/>
        <family val="2"/>
      </rPr>
      <t>3</t>
    </r>
    <r>
      <rPr>
        <sz val="10"/>
        <rFont val="宋体"/>
        <family val="3"/>
        <charset val="134"/>
      </rPr>
      <t>个月租金</t>
    </r>
    <phoneticPr fontId="4" type="noConversion"/>
  </si>
  <si>
    <t>减肥店</t>
    <phoneticPr fontId="135" type="noConversion"/>
  </si>
  <si>
    <t>水果店</t>
    <phoneticPr fontId="135" type="noConversion"/>
  </si>
  <si>
    <t>中信沁园</t>
    <phoneticPr fontId="135" type="noConversion"/>
  </si>
  <si>
    <t>四合上院</t>
    <phoneticPr fontId="135" type="noConversion"/>
  </si>
  <si>
    <t>置地星座</t>
    <phoneticPr fontId="135" type="noConversion"/>
  </si>
  <si>
    <t>京师吉地</t>
    <phoneticPr fontId="135" type="noConversion"/>
  </si>
  <si>
    <t>长安太和</t>
    <phoneticPr fontId="135" type="noConversion"/>
  </si>
  <si>
    <t>玉河文保项目</t>
    <phoneticPr fontId="135" type="noConversion"/>
  </si>
  <si>
    <t>七通</t>
  </si>
  <si>
    <t>主干道</t>
    <phoneticPr fontId="31" type="noConversion"/>
  </si>
  <si>
    <t>次干道</t>
    <phoneticPr fontId="31" type="noConversion"/>
  </si>
  <si>
    <t>支路</t>
  </si>
  <si>
    <t>支路</t>
    <phoneticPr fontId="31" type="noConversion"/>
  </si>
  <si>
    <t>较大</t>
  </si>
  <si>
    <t>较大</t>
    <phoneticPr fontId="31" type="noConversion"/>
  </si>
  <si>
    <t>商业街</t>
  </si>
  <si>
    <t>商业街</t>
    <phoneticPr fontId="31" type="noConversion"/>
  </si>
  <si>
    <t>钢混</t>
    <phoneticPr fontId="31" type="noConversion"/>
  </si>
  <si>
    <t>混合</t>
  </si>
  <si>
    <t>混合</t>
    <phoneticPr fontId="31" type="noConversion"/>
  </si>
  <si>
    <t>普通装修</t>
    <phoneticPr fontId="31" type="noConversion"/>
  </si>
  <si>
    <t>标准层高</t>
    <phoneticPr fontId="31" type="noConversion"/>
  </si>
  <si>
    <t>毛坯</t>
    <phoneticPr fontId="31" type="noConversion"/>
  </si>
  <si>
    <t>简单装修</t>
  </si>
  <si>
    <t>简单装修</t>
    <phoneticPr fontId="31" type="noConversion"/>
  </si>
  <si>
    <t>否</t>
  </si>
  <si>
    <t>楼层</t>
    <phoneticPr fontId="4" type="noConversion"/>
  </si>
  <si>
    <r>
      <t>1</t>
    </r>
    <r>
      <rPr>
        <sz val="10"/>
        <color indexed="8"/>
        <rFont val="宋体"/>
        <family val="3"/>
        <charset val="134"/>
      </rPr>
      <t>至</t>
    </r>
    <r>
      <rPr>
        <sz val="10"/>
        <color indexed="8"/>
        <rFont val="Arial"/>
        <family val="2"/>
      </rPr>
      <t>2</t>
    </r>
    <phoneticPr fontId="25" type="noConversion"/>
  </si>
  <si>
    <t>1至2</t>
  </si>
  <si>
    <t>大</t>
    <phoneticPr fontId="31" type="noConversion"/>
  </si>
  <si>
    <t>一般</t>
    <phoneticPr fontId="31" type="noConversion"/>
  </si>
  <si>
    <t>天桥市场斜街</t>
    <phoneticPr fontId="4" type="noConversion"/>
  </si>
  <si>
    <t>估价对象周边有庄胜广场、大栅栏商业街、前门大街、北京坊、正阳市场等，商业氛围成熟，商业繁华度好。</t>
    <phoneticPr fontId="25" type="noConversion"/>
  </si>
  <si>
    <t>周边有2路、5路、14路、20路、66路、70路、93路等多条公交线路、地铁2号线（和平门站）及地铁7号线（虎坊桥站），交通较便捷</t>
    <phoneticPr fontId="41" type="noConversion"/>
  </si>
  <si>
    <t>琉璃厂东街，为城市支路</t>
    <phoneticPr fontId="25" type="noConversion"/>
  </si>
  <si>
    <t>区域自然环境：后孙公园、月亮湾公园、三里河公园等；人文环境：勅建火神庙、国家大剧院、天安门广场等；综合评价环境状况较好</t>
    <phoneticPr fontId="41" type="noConversion"/>
  </si>
  <si>
    <t>住宅配套</t>
  </si>
  <si>
    <t>住宅配套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</si>
</sst>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7" formatCode="&quot;¥&quot;#,##0.00;&quot;¥&quot;\-#,##0.00"/>
    <numFmt numFmtId="8" formatCode="&quot;¥&quot;#,##0.00;[Red]&quot;¥&quot;\-#,##0.0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family val="3"/>
      <charset val="134"/>
    </font>
    <font>
      <sz val="10"/>
      <color theme="9" tint="-0.249977111117893"/>
      <name val="Arial"/>
      <family val="3"/>
      <charset val="134"/>
    </font>
    <font>
      <sz val="12"/>
      <color theme="1"/>
      <name val="宋体"/>
      <family val="2"/>
      <scheme val="minor"/>
    </font>
    <font>
      <sz val="12"/>
      <color indexed="10"/>
      <name val="宋体"/>
      <family val="3"/>
      <charset val="134"/>
    </font>
    <font>
      <b/>
      <sz val="12"/>
      <color indexed="10"/>
      <name val="宋体"/>
      <family val="3"/>
      <charset val="134"/>
    </font>
    <font>
      <sz val="10"/>
      <name val="Arial Narrow"/>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indexed="42"/>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29" fillId="0" borderId="0">
      <alignment vertical="center"/>
    </xf>
    <xf numFmtId="0" fontId="37" fillId="0" borderId="0">
      <alignment vertical="center"/>
    </xf>
    <xf numFmtId="0" fontId="129" fillId="0" borderId="0">
      <alignment vertical="center"/>
    </xf>
    <xf numFmtId="0" fontId="1" fillId="0" borderId="0"/>
    <xf numFmtId="43" fontId="1" fillId="0" borderId="0" applyFont="0" applyFill="0" applyBorder="0" applyAlignment="0" applyProtection="0">
      <alignment vertical="center"/>
    </xf>
  </cellStyleXfs>
  <cellXfs count="38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0" fontId="48" fillId="22" borderId="0" xfId="0" applyFont="1" applyFill="1" applyAlignment="1" applyProtection="1">
      <alignment vertical="center"/>
      <protection locked="0"/>
    </xf>
    <xf numFmtId="9" fontId="48" fillId="12" borderId="0" xfId="17" applyFont="1" applyFill="1" applyAlignme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175" fillId="23" borderId="1" xfId="19" applyFont="1" applyFill="1" applyBorder="1" applyAlignment="1">
      <alignment horizontal="center" vertical="center" wrapText="1"/>
    </xf>
    <xf numFmtId="0" fontId="174" fillId="23" borderId="1" xfId="19" applyFont="1" applyFill="1" applyBorder="1" applyAlignment="1">
      <alignment horizontal="center" vertical="center" wrapText="1"/>
    </xf>
    <xf numFmtId="176" fontId="174" fillId="23" borderId="1" xfId="19" applyNumberFormat="1" applyFont="1" applyFill="1" applyBorder="1" applyAlignment="1">
      <alignment horizontal="center" vertical="center" wrapText="1"/>
    </xf>
    <xf numFmtId="0" fontId="174" fillId="23" borderId="13" xfId="19" applyFont="1" applyFill="1" applyBorder="1" applyAlignment="1">
      <alignment horizontal="center" vertical="center" wrapText="1"/>
    </xf>
    <xf numFmtId="0" fontId="174" fillId="23" borderId="3" xfId="19" applyFont="1" applyFill="1" applyBorder="1" applyAlignment="1">
      <alignment horizontal="center" vertical="center" wrapText="1"/>
    </xf>
    <xf numFmtId="0" fontId="174" fillId="23" borderId="5" xfId="19" applyFont="1" applyFill="1" applyBorder="1" applyAlignment="1">
      <alignment horizontal="center" vertical="center" wrapText="1" shrinkToFit="1"/>
    </xf>
    <xf numFmtId="0" fontId="174" fillId="2" borderId="1" xfId="19" applyFont="1" applyFill="1" applyBorder="1" applyAlignment="1">
      <alignment vertical="center" wrapText="1"/>
    </xf>
    <xf numFmtId="0" fontId="37" fillId="0" borderId="0" xfId="20">
      <alignment vertical="center"/>
    </xf>
    <xf numFmtId="0" fontId="175" fillId="0" borderId="1" xfId="19" applyFont="1" applyBorder="1" applyAlignment="1">
      <alignment horizontal="center" vertical="center" wrapText="1"/>
    </xf>
    <xf numFmtId="0" fontId="272" fillId="0" borderId="1" xfId="19" applyFont="1" applyBorder="1" applyAlignment="1">
      <alignment horizontal="center" vertical="center" wrapText="1"/>
    </xf>
    <xf numFmtId="176" fontId="272" fillId="0" borderId="1" xfId="19" applyNumberFormat="1" applyFont="1" applyBorder="1" applyAlignment="1">
      <alignment horizontal="center" vertical="center" wrapText="1"/>
    </xf>
    <xf numFmtId="0" fontId="175" fillId="4" borderId="1" xfId="19" applyFont="1" applyFill="1" applyBorder="1" applyAlignment="1">
      <alignment horizontal="center" vertical="center" wrapText="1"/>
    </xf>
    <xf numFmtId="0" fontId="175" fillId="0" borderId="2" xfId="19" applyFont="1" applyBorder="1" applyAlignment="1">
      <alignment horizontal="center" vertical="center" wrapText="1"/>
    </xf>
    <xf numFmtId="7" fontId="136" fillId="24" borderId="1" xfId="19" applyNumberFormat="1" applyFont="1" applyFill="1" applyBorder="1" applyAlignment="1">
      <alignment horizontal="center" vertical="center" wrapText="1"/>
    </xf>
    <xf numFmtId="8" fontId="174" fillId="0" borderId="3" xfId="19" applyNumberFormat="1" applyFont="1" applyBorder="1" applyAlignment="1">
      <alignment horizontal="center" vertical="center" wrapText="1"/>
    </xf>
    <xf numFmtId="7" fontId="175" fillId="0" borderId="5" xfId="19" applyNumberFormat="1" applyFont="1" applyBorder="1" applyAlignment="1">
      <alignment horizontal="center" vertical="center" wrapText="1" shrinkToFit="1"/>
    </xf>
    <xf numFmtId="8" fontId="175" fillId="2" borderId="1" xfId="19" applyNumberFormat="1" applyFont="1" applyFill="1" applyBorder="1" applyAlignment="1">
      <alignment horizontal="center" vertical="center" wrapText="1"/>
    </xf>
    <xf numFmtId="176" fontId="175" fillId="0" borderId="2" xfId="19" applyNumberFormat="1" applyFont="1" applyBorder="1" applyAlignment="1">
      <alignment horizontal="center" vertical="center" wrapText="1"/>
    </xf>
    <xf numFmtId="0" fontId="175" fillId="4" borderId="2" xfId="19" applyFont="1" applyFill="1" applyBorder="1" applyAlignment="1">
      <alignment horizontal="center" vertical="center" wrapText="1"/>
    </xf>
    <xf numFmtId="7" fontId="175" fillId="24" borderId="2" xfId="19" applyNumberFormat="1" applyFont="1" applyFill="1" applyBorder="1" applyAlignment="1">
      <alignment horizontal="center" vertical="center" wrapText="1"/>
    </xf>
    <xf numFmtId="8" fontId="37" fillId="0" borderId="5" xfId="20" applyNumberFormat="1" applyBorder="1" applyAlignment="1">
      <alignment horizontal="center" vertical="center" wrapText="1"/>
    </xf>
    <xf numFmtId="8" fontId="272" fillId="2" borderId="1" xfId="19" applyNumberFormat="1" applyFont="1" applyFill="1" applyBorder="1" applyAlignment="1">
      <alignment horizontal="center" vertical="center" wrapText="1"/>
    </xf>
    <xf numFmtId="176" fontId="175" fillId="0" borderId="1" xfId="19" applyNumberFormat="1" applyFont="1" applyBorder="1" applyAlignment="1">
      <alignment horizontal="center" vertical="center" wrapText="1"/>
    </xf>
    <xf numFmtId="0" fontId="175" fillId="4" borderId="13" xfId="19" applyFont="1" applyFill="1" applyBorder="1" applyAlignment="1">
      <alignment horizontal="center" vertical="center" wrapText="1"/>
    </xf>
    <xf numFmtId="0" fontId="175" fillId="0" borderId="13" xfId="19" applyFont="1" applyBorder="1" applyAlignment="1">
      <alignment horizontal="center" vertical="center" wrapText="1"/>
    </xf>
    <xf numFmtId="7" fontId="175" fillId="24" borderId="1" xfId="19" applyNumberFormat="1" applyFont="1" applyFill="1" applyBorder="1" applyAlignment="1">
      <alignment horizontal="center" vertical="center" wrapText="1"/>
    </xf>
    <xf numFmtId="6" fontId="37" fillId="0" borderId="5" xfId="20" applyNumberFormat="1" applyBorder="1" applyAlignment="1">
      <alignment horizontal="center" vertical="center" wrapText="1"/>
    </xf>
    <xf numFmtId="176" fontId="175" fillId="0" borderId="13" xfId="19" applyNumberFormat="1" applyFont="1" applyBorder="1" applyAlignment="1">
      <alignment horizontal="center" vertical="center" wrapText="1"/>
    </xf>
    <xf numFmtId="0" fontId="174" fillId="25" borderId="1" xfId="19" applyFont="1" applyFill="1" applyBorder="1" applyAlignment="1">
      <alignment horizontal="center" vertical="center" wrapText="1"/>
    </xf>
    <xf numFmtId="7" fontId="175" fillId="0" borderId="5" xfId="19" applyNumberFormat="1" applyFont="1" applyBorder="1" applyAlignment="1">
      <alignment horizontal="left" vertical="center" wrapText="1" shrinkToFit="1"/>
    </xf>
    <xf numFmtId="8" fontId="273" fillId="2" borderId="1" xfId="19" applyNumberFormat="1" applyFont="1" applyFill="1" applyBorder="1" applyAlignment="1">
      <alignment horizontal="center" vertical="center" wrapText="1"/>
    </xf>
    <xf numFmtId="0" fontId="175" fillId="25" borderId="1" xfId="19" applyFont="1" applyFill="1" applyBorder="1" applyAlignment="1">
      <alignment horizontal="center" vertical="center" wrapText="1"/>
    </xf>
    <xf numFmtId="176" fontId="175" fillId="0" borderId="1" xfId="21" applyNumberFormat="1" applyFont="1" applyBorder="1" applyAlignment="1">
      <alignment horizontal="center" vertical="center" wrapText="1"/>
    </xf>
    <xf numFmtId="0" fontId="175" fillId="0" borderId="1" xfId="21" applyFont="1" applyBorder="1" applyAlignment="1">
      <alignment horizontal="center" vertical="center" wrapText="1"/>
    </xf>
    <xf numFmtId="0" fontId="175" fillId="2" borderId="1" xfId="19" applyFont="1" applyFill="1" applyBorder="1" applyAlignment="1">
      <alignment horizontal="center" vertical="center" wrapText="1"/>
    </xf>
    <xf numFmtId="8" fontId="272" fillId="0" borderId="5" xfId="19" applyNumberFormat="1" applyFont="1" applyBorder="1" applyAlignment="1">
      <alignment horizontal="center" vertical="center" wrapText="1" shrinkToFit="1"/>
    </xf>
    <xf numFmtId="0" fontId="175" fillId="26" borderId="1" xfId="19" applyFont="1" applyFill="1" applyBorder="1" applyAlignment="1">
      <alignment horizontal="center" vertical="center" wrapText="1"/>
    </xf>
    <xf numFmtId="0" fontId="272" fillId="0" borderId="1" xfId="21" applyFont="1" applyBorder="1" applyAlignment="1">
      <alignment horizontal="center" vertical="center" wrapText="1"/>
    </xf>
    <xf numFmtId="0" fontId="175" fillId="0" borderId="13" xfId="21" applyFont="1" applyBorder="1" applyAlignment="1">
      <alignment horizontal="center" vertical="center" wrapText="1"/>
    </xf>
    <xf numFmtId="0" fontId="174" fillId="0" borderId="1" xfId="19" applyFont="1" applyBorder="1" applyAlignment="1">
      <alignment horizontal="center" vertical="center" wrapText="1"/>
    </xf>
    <xf numFmtId="0" fontId="174" fillId="0" borderId="3" xfId="19" applyFont="1" applyBorder="1" applyAlignment="1">
      <alignment horizontal="center" vertical="center" wrapText="1"/>
    </xf>
    <xf numFmtId="8" fontId="272" fillId="27" borderId="5" xfId="19" applyNumberFormat="1" applyFont="1" applyFill="1" applyBorder="1" applyAlignment="1">
      <alignment horizontal="center" vertical="center" wrapText="1" shrinkToFit="1"/>
    </xf>
    <xf numFmtId="0" fontId="175" fillId="4" borderId="13" xfId="21" applyFont="1" applyFill="1" applyBorder="1" applyAlignment="1">
      <alignment horizontal="center" vertical="center" wrapText="1"/>
    </xf>
    <xf numFmtId="0" fontId="175" fillId="26" borderId="13" xfId="19" applyFont="1" applyFill="1" applyBorder="1" applyAlignment="1">
      <alignment horizontal="center" vertical="center" wrapText="1"/>
    </xf>
    <xf numFmtId="7" fontId="175" fillId="24" borderId="13" xfId="19" applyNumberFormat="1" applyFont="1" applyFill="1" applyBorder="1" applyAlignment="1">
      <alignment horizontal="center" vertical="center" wrapText="1"/>
    </xf>
    <xf numFmtId="7" fontId="175" fillId="27" borderId="46" xfId="19" applyNumberFormat="1" applyFont="1" applyFill="1" applyBorder="1" applyAlignment="1">
      <alignment horizontal="center" vertical="center" wrapText="1"/>
    </xf>
    <xf numFmtId="0" fontId="37" fillId="0" borderId="1" xfId="20" applyBorder="1" applyAlignment="1">
      <alignment horizontal="center" vertical="center" wrapText="1"/>
    </xf>
    <xf numFmtId="7" fontId="175" fillId="0" borderId="5" xfId="19" applyNumberFormat="1" applyFont="1" applyBorder="1" applyAlignment="1">
      <alignment horizontal="center" vertical="center" wrapText="1"/>
    </xf>
    <xf numFmtId="0" fontId="272" fillId="25" borderId="1" xfId="19" applyFont="1" applyFill="1" applyBorder="1" applyAlignment="1">
      <alignment horizontal="center" vertical="center" wrapText="1"/>
    </xf>
    <xf numFmtId="7" fontId="272" fillId="24" borderId="1" xfId="19" applyNumberFormat="1" applyFont="1" applyFill="1" applyBorder="1" applyAlignment="1">
      <alignment horizontal="center" vertical="center" wrapText="1"/>
    </xf>
    <xf numFmtId="0" fontId="37" fillId="0" borderId="1" xfId="19" applyFont="1" applyBorder="1" applyAlignment="1">
      <alignment horizontal="center" vertical="center" wrapText="1"/>
    </xf>
    <xf numFmtId="0" fontId="136" fillId="0" borderId="3" xfId="19" applyFont="1" applyBorder="1" applyAlignment="1">
      <alignment horizontal="center" vertical="center" wrapText="1"/>
    </xf>
    <xf numFmtId="0" fontId="175" fillId="25" borderId="2" xfId="19" applyFont="1" applyFill="1" applyBorder="1" applyAlignment="1">
      <alignment horizontal="center" vertical="center" wrapText="1"/>
    </xf>
    <xf numFmtId="8" fontId="175" fillId="0" borderId="1" xfId="19" applyNumberFormat="1" applyFont="1" applyBorder="1" applyAlignment="1">
      <alignment horizontal="center" vertical="center" wrapText="1" shrinkToFit="1"/>
    </xf>
    <xf numFmtId="0" fontId="175" fillId="0" borderId="15" xfId="19" applyFont="1" applyBorder="1" applyAlignment="1">
      <alignment horizontal="center" vertical="center" wrapText="1"/>
    </xf>
    <xf numFmtId="0" fontId="175" fillId="4" borderId="15" xfId="19" applyFont="1" applyFill="1" applyBorder="1" applyAlignment="1">
      <alignment horizontal="center" vertical="center" wrapText="1"/>
    </xf>
    <xf numFmtId="0" fontId="174" fillId="25" borderId="15" xfId="19" applyFont="1" applyFill="1" applyBorder="1" applyAlignment="1">
      <alignment horizontal="center" vertical="center" wrapText="1"/>
    </xf>
    <xf numFmtId="7" fontId="175" fillId="0" borderId="15" xfId="19" applyNumberFormat="1" applyFont="1" applyBorder="1" applyAlignment="1">
      <alignment horizontal="center" vertical="center" wrapText="1"/>
    </xf>
    <xf numFmtId="7" fontId="175" fillId="24" borderId="15" xfId="19" applyNumberFormat="1" applyFont="1" applyFill="1" applyBorder="1" applyAlignment="1">
      <alignment horizontal="center" vertical="center" wrapText="1"/>
    </xf>
    <xf numFmtId="176" fontId="37" fillId="0" borderId="0" xfId="20" applyNumberFormat="1">
      <alignment vertical="center"/>
    </xf>
    <xf numFmtId="0" fontId="37" fillId="0" borderId="0" xfId="20" applyAlignment="1">
      <alignment horizontal="center" vertical="center"/>
    </xf>
    <xf numFmtId="8" fontId="37" fillId="0" borderId="0" xfId="20" applyNumberFormat="1">
      <alignment vertical="center"/>
    </xf>
    <xf numFmtId="0" fontId="1" fillId="0" borderId="0" xfId="22"/>
    <xf numFmtId="0" fontId="275" fillId="0" borderId="1" xfId="22" applyFont="1" applyBorder="1" applyAlignment="1">
      <alignment horizontal="left" vertical="center"/>
    </xf>
    <xf numFmtId="49" fontId="275" fillId="0" borderId="1" xfId="22" applyNumberFormat="1" applyFont="1" applyBorder="1" applyAlignment="1">
      <alignment horizontal="left" vertical="center"/>
    </xf>
    <xf numFmtId="43" fontId="275" fillId="0" borderId="1" xfId="23" applyFont="1" applyFill="1" applyBorder="1" applyAlignment="1">
      <alignment horizontal="left" vertical="center"/>
    </xf>
    <xf numFmtId="43" fontId="275" fillId="0" borderId="1" xfId="23" applyFont="1" applyFill="1" applyBorder="1" applyAlignment="1">
      <alignment horizontal="left" vertical="center" wrapText="1"/>
    </xf>
    <xf numFmtId="0" fontId="20" fillId="0" borderId="1" xfId="22" applyFont="1" applyBorder="1" applyAlignment="1">
      <alignment horizontal="left" vertical="center"/>
    </xf>
    <xf numFmtId="0" fontId="275" fillId="0" borderId="0" xfId="22" applyFont="1" applyAlignment="1">
      <alignment horizontal="left" vertical="center"/>
    </xf>
    <xf numFmtId="0" fontId="81" fillId="0" borderId="1" xfId="22" applyFont="1" applyBorder="1" applyAlignment="1">
      <alignment horizontal="left" vertical="center"/>
    </xf>
    <xf numFmtId="43" fontId="275" fillId="0" borderId="1" xfId="22" applyNumberFormat="1" applyFont="1" applyBorder="1" applyAlignment="1">
      <alignment horizontal="left" vertical="center"/>
    </xf>
    <xf numFmtId="4" fontId="275" fillId="0" borderId="1" xfId="22" applyNumberFormat="1" applyFont="1" applyBorder="1" applyAlignment="1">
      <alignment horizontal="left" vertical="center"/>
    </xf>
    <xf numFmtId="43" fontId="275" fillId="0" borderId="0" xfId="23" applyFont="1" applyFill="1" applyBorder="1" applyAlignment="1">
      <alignment horizontal="left" vertical="center"/>
    </xf>
    <xf numFmtId="43" fontId="275" fillId="7" borderId="1" xfId="23" applyFont="1" applyFill="1" applyBorder="1" applyAlignment="1">
      <alignment horizontal="left" vertical="center"/>
    </xf>
    <xf numFmtId="43" fontId="275" fillId="27" borderId="1" xfId="23" applyFont="1" applyFill="1" applyBorder="1" applyAlignment="1">
      <alignment horizontal="left" vertical="center"/>
    </xf>
    <xf numFmtId="0" fontId="275" fillId="0" borderId="2" xfId="22" applyFont="1" applyBorder="1" applyAlignment="1">
      <alignment horizontal="left" vertical="center"/>
    </xf>
    <xf numFmtId="58" fontId="275" fillId="0" borderId="1" xfId="22" applyNumberFormat="1" applyFont="1" applyBorder="1" applyAlignment="1">
      <alignment horizontal="left" vertical="center"/>
    </xf>
    <xf numFmtId="4" fontId="20" fillId="0" borderId="1" xfId="22" applyNumberFormat="1" applyFont="1" applyBorder="1" applyAlignment="1">
      <alignment horizontal="left" vertical="center"/>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43" fontId="45" fillId="0" borderId="3"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58" fontId="48" fillId="0" borderId="110" xfId="0" applyNumberFormat="1" applyFont="1" applyFill="1" applyBorder="1" applyAlignment="1" applyProtection="1">
      <alignment horizontal="center"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75" fillId="0" borderId="13" xfId="22" applyFont="1" applyBorder="1" applyAlignment="1">
      <alignment horizontal="left" vertical="center"/>
    </xf>
    <xf numFmtId="0" fontId="275" fillId="0" borderId="15" xfId="22" applyFont="1" applyBorder="1" applyAlignment="1">
      <alignment horizontal="left" vertical="center"/>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4">
    <cellStyle name="百分比" xfId="17" builtinId="5"/>
    <cellStyle name="百分比 2" xfId="14" xr:uid="{00000000-0005-0000-0000-000001000000}"/>
    <cellStyle name="常规" xfId="0" builtinId="0"/>
    <cellStyle name="常规 10" xfId="22"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0"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_前门撤店退租商户信息10.7.14" xfId="21" xr:uid="{00000000-0005-0000-0000-000015000000}"/>
    <cellStyle name="常规_前门现有商户信息10.7.14" xfId="19" xr:uid="{00000000-0005-0000-0000-000016000000}"/>
    <cellStyle name="千位分隔 2" xfId="23" xr:uid="{00000000-0005-0000-0000-000017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142875</xdr:rowOff>
    </xdr:from>
    <xdr:to>
      <xdr:col>5</xdr:col>
      <xdr:colOff>456343</xdr:colOff>
      <xdr:row>42</xdr:row>
      <xdr:rowOff>151670</xdr:rowOff>
    </xdr:to>
    <xdr:pic>
      <xdr:nvPicPr>
        <xdr:cNvPr id="2" name="图片 1">
          <a:extLst>
            <a:ext uri="{FF2B5EF4-FFF2-40B4-BE49-F238E27FC236}">
              <a16:creationId xmlns:a16="http://schemas.microsoft.com/office/drawing/2014/main" id="{7008FBD9-9586-4824-BA42-1C140F7F9823}"/>
            </a:ext>
          </a:extLst>
        </xdr:cNvPr>
        <xdr:cNvPicPr>
          <a:picLocks noChangeAspect="1"/>
        </xdr:cNvPicPr>
      </xdr:nvPicPr>
      <xdr:blipFill>
        <a:blip xmlns:r="http://schemas.openxmlformats.org/officeDocument/2006/relationships" r:embed="rId1"/>
        <a:stretch>
          <a:fillRect/>
        </a:stretch>
      </xdr:blipFill>
      <xdr:spPr>
        <a:xfrm>
          <a:off x="0" y="1638300"/>
          <a:ext cx="6857143" cy="5838095"/>
        </a:xfrm>
        <a:prstGeom prst="rect">
          <a:avLst/>
        </a:prstGeom>
      </xdr:spPr>
    </xdr:pic>
    <xdr:clientData/>
  </xdr:twoCellAnchor>
  <xdr:twoCellAnchor editAs="oneCell">
    <xdr:from>
      <xdr:col>0</xdr:col>
      <xdr:colOff>0</xdr:colOff>
      <xdr:row>55</xdr:row>
      <xdr:rowOff>19050</xdr:rowOff>
    </xdr:from>
    <xdr:to>
      <xdr:col>7</xdr:col>
      <xdr:colOff>399028</xdr:colOff>
      <xdr:row>70</xdr:row>
      <xdr:rowOff>28252</xdr:rowOff>
    </xdr:to>
    <xdr:pic>
      <xdr:nvPicPr>
        <xdr:cNvPr id="3" name="图片 2">
          <a:extLst>
            <a:ext uri="{FF2B5EF4-FFF2-40B4-BE49-F238E27FC236}">
              <a16:creationId xmlns:a16="http://schemas.microsoft.com/office/drawing/2014/main" id="{4F2D1432-51B7-48DA-B02B-87802B1B4A5E}"/>
            </a:ext>
          </a:extLst>
        </xdr:cNvPr>
        <xdr:cNvPicPr>
          <a:picLocks noChangeAspect="1"/>
        </xdr:cNvPicPr>
      </xdr:nvPicPr>
      <xdr:blipFill>
        <a:blip xmlns:r="http://schemas.openxmlformats.org/officeDocument/2006/relationships" r:embed="rId2"/>
        <a:stretch>
          <a:fillRect/>
        </a:stretch>
      </xdr:blipFill>
      <xdr:spPr>
        <a:xfrm>
          <a:off x="0" y="10020300"/>
          <a:ext cx="8171428" cy="2580952"/>
        </a:xfrm>
        <a:prstGeom prst="rect">
          <a:avLst/>
        </a:prstGeom>
      </xdr:spPr>
    </xdr:pic>
    <xdr:clientData/>
  </xdr:twoCellAnchor>
  <xdr:twoCellAnchor editAs="oneCell">
    <xdr:from>
      <xdr:col>0</xdr:col>
      <xdr:colOff>0</xdr:colOff>
      <xdr:row>42</xdr:row>
      <xdr:rowOff>9525</xdr:rowOff>
    </xdr:from>
    <xdr:to>
      <xdr:col>10</xdr:col>
      <xdr:colOff>455914</xdr:colOff>
      <xdr:row>55</xdr:row>
      <xdr:rowOff>161627</xdr:rowOff>
    </xdr:to>
    <xdr:pic>
      <xdr:nvPicPr>
        <xdr:cNvPr id="4" name="图片 3">
          <a:extLst>
            <a:ext uri="{FF2B5EF4-FFF2-40B4-BE49-F238E27FC236}">
              <a16:creationId xmlns:a16="http://schemas.microsoft.com/office/drawing/2014/main" id="{744EA5C2-A55F-4050-97BC-9BB7C8969823}"/>
            </a:ext>
          </a:extLst>
        </xdr:cNvPr>
        <xdr:cNvPicPr>
          <a:picLocks noChangeAspect="1"/>
        </xdr:cNvPicPr>
      </xdr:nvPicPr>
      <xdr:blipFill>
        <a:blip xmlns:r="http://schemas.openxmlformats.org/officeDocument/2006/relationships" r:embed="rId3"/>
        <a:stretch>
          <a:fillRect/>
        </a:stretch>
      </xdr:blipFill>
      <xdr:spPr>
        <a:xfrm>
          <a:off x="0" y="7658100"/>
          <a:ext cx="10285714" cy="2380952"/>
        </a:xfrm>
        <a:prstGeom prst="rect">
          <a:avLst/>
        </a:prstGeom>
      </xdr:spPr>
    </xdr:pic>
    <xdr:clientData/>
  </xdr:twoCellAnchor>
  <xdr:twoCellAnchor editAs="oneCell">
    <xdr:from>
      <xdr:col>0</xdr:col>
      <xdr:colOff>0</xdr:colOff>
      <xdr:row>70</xdr:row>
      <xdr:rowOff>95250</xdr:rowOff>
    </xdr:from>
    <xdr:to>
      <xdr:col>4</xdr:col>
      <xdr:colOff>685000</xdr:colOff>
      <xdr:row>103</xdr:row>
      <xdr:rowOff>8829</xdr:rowOff>
    </xdr:to>
    <xdr:pic>
      <xdr:nvPicPr>
        <xdr:cNvPr id="5" name="图片 4">
          <a:extLst>
            <a:ext uri="{FF2B5EF4-FFF2-40B4-BE49-F238E27FC236}">
              <a16:creationId xmlns:a16="http://schemas.microsoft.com/office/drawing/2014/main" id="{F474A857-B7A1-43F8-9E46-EC36B3F6569A}"/>
            </a:ext>
          </a:extLst>
        </xdr:cNvPr>
        <xdr:cNvPicPr>
          <a:picLocks noChangeAspect="1"/>
        </xdr:cNvPicPr>
      </xdr:nvPicPr>
      <xdr:blipFill>
        <a:blip xmlns:r="http://schemas.openxmlformats.org/officeDocument/2006/relationships" r:embed="rId4"/>
        <a:stretch>
          <a:fillRect/>
        </a:stretch>
      </xdr:blipFill>
      <xdr:spPr>
        <a:xfrm>
          <a:off x="0" y="12811125"/>
          <a:ext cx="6400000" cy="5571429"/>
        </a:xfrm>
        <a:prstGeom prst="rect">
          <a:avLst/>
        </a:prstGeom>
      </xdr:spPr>
    </xdr:pic>
    <xdr:clientData/>
  </xdr:twoCellAnchor>
  <xdr:twoCellAnchor editAs="oneCell">
    <xdr:from>
      <xdr:col>0</xdr:col>
      <xdr:colOff>85725</xdr:colOff>
      <xdr:row>103</xdr:row>
      <xdr:rowOff>0</xdr:rowOff>
    </xdr:from>
    <xdr:to>
      <xdr:col>2</xdr:col>
      <xdr:colOff>1894896</xdr:colOff>
      <xdr:row>136</xdr:row>
      <xdr:rowOff>151674</xdr:rowOff>
    </xdr:to>
    <xdr:pic>
      <xdr:nvPicPr>
        <xdr:cNvPr id="6" name="图片 5">
          <a:extLst>
            <a:ext uri="{FF2B5EF4-FFF2-40B4-BE49-F238E27FC236}">
              <a16:creationId xmlns:a16="http://schemas.microsoft.com/office/drawing/2014/main" id="{9120BAED-91A8-4712-9701-C2BBD4DF3836}"/>
            </a:ext>
          </a:extLst>
        </xdr:cNvPr>
        <xdr:cNvPicPr>
          <a:picLocks noChangeAspect="1"/>
        </xdr:cNvPicPr>
      </xdr:nvPicPr>
      <xdr:blipFill>
        <a:blip xmlns:r="http://schemas.openxmlformats.org/officeDocument/2006/relationships" r:embed="rId5"/>
        <a:stretch>
          <a:fillRect/>
        </a:stretch>
      </xdr:blipFill>
      <xdr:spPr>
        <a:xfrm>
          <a:off x="85725" y="17764125"/>
          <a:ext cx="4628571" cy="5809524"/>
        </a:xfrm>
        <a:prstGeom prst="rect">
          <a:avLst/>
        </a:prstGeom>
      </xdr:spPr>
    </xdr:pic>
    <xdr:clientData/>
  </xdr:twoCellAnchor>
  <xdr:twoCellAnchor editAs="oneCell">
    <xdr:from>
      <xdr:col>2</xdr:col>
      <xdr:colOff>1895475</xdr:colOff>
      <xdr:row>102</xdr:row>
      <xdr:rowOff>142875</xdr:rowOff>
    </xdr:from>
    <xdr:to>
      <xdr:col>7</xdr:col>
      <xdr:colOff>580570</xdr:colOff>
      <xdr:row>137</xdr:row>
      <xdr:rowOff>27839</xdr:rowOff>
    </xdr:to>
    <xdr:pic>
      <xdr:nvPicPr>
        <xdr:cNvPr id="7" name="图片 6">
          <a:extLst>
            <a:ext uri="{FF2B5EF4-FFF2-40B4-BE49-F238E27FC236}">
              <a16:creationId xmlns:a16="http://schemas.microsoft.com/office/drawing/2014/main" id="{4C2EDB62-2D45-4B0E-94F3-3D9B1A291B0E}"/>
            </a:ext>
          </a:extLst>
        </xdr:cNvPr>
        <xdr:cNvPicPr>
          <a:picLocks noChangeAspect="1"/>
        </xdr:cNvPicPr>
      </xdr:nvPicPr>
      <xdr:blipFill>
        <a:blip xmlns:r="http://schemas.openxmlformats.org/officeDocument/2006/relationships" r:embed="rId6"/>
        <a:stretch>
          <a:fillRect/>
        </a:stretch>
      </xdr:blipFill>
      <xdr:spPr>
        <a:xfrm>
          <a:off x="4714875" y="17735550"/>
          <a:ext cx="3638095" cy="5885714"/>
        </a:xfrm>
        <a:prstGeom prst="rect">
          <a:avLst/>
        </a:prstGeom>
      </xdr:spPr>
    </xdr:pic>
    <xdr:clientData/>
  </xdr:twoCellAnchor>
  <xdr:twoCellAnchor editAs="oneCell">
    <xdr:from>
      <xdr:col>0</xdr:col>
      <xdr:colOff>0</xdr:colOff>
      <xdr:row>137</xdr:row>
      <xdr:rowOff>142875</xdr:rowOff>
    </xdr:from>
    <xdr:to>
      <xdr:col>12</xdr:col>
      <xdr:colOff>303290</xdr:colOff>
      <xdr:row>144</xdr:row>
      <xdr:rowOff>123677</xdr:rowOff>
    </xdr:to>
    <xdr:pic>
      <xdr:nvPicPr>
        <xdr:cNvPr id="8" name="图片 7">
          <a:extLst>
            <a:ext uri="{FF2B5EF4-FFF2-40B4-BE49-F238E27FC236}">
              <a16:creationId xmlns:a16="http://schemas.microsoft.com/office/drawing/2014/main" id="{79E5494A-D6DA-44B9-B120-8AB58D26167E}"/>
            </a:ext>
          </a:extLst>
        </xdr:cNvPr>
        <xdr:cNvPicPr>
          <a:picLocks noChangeAspect="1"/>
        </xdr:cNvPicPr>
      </xdr:nvPicPr>
      <xdr:blipFill>
        <a:blip xmlns:r="http://schemas.openxmlformats.org/officeDocument/2006/relationships" r:embed="rId7"/>
        <a:stretch>
          <a:fillRect/>
        </a:stretch>
      </xdr:blipFill>
      <xdr:spPr>
        <a:xfrm>
          <a:off x="0" y="23736300"/>
          <a:ext cx="12076190" cy="1180952"/>
        </a:xfrm>
        <a:prstGeom prst="rect">
          <a:avLst/>
        </a:prstGeom>
      </xdr:spPr>
    </xdr:pic>
    <xdr:clientData/>
  </xdr:twoCellAnchor>
  <xdr:twoCellAnchor editAs="oneCell">
    <xdr:from>
      <xdr:col>0</xdr:col>
      <xdr:colOff>47625</xdr:colOff>
      <xdr:row>143</xdr:row>
      <xdr:rowOff>0</xdr:rowOff>
    </xdr:from>
    <xdr:to>
      <xdr:col>12</xdr:col>
      <xdr:colOff>236630</xdr:colOff>
      <xdr:row>150</xdr:row>
      <xdr:rowOff>85564</xdr:rowOff>
    </xdr:to>
    <xdr:pic>
      <xdr:nvPicPr>
        <xdr:cNvPr id="9" name="图片 8">
          <a:extLst>
            <a:ext uri="{FF2B5EF4-FFF2-40B4-BE49-F238E27FC236}">
              <a16:creationId xmlns:a16="http://schemas.microsoft.com/office/drawing/2014/main" id="{0DE476E5-EA4E-41E7-8247-C0E0EA14AC2C}"/>
            </a:ext>
          </a:extLst>
        </xdr:cNvPr>
        <xdr:cNvPicPr>
          <a:picLocks noChangeAspect="1"/>
        </xdr:cNvPicPr>
      </xdr:nvPicPr>
      <xdr:blipFill>
        <a:blip xmlns:r="http://schemas.openxmlformats.org/officeDocument/2006/relationships" r:embed="rId8"/>
        <a:stretch>
          <a:fillRect/>
        </a:stretch>
      </xdr:blipFill>
      <xdr:spPr>
        <a:xfrm>
          <a:off x="47625" y="24622125"/>
          <a:ext cx="11961905" cy="1285714"/>
        </a:xfrm>
        <a:prstGeom prst="rect">
          <a:avLst/>
        </a:prstGeom>
      </xdr:spPr>
    </xdr:pic>
    <xdr:clientData/>
  </xdr:twoCellAnchor>
  <xdr:twoCellAnchor editAs="oneCell">
    <xdr:from>
      <xdr:col>0</xdr:col>
      <xdr:colOff>9525</xdr:colOff>
      <xdr:row>155</xdr:row>
      <xdr:rowOff>19050</xdr:rowOff>
    </xdr:from>
    <xdr:to>
      <xdr:col>12</xdr:col>
      <xdr:colOff>246149</xdr:colOff>
      <xdr:row>179</xdr:row>
      <xdr:rowOff>123298</xdr:rowOff>
    </xdr:to>
    <xdr:pic>
      <xdr:nvPicPr>
        <xdr:cNvPr id="10" name="图片 9">
          <a:extLst>
            <a:ext uri="{FF2B5EF4-FFF2-40B4-BE49-F238E27FC236}">
              <a16:creationId xmlns:a16="http://schemas.microsoft.com/office/drawing/2014/main" id="{517E8F6F-0992-475D-97FF-956C0E4FDA76}"/>
            </a:ext>
          </a:extLst>
        </xdr:cNvPr>
        <xdr:cNvPicPr>
          <a:picLocks noChangeAspect="1"/>
        </xdr:cNvPicPr>
      </xdr:nvPicPr>
      <xdr:blipFill>
        <a:blip xmlns:r="http://schemas.openxmlformats.org/officeDocument/2006/relationships" r:embed="rId9"/>
        <a:stretch>
          <a:fillRect/>
        </a:stretch>
      </xdr:blipFill>
      <xdr:spPr>
        <a:xfrm>
          <a:off x="9525" y="26698575"/>
          <a:ext cx="12009524" cy="4219048"/>
        </a:xfrm>
        <a:prstGeom prst="rect">
          <a:avLst/>
        </a:prstGeom>
      </xdr:spPr>
    </xdr:pic>
    <xdr:clientData/>
  </xdr:twoCellAnchor>
  <xdr:twoCellAnchor editAs="oneCell">
    <xdr:from>
      <xdr:col>0</xdr:col>
      <xdr:colOff>0</xdr:colOff>
      <xdr:row>181</xdr:row>
      <xdr:rowOff>76200</xdr:rowOff>
    </xdr:from>
    <xdr:to>
      <xdr:col>12</xdr:col>
      <xdr:colOff>141386</xdr:colOff>
      <xdr:row>188</xdr:row>
      <xdr:rowOff>85574</xdr:rowOff>
    </xdr:to>
    <xdr:pic>
      <xdr:nvPicPr>
        <xdr:cNvPr id="11" name="图片 10">
          <a:extLst>
            <a:ext uri="{FF2B5EF4-FFF2-40B4-BE49-F238E27FC236}">
              <a16:creationId xmlns:a16="http://schemas.microsoft.com/office/drawing/2014/main" id="{749CDBA7-FC54-4415-8F2A-F79B70CFDF4C}"/>
            </a:ext>
          </a:extLst>
        </xdr:cNvPr>
        <xdr:cNvPicPr>
          <a:picLocks noChangeAspect="1"/>
        </xdr:cNvPicPr>
      </xdr:nvPicPr>
      <xdr:blipFill>
        <a:blip xmlns:r="http://schemas.openxmlformats.org/officeDocument/2006/relationships" r:embed="rId10"/>
        <a:stretch>
          <a:fillRect/>
        </a:stretch>
      </xdr:blipFill>
      <xdr:spPr>
        <a:xfrm>
          <a:off x="0" y="32880300"/>
          <a:ext cx="11914286" cy="1209524"/>
        </a:xfrm>
        <a:prstGeom prst="rect">
          <a:avLst/>
        </a:prstGeom>
      </xdr:spPr>
    </xdr:pic>
    <xdr:clientData/>
  </xdr:twoCellAnchor>
  <xdr:twoCellAnchor editAs="oneCell">
    <xdr:from>
      <xdr:col>0</xdr:col>
      <xdr:colOff>0</xdr:colOff>
      <xdr:row>208</xdr:row>
      <xdr:rowOff>76200</xdr:rowOff>
    </xdr:from>
    <xdr:to>
      <xdr:col>12</xdr:col>
      <xdr:colOff>103290</xdr:colOff>
      <xdr:row>220</xdr:row>
      <xdr:rowOff>66419</xdr:rowOff>
    </xdr:to>
    <xdr:pic>
      <xdr:nvPicPr>
        <xdr:cNvPr id="12" name="图片 11">
          <a:extLst>
            <a:ext uri="{FF2B5EF4-FFF2-40B4-BE49-F238E27FC236}">
              <a16:creationId xmlns:a16="http://schemas.microsoft.com/office/drawing/2014/main" id="{50917B27-6DFF-4D27-99B4-5AA8CB6817E7}"/>
            </a:ext>
          </a:extLst>
        </xdr:cNvPr>
        <xdr:cNvPicPr>
          <a:picLocks noChangeAspect="1"/>
        </xdr:cNvPicPr>
      </xdr:nvPicPr>
      <xdr:blipFill>
        <a:blip xmlns:r="http://schemas.openxmlformats.org/officeDocument/2006/relationships" r:embed="rId11"/>
        <a:stretch>
          <a:fillRect/>
        </a:stretch>
      </xdr:blipFill>
      <xdr:spPr>
        <a:xfrm>
          <a:off x="0" y="37766625"/>
          <a:ext cx="11876190" cy="2047619"/>
        </a:xfrm>
        <a:prstGeom prst="rect">
          <a:avLst/>
        </a:prstGeom>
      </xdr:spPr>
    </xdr:pic>
    <xdr:clientData/>
  </xdr:twoCellAnchor>
  <xdr:twoCellAnchor editAs="oneCell">
    <xdr:from>
      <xdr:col>0</xdr:col>
      <xdr:colOff>0</xdr:colOff>
      <xdr:row>147</xdr:row>
      <xdr:rowOff>161925</xdr:rowOff>
    </xdr:from>
    <xdr:to>
      <xdr:col>12</xdr:col>
      <xdr:colOff>189005</xdr:colOff>
      <xdr:row>154</xdr:row>
      <xdr:rowOff>28442</xdr:rowOff>
    </xdr:to>
    <xdr:pic>
      <xdr:nvPicPr>
        <xdr:cNvPr id="13" name="图片 12">
          <a:extLst>
            <a:ext uri="{FF2B5EF4-FFF2-40B4-BE49-F238E27FC236}">
              <a16:creationId xmlns:a16="http://schemas.microsoft.com/office/drawing/2014/main" id="{685C5981-444C-4233-B37C-7554F16F5D69}"/>
            </a:ext>
          </a:extLst>
        </xdr:cNvPr>
        <xdr:cNvPicPr>
          <a:picLocks noChangeAspect="1"/>
        </xdr:cNvPicPr>
      </xdr:nvPicPr>
      <xdr:blipFill>
        <a:blip xmlns:r="http://schemas.openxmlformats.org/officeDocument/2006/relationships" r:embed="rId12"/>
        <a:stretch>
          <a:fillRect/>
        </a:stretch>
      </xdr:blipFill>
      <xdr:spPr>
        <a:xfrm>
          <a:off x="0" y="25469850"/>
          <a:ext cx="11961905" cy="1066667"/>
        </a:xfrm>
        <a:prstGeom prst="rect">
          <a:avLst/>
        </a:prstGeom>
      </xdr:spPr>
    </xdr:pic>
    <xdr:clientData/>
  </xdr:twoCellAnchor>
  <xdr:twoCellAnchor editAs="oneCell">
    <xdr:from>
      <xdr:col>0</xdr:col>
      <xdr:colOff>0</xdr:colOff>
      <xdr:row>190</xdr:row>
      <xdr:rowOff>114300</xdr:rowOff>
    </xdr:from>
    <xdr:to>
      <xdr:col>11</xdr:col>
      <xdr:colOff>255757</xdr:colOff>
      <xdr:row>208</xdr:row>
      <xdr:rowOff>18676</xdr:rowOff>
    </xdr:to>
    <xdr:pic>
      <xdr:nvPicPr>
        <xdr:cNvPr id="14" name="图片 13">
          <a:extLst>
            <a:ext uri="{FF2B5EF4-FFF2-40B4-BE49-F238E27FC236}">
              <a16:creationId xmlns:a16="http://schemas.microsoft.com/office/drawing/2014/main" id="{DCA923E0-A31B-4A4F-9759-836B207BF56D}"/>
            </a:ext>
          </a:extLst>
        </xdr:cNvPr>
        <xdr:cNvPicPr>
          <a:picLocks noChangeAspect="1"/>
        </xdr:cNvPicPr>
      </xdr:nvPicPr>
      <xdr:blipFill>
        <a:blip xmlns:r="http://schemas.openxmlformats.org/officeDocument/2006/relationships" r:embed="rId13"/>
        <a:stretch>
          <a:fillRect/>
        </a:stretch>
      </xdr:blipFill>
      <xdr:spPr>
        <a:xfrm>
          <a:off x="0" y="32794575"/>
          <a:ext cx="11342857" cy="2990476"/>
        </a:xfrm>
        <a:prstGeom prst="rect">
          <a:avLst/>
        </a:prstGeom>
      </xdr:spPr>
    </xdr:pic>
    <xdr:clientData/>
  </xdr:twoCellAnchor>
  <xdr:twoCellAnchor editAs="oneCell">
    <xdr:from>
      <xdr:col>0</xdr:col>
      <xdr:colOff>123825</xdr:colOff>
      <xdr:row>220</xdr:row>
      <xdr:rowOff>161925</xdr:rowOff>
    </xdr:from>
    <xdr:to>
      <xdr:col>8</xdr:col>
      <xdr:colOff>351339</xdr:colOff>
      <xdr:row>232</xdr:row>
      <xdr:rowOff>114049</xdr:rowOff>
    </xdr:to>
    <xdr:pic>
      <xdr:nvPicPr>
        <xdr:cNvPr id="15" name="图片 14">
          <a:extLst>
            <a:ext uri="{FF2B5EF4-FFF2-40B4-BE49-F238E27FC236}">
              <a16:creationId xmlns:a16="http://schemas.microsoft.com/office/drawing/2014/main" id="{C629AC31-5347-40E6-A624-83BA27D1D4E8}"/>
            </a:ext>
          </a:extLst>
        </xdr:cNvPr>
        <xdr:cNvPicPr>
          <a:picLocks noChangeAspect="1"/>
        </xdr:cNvPicPr>
      </xdr:nvPicPr>
      <xdr:blipFill>
        <a:blip xmlns:r="http://schemas.openxmlformats.org/officeDocument/2006/relationships" r:embed="rId14"/>
        <a:stretch>
          <a:fillRect/>
        </a:stretch>
      </xdr:blipFill>
      <xdr:spPr>
        <a:xfrm>
          <a:off x="123825" y="37985700"/>
          <a:ext cx="8685714" cy="2009524"/>
        </a:xfrm>
        <a:prstGeom prst="rect">
          <a:avLst/>
        </a:prstGeom>
      </xdr:spPr>
    </xdr:pic>
    <xdr:clientData/>
  </xdr:twoCellAnchor>
  <xdr:twoCellAnchor editAs="oneCell">
    <xdr:from>
      <xdr:col>0</xdr:col>
      <xdr:colOff>285750</xdr:colOff>
      <xdr:row>232</xdr:row>
      <xdr:rowOff>152400</xdr:rowOff>
    </xdr:from>
    <xdr:to>
      <xdr:col>5</xdr:col>
      <xdr:colOff>142093</xdr:colOff>
      <xdr:row>260</xdr:row>
      <xdr:rowOff>37514</xdr:rowOff>
    </xdr:to>
    <xdr:pic>
      <xdr:nvPicPr>
        <xdr:cNvPr id="16" name="图片 15">
          <a:extLst>
            <a:ext uri="{FF2B5EF4-FFF2-40B4-BE49-F238E27FC236}">
              <a16:creationId xmlns:a16="http://schemas.microsoft.com/office/drawing/2014/main" id="{1A4342CE-3FAD-4BF4-95E8-FA551FDA2C71}"/>
            </a:ext>
          </a:extLst>
        </xdr:cNvPr>
        <xdr:cNvPicPr>
          <a:picLocks noChangeAspect="1"/>
        </xdr:cNvPicPr>
      </xdr:nvPicPr>
      <xdr:blipFill>
        <a:blip xmlns:r="http://schemas.openxmlformats.org/officeDocument/2006/relationships" r:embed="rId15"/>
        <a:stretch>
          <a:fillRect/>
        </a:stretch>
      </xdr:blipFill>
      <xdr:spPr>
        <a:xfrm>
          <a:off x="285750" y="40033575"/>
          <a:ext cx="6257143" cy="4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北京市西城区琉璃厂东街22、24号1-5幢房地产市场价值预评估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受贵公司委托，我公司对北京市西城区琉璃厂东街22、24号1-5幢房地产市场价值进行了预评估。</v>
      </c>
    </row>
    <row r="7" spans="1:2" s="1203" customFormat="1">
      <c r="A7" s="1201" t="s">
        <v>566</v>
      </c>
      <c r="B7" s="1202" t="str">
        <f>'预评函-1'!A7</f>
        <v>估价对象为北京市西城区琉璃厂东街22、24号1-5幢房地产，为所有。根据《国有土地使用证》[]，估价对象（分摊）出让国有建设用地使用权面积为122.87平方米，建筑面积为188.54平方米。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琉璃厂东街22、24号1-5幢房地产,属开发建设的，该项目尚在开发建设中。根据《国有土地使用证》[]，估价对象（分摊）出让国有建设用地使用权面积为122.87平方米，规划建筑面积为188.54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2022年10月19日</v>
      </c>
    </row>
    <row r="13" spans="1:2" s="1203" customFormat="1">
      <c r="A13" s="1201" t="s">
        <v>529</v>
      </c>
      <c r="B13" s="1202"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北京市西城区琉璃厂东街22、24号1-5幢房地产</v>
      </c>
    </row>
    <row r="42" spans="1:2" s="1203" customFormat="1">
      <c r="A42" s="1201" t="s">
        <v>590</v>
      </c>
      <c r="B42" s="1202" t="str">
        <f>'预评函-3'!B2</f>
        <v>建筑面积</v>
      </c>
    </row>
    <row r="43" spans="1:2" s="1203" customFormat="1">
      <c r="A43" s="1201" t="s">
        <v>591</v>
      </c>
      <c r="B43" s="1202">
        <f>'预评函-3'!B4</f>
        <v>188.54</v>
      </c>
    </row>
    <row r="44" spans="1:2" s="1203" customFormat="1">
      <c r="A44" s="1201" t="s">
        <v>575</v>
      </c>
      <c r="B44" s="1202" t="str">
        <f>'预评函-3'!C2</f>
        <v>(分摊)土地面积</v>
      </c>
    </row>
    <row r="45" spans="1:2" s="1203" customFormat="1">
      <c r="A45" s="1201" t="s">
        <v>547</v>
      </c>
      <c r="B45" s="1202">
        <f>'预评函-3'!C4</f>
        <v>122.87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5" sqref="H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琉璃厂东街22、24号1-5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554" t="s">
        <v>385</v>
      </c>
      <c r="C54" s="1551" t="s">
        <v>583</v>
      </c>
    </row>
    <row r="55" spans="1:4">
      <c r="A55" s="3580"/>
      <c r="B55" s="1554" t="s">
        <v>386</v>
      </c>
      <c r="C55" s="1551" t="s">
        <v>584</v>
      </c>
    </row>
    <row r="56" spans="1:4">
      <c r="A56" s="3580"/>
      <c r="B56" s="1554" t="s">
        <v>387</v>
      </c>
      <c r="C56" s="1551" t="s">
        <v>588</v>
      </c>
    </row>
    <row r="57" spans="1:4">
      <c r="A57" s="358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31" sqref="D3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81" t="s">
        <v>2579</v>
      </c>
      <c r="J2" s="3581"/>
      <c r="K2" s="3581"/>
      <c r="L2" s="3581"/>
      <c r="M2" s="3581"/>
      <c r="N2" s="3581"/>
      <c r="O2" s="3581"/>
      <c r="P2" s="3581"/>
      <c r="Q2" s="3581"/>
      <c r="R2" s="3581"/>
    </row>
    <row r="3" spans="1:18">
      <c r="A3" s="3017" t="s">
        <v>2500</v>
      </c>
      <c r="B3" s="3018">
        <f>项目基本情况!D3</f>
        <v>44853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4.16</v>
      </c>
      <c r="D5" s="3022">
        <f>IF(ISERROR(ROUND(POWER(1+E5,A5-C5)*(POWER(1+E5,C5)-1)/(POWER(1+E5,A5)-1),3)),0,ROUND(POWER(1+E5,A5-C5)*(POWER(1+E5,C5)-1)/(POWER(1+E5,A5)-1),4))</f>
        <v>0.19009999999999999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14.17</v>
      </c>
      <c r="D6" s="3022">
        <f>IF(ISERROR(ROUND(POWER(1+E6,A6-C6)*(POWER(1+E6,C6)-1)/(POWER(1+E6,A6)-1),3)),0,ROUND(POWER(1+E6,A6-C6)*(POWER(1+E6,C6)-1)/(POWER(1+E6,A6)-1),4))</f>
        <v>0.49619999999999997</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34.19</v>
      </c>
      <c r="D7" s="3022">
        <f>IF(ISERROR(ROUND(POWER(1+E7,A7-C7)*(POWER(1+E7,C7)-1)/(POWER(1+E7,A7)-1),3)),0,ROUND(POWER(1+E7,A7-C7)*(POWER(1+E7,C7)-1)/(POWER(1+E7,A7)-1),4))</f>
        <v>0.78910000000000002</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4" sqref="F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90" t="str">
        <f>IF(B10="北京市","北京市",C10)&amp;F10&amp;IF(结果表!G1="在建","出让国有建设用地使用权及在建建筑物",IF(结果表!G1="土地","出让国有建设用地使用权",))&amp;B9&amp;"预评估"</f>
        <v>北京市西城区琉璃厂东街22、24号1-5幢房地产市场价值预评估</v>
      </c>
      <c r="C1" s="3591"/>
      <c r="D1" s="3591"/>
      <c r="E1" s="3591"/>
      <c r="F1" s="3591"/>
      <c r="G1" s="3591"/>
      <c r="H1" s="3591"/>
      <c r="I1" s="359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北京市西城区琉璃厂东街22、24号1-5幢房地产市场价值</v>
      </c>
      <c r="T1" s="1745"/>
      <c r="U1" s="1745"/>
      <c r="V1" s="1745"/>
      <c r="W1" s="1745"/>
      <c r="X1" s="1745"/>
      <c r="Y1" s="1745"/>
      <c r="Z1" s="1745"/>
      <c r="AA1" s="1745"/>
      <c r="AB1" s="1745"/>
    </row>
    <row r="2" spans="1:30">
      <c r="A2" s="2367" t="s">
        <v>2167</v>
      </c>
      <c r="B2" s="2371"/>
      <c r="C2" s="2372"/>
      <c r="D2" s="2667"/>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北京市西城区琉璃厂东街22、24号1-5幢房地产</v>
      </c>
      <c r="T2" s="1745"/>
      <c r="U2" s="1745"/>
      <c r="V2" s="1745"/>
      <c r="W2" s="1745"/>
      <c r="X2" s="1745"/>
      <c r="Y2" s="1745"/>
      <c r="Z2" s="1745"/>
      <c r="AA2" s="1745"/>
      <c r="AB2" s="1745"/>
    </row>
    <row r="3" spans="1:30">
      <c r="A3" s="302" t="s">
        <v>2168</v>
      </c>
      <c r="B3" s="2373"/>
      <c r="C3" s="2374" t="s">
        <v>2169</v>
      </c>
      <c r="D3" s="2373">
        <v>44853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2173</v>
      </c>
      <c r="B7" s="2387"/>
      <c r="C7" s="2385"/>
      <c r="D7" s="2386"/>
      <c r="E7" s="2660"/>
      <c r="F7" s="2662"/>
      <c r="G7" s="2662"/>
      <c r="H7" s="2662"/>
      <c r="I7" s="2662"/>
      <c r="J7" s="2438"/>
      <c r="K7" s="2614"/>
      <c r="L7" s="2611"/>
      <c r="M7" s="2611"/>
      <c r="N7" s="2438"/>
      <c r="O7" s="2449"/>
      <c r="P7" s="2438"/>
      <c r="Q7" s="2438"/>
      <c r="R7" s="2438"/>
    </row>
    <row r="8" spans="1:30">
      <c r="A8" s="2388" t="s">
        <v>2174</v>
      </c>
      <c r="B8" s="2389" t="s">
        <v>3375</v>
      </c>
      <c r="C8" s="2390"/>
      <c r="D8" s="3593" t="s">
        <v>2175</v>
      </c>
      <c r="E8" s="2391"/>
      <c r="F8" s="2392"/>
      <c r="G8" s="2661"/>
      <c r="H8" s="2661"/>
      <c r="I8" s="2661"/>
      <c r="J8" s="2438"/>
      <c r="K8" s="2612"/>
      <c r="L8" s="2611"/>
      <c r="M8" s="2611"/>
      <c r="N8" s="2438"/>
      <c r="O8" s="2449"/>
      <c r="P8" s="2438"/>
      <c r="Q8" s="2438"/>
      <c r="R8" s="2438"/>
    </row>
    <row r="9" spans="1:30" ht="13.5" thickBot="1">
      <c r="A9" s="2393" t="s">
        <v>2176</v>
      </c>
      <c r="B9" s="2394" t="s">
        <v>3376</v>
      </c>
      <c r="C9" s="2395"/>
      <c r="D9" s="3594"/>
      <c r="E9" s="2394"/>
      <c r="F9" s="2396"/>
      <c r="G9" s="2663"/>
      <c r="H9" s="2663"/>
      <c r="I9" s="2663"/>
      <c r="J9" s="2438"/>
      <c r="K9" s="2614"/>
      <c r="L9" s="2611"/>
      <c r="M9" s="2611"/>
      <c r="N9" s="2438"/>
      <c r="O9" s="2449"/>
      <c r="P9" s="2438"/>
      <c r="Q9" s="2438"/>
      <c r="R9" s="2438"/>
    </row>
    <row r="10" spans="1:30" ht="13.5" thickTop="1">
      <c r="A10" s="2397" t="s">
        <v>2177</v>
      </c>
      <c r="B10" s="2398" t="s">
        <v>3377</v>
      </c>
      <c r="C10" s="3447"/>
      <c r="D10" s="2382"/>
      <c r="E10" s="2399" t="s">
        <v>2178</v>
      </c>
      <c r="F10" s="3448" t="s">
        <v>3387</v>
      </c>
      <c r="G10" s="2664"/>
      <c r="H10" s="2665"/>
      <c r="I10" s="2666"/>
      <c r="J10" s="2438"/>
      <c r="K10" s="2614"/>
      <c r="L10" s="2611"/>
      <c r="M10" s="2611"/>
      <c r="N10" s="2438"/>
      <c r="O10" s="2449"/>
      <c r="P10" s="2438"/>
      <c r="Q10" s="2438"/>
      <c r="R10" s="2438"/>
    </row>
    <row r="11" spans="1:30">
      <c r="A11" s="2400" t="s">
        <v>2179</v>
      </c>
      <c r="B11" s="2401" t="s">
        <v>3378</v>
      </c>
      <c r="C11" s="2402"/>
      <c r="D11" s="2403"/>
      <c r="E11" s="2370"/>
      <c r="F11" s="2370"/>
      <c r="G11" s="2370"/>
      <c r="H11" s="2370"/>
      <c r="I11" s="2370"/>
      <c r="J11" s="3058"/>
      <c r="K11" s="3057"/>
      <c r="L11" s="2611"/>
      <c r="M11" s="2611"/>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2575</v>
      </c>
      <c r="J12" s="3059"/>
      <c r="K12" s="2611"/>
      <c r="L12" s="2611"/>
      <c r="M12" s="2438"/>
      <c r="N12" s="2449"/>
      <c r="O12" s="2438"/>
      <c r="P12" s="2438"/>
      <c r="Q12" s="2438"/>
      <c r="AD12" s="1745"/>
    </row>
    <row r="13" spans="1:30">
      <c r="A13" s="3420" t="s">
        <v>3335</v>
      </c>
      <c r="B13" s="2406" t="s">
        <v>2188</v>
      </c>
      <c r="C13" s="856"/>
      <c r="D13" s="856">
        <v>56109</v>
      </c>
      <c r="E13" s="856"/>
      <c r="F13" s="856"/>
      <c r="G13" s="856"/>
      <c r="H13" s="856"/>
      <c r="I13" s="856"/>
      <c r="J13" s="3059"/>
      <c r="K13" s="2611"/>
      <c r="L13" s="2611"/>
      <c r="M13" s="2438"/>
      <c r="N13" s="2449"/>
      <c r="O13" s="2438"/>
      <c r="P13" s="2438"/>
      <c r="Q13" s="2438"/>
      <c r="AD13" s="1745"/>
    </row>
    <row r="14" spans="1:30">
      <c r="A14" s="1081"/>
      <c r="B14" s="2406" t="s">
        <v>2189</v>
      </c>
      <c r="C14" s="2407">
        <v>70</v>
      </c>
      <c r="D14" s="2407">
        <v>40</v>
      </c>
      <c r="E14" s="2407"/>
      <c r="F14" s="2407"/>
      <c r="G14" s="2407"/>
      <c r="H14" s="2407"/>
      <c r="I14" s="2407"/>
      <c r="J14" s="3060"/>
      <c r="K14" s="2611"/>
      <c r="L14" s="2611"/>
      <c r="M14" s="2438"/>
      <c r="N14" s="2449"/>
      <c r="O14" s="2438"/>
      <c r="P14" s="2438"/>
      <c r="Q14" s="2438"/>
      <c r="AD14" s="1745"/>
    </row>
    <row r="15" spans="1:30">
      <c r="A15" s="320"/>
      <c r="B15" s="2408" t="s">
        <v>2190</v>
      </c>
      <c r="C15" s="2409" t="str">
        <f>IF(A13="出让",IF(C13="","",ROUNDDOWN(MIN((C13-$D$3)/365,C14),2)),C14)</f>
        <v/>
      </c>
      <c r="D15" s="2409">
        <f>IF(A13="出让",IF(D13="","",ROUNDDOWN(MIN((D13-$D$3)/365,D14),2)),D14)</f>
        <v>30.83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399" t="s">
        <v>2191</v>
      </c>
      <c r="B16" s="3600"/>
      <c r="C16" s="3601"/>
      <c r="D16" s="3602"/>
      <c r="E16" s="2412" t="s">
        <v>2192</v>
      </c>
      <c r="F16" s="3603"/>
      <c r="G16" s="3604"/>
      <c r="H16" s="3604"/>
      <c r="I16" s="3605"/>
      <c r="J16" s="2438"/>
      <c r="K16" s="2615"/>
      <c r="L16" s="2450"/>
      <c r="M16" s="2450"/>
      <c r="N16" s="2507"/>
      <c r="O16" s="2450"/>
      <c r="P16" s="2507"/>
      <c r="Q16" s="2438"/>
      <c r="R16" s="2438"/>
    </row>
    <row r="17" spans="1:28">
      <c r="A17" s="313" t="s">
        <v>2193</v>
      </c>
      <c r="B17" s="302" t="s">
        <v>2194</v>
      </c>
      <c r="C17" s="8">
        <f>'数据-汇总表'!E3</f>
        <v>188.54</v>
      </c>
      <c r="D17" s="2322" t="s">
        <v>2195</v>
      </c>
      <c r="E17" s="3606" t="s">
        <v>2196</v>
      </c>
      <c r="F17" s="3607"/>
      <c r="G17" s="3607"/>
      <c r="H17" s="3607"/>
      <c r="I17" s="3608"/>
      <c r="J17" s="2438"/>
      <c r="K17" s="2616"/>
      <c r="L17" s="2450"/>
      <c r="M17" s="2450"/>
      <c r="N17" s="2507"/>
      <c r="O17" s="2450"/>
      <c r="P17" s="2507"/>
      <c r="Q17" s="2438"/>
      <c r="R17" s="2438"/>
      <c r="S17" s="2438"/>
      <c r="T17" s="2438"/>
      <c r="U17" s="2438"/>
      <c r="V17" s="2438"/>
    </row>
    <row r="18" spans="1:28" ht="24.75" thickBot="1">
      <c r="A18" s="2413" t="s">
        <v>2197</v>
      </c>
      <c r="B18" s="1090" t="s">
        <v>2198</v>
      </c>
      <c r="C18" s="2414">
        <f>'数据-汇总表'!D3</f>
        <v>122.87</v>
      </c>
      <c r="D18" s="1092" t="s">
        <v>2199</v>
      </c>
      <c r="E18" s="3609" t="s">
        <v>2200</v>
      </c>
      <c r="F18" s="3610"/>
      <c r="G18" s="3610"/>
      <c r="H18" s="3610"/>
      <c r="I18" s="3611"/>
      <c r="J18" s="2438"/>
      <c r="K18" s="2616"/>
      <c r="L18" s="2450"/>
      <c r="M18" s="2450"/>
      <c r="N18" s="2507"/>
      <c r="O18" s="2450"/>
      <c r="P18" s="2507"/>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2203</v>
      </c>
      <c r="B20" s="3596" t="s">
        <v>2204</v>
      </c>
      <c r="C20" s="3597"/>
      <c r="D20" s="3598" t="s">
        <v>2205</v>
      </c>
      <c r="E20" s="3599"/>
      <c r="F20" s="2645" t="s">
        <v>1056</v>
      </c>
      <c r="G20" s="2662"/>
      <c r="H20" s="2662"/>
      <c r="I20" s="2662"/>
      <c r="J20" s="2438"/>
      <c r="K20" s="359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2207</v>
      </c>
      <c r="C21" s="2632" t="s">
        <v>1057</v>
      </c>
      <c r="D21" s="1568" t="s">
        <v>2208</v>
      </c>
      <c r="E21" s="2633" t="s">
        <v>1057</v>
      </c>
      <c r="F21" s="2646"/>
      <c r="G21" s="2662"/>
      <c r="H21" s="2662"/>
      <c r="I21" s="2662"/>
      <c r="J21" s="2438"/>
      <c r="K21" s="35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2209</v>
      </c>
      <c r="C22" s="2632" t="s">
        <v>1058</v>
      </c>
      <c r="D22" s="2661"/>
      <c r="E22" s="2661"/>
      <c r="F22" s="2661"/>
      <c r="G22" s="2662"/>
      <c r="H22" s="2662"/>
      <c r="I22" s="2662"/>
      <c r="J22" s="2438"/>
      <c r="K22" s="35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83" t="s">
        <v>2212</v>
      </c>
      <c r="B27" s="320" t="s">
        <v>2213</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83"/>
      <c r="B28" s="302" t="s">
        <v>2214</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83"/>
      <c r="B29" s="302" t="s">
        <v>2215</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84"/>
      <c r="B30" s="302" t="s">
        <v>2216</v>
      </c>
      <c r="C30" s="3585"/>
      <c r="D30" s="3586"/>
      <c r="E30" s="2662"/>
      <c r="F30" s="2662"/>
      <c r="G30" s="2662"/>
      <c r="H30" s="2662"/>
      <c r="I30" s="2662"/>
      <c r="J30" s="2438"/>
      <c r="K30" s="2614"/>
      <c r="L30" s="2611"/>
      <c r="M30" s="2611"/>
      <c r="N30" s="2438"/>
      <c r="O30" s="2449"/>
      <c r="P30" s="2438"/>
      <c r="Q30" s="2438"/>
      <c r="R30" s="2438"/>
      <c r="S30" s="2438"/>
      <c r="T30" s="2438"/>
      <c r="U30" s="2438"/>
      <c r="V30" s="2438"/>
    </row>
    <row r="31" spans="1:28">
      <c r="A31" s="3587" t="s">
        <v>2217</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88"/>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88"/>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2218</v>
      </c>
      <c r="B34" s="2026"/>
      <c r="C34" s="2026"/>
      <c r="D34" s="2026"/>
      <c r="E34" s="2026"/>
      <c r="F34" s="2026"/>
      <c r="G34" s="2026"/>
      <c r="H34" s="2026"/>
      <c r="I34" s="2662"/>
      <c r="J34" s="2438"/>
      <c r="K34" s="2426">
        <f>COUNTIF(B34:H34,"——")</f>
        <v>0</v>
      </c>
      <c r="L34" s="323" t="s">
        <v>2219</v>
      </c>
      <c r="M34" s="323" t="s">
        <v>2220</v>
      </c>
      <c r="N34" s="323" t="s">
        <v>2221</v>
      </c>
      <c r="O34" s="323" t="s">
        <v>2222</v>
      </c>
      <c r="P34" s="323" t="s">
        <v>2223</v>
      </c>
      <c r="Q34" s="323" t="s">
        <v>2224</v>
      </c>
      <c r="R34" s="323" t="s">
        <v>2225</v>
      </c>
      <c r="S34" s="3582" t="s">
        <v>2226</v>
      </c>
      <c r="T34" s="2427" t="str">
        <f>NUMBERSTRING(7-K34,1)&amp;"通"</f>
        <v>七通</v>
      </c>
      <c r="U34" s="2438"/>
      <c r="V34" s="2438"/>
    </row>
    <row r="35" spans="1:30">
      <c r="A35" s="2428"/>
      <c r="B35" s="3589" t="s">
        <v>2227</v>
      </c>
      <c r="C35" s="3589"/>
      <c r="D35" s="3589"/>
      <c r="E35" s="3589"/>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2" t="s">
        <v>2578</v>
      </c>
      <c r="G36" s="2662"/>
      <c r="H36" s="2662"/>
      <c r="I36" s="2662"/>
      <c r="J36" s="2438"/>
      <c r="K36" s="2614"/>
      <c r="L36" s="2611"/>
      <c r="M36" s="2611"/>
      <c r="N36" s="2438"/>
      <c r="O36" s="2449"/>
      <c r="P36" s="2438"/>
      <c r="Q36" s="2438"/>
      <c r="R36" s="2438"/>
      <c r="S36" s="2438"/>
      <c r="T36" s="2438"/>
      <c r="U36" s="2438"/>
      <c r="V36" s="2438"/>
    </row>
    <row r="37" spans="1:30">
      <c r="A37" s="2628" t="s">
        <v>2228</v>
      </c>
      <c r="B37" s="2430" t="s">
        <v>184</v>
      </c>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2229</v>
      </c>
      <c r="B38" s="2431" t="s">
        <v>162</v>
      </c>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2231</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687.76</v>
      </c>
      <c r="B3" s="11">
        <f>IF(C3="否",G5-AT5,G5)</f>
        <v>1055.3800000000001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621.96</v>
      </c>
      <c r="G5" s="13">
        <f>SUM(G13:G587)</f>
        <v>1055.3800000000001</v>
      </c>
      <c r="H5" s="13">
        <f t="shared" ref="H5:AT5" si="0">SUM(H13:H656)</f>
        <v>1055.3800000000001</v>
      </c>
      <c r="I5" s="13">
        <f t="shared" si="0"/>
        <v>621.96</v>
      </c>
      <c r="J5" s="13">
        <f t="shared" si="0"/>
        <v>0</v>
      </c>
      <c r="K5" s="13">
        <f t="shared" si="0"/>
        <v>433.42000000000007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188.54</v>
      </c>
      <c r="BA5" s="15">
        <f t="shared" si="1"/>
        <v>188.54</v>
      </c>
      <c r="BB5" s="15">
        <f t="shared" si="1"/>
        <v>188.54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687.76</v>
      </c>
      <c r="F6" s="13" t="s">
        <v>0</v>
      </c>
      <c r="G6" s="13" t="s">
        <v>1</v>
      </c>
      <c r="H6" s="17">
        <f>SUMIF(I$12:AB$12,"总值",I6:AB6)</f>
        <v>687.76</v>
      </c>
      <c r="I6" s="13">
        <f t="shared" ref="I6:AB6" si="2">ROUND($A$3*I5/$B$3,2)</f>
        <v>405.31</v>
      </c>
      <c r="J6" s="13">
        <f t="shared" si="2"/>
        <v>0</v>
      </c>
      <c r="K6" s="13">
        <f t="shared" si="2"/>
        <v>282.45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122.87</v>
      </c>
      <c r="AZ6" s="13" t="s">
        <v>2</v>
      </c>
      <c r="BA6" s="13">
        <f>ROUND($AY$6*BA5/$AZ$5,2)</f>
        <v>122.87</v>
      </c>
      <c r="BB6" s="13">
        <f>ROUND($AY$6*BB5/$AZ$5,2)</f>
        <v>122.87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t="s">
        <v>3382</v>
      </c>
      <c r="B13" s="1051"/>
      <c r="C13" s="1051" t="s">
        <v>3379</v>
      </c>
      <c r="D13" s="1625" t="s">
        <v>3656</v>
      </c>
      <c r="E13" s="13">
        <f>IF($C$3="是",ROUND($A$3*G13/$B$3,2),ROUND($A$3*(G13-AT13)/$B$3,2))</f>
        <v>44.67</v>
      </c>
      <c r="F13" s="29">
        <v>34.270000000000003</v>
      </c>
      <c r="G13" s="30">
        <f>H13+AC13+AT13</f>
        <v>68.540000000000006</v>
      </c>
      <c r="H13" s="17">
        <f>SUMIF(I$12:AB$12,"总值",I13:AB13)</f>
        <v>68.540000000000006</v>
      </c>
      <c r="I13" s="1626">
        <f>68.54/2</f>
        <v>34.270000000000003</v>
      </c>
      <c r="J13" s="1626"/>
      <c r="K13" s="1626">
        <f>I13</f>
        <v>34.270000000000003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X京房权证西字第126121号</v>
      </c>
      <c r="AW13" s="8">
        <f t="shared" si="6"/>
        <v>0</v>
      </c>
      <c r="AX13" s="8" t="str">
        <f t="shared" si="6"/>
        <v>1幢1-2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3383</v>
      </c>
      <c r="D14" s="1625" t="s">
        <v>3656</v>
      </c>
      <c r="E14" s="13">
        <f>IF($C$3="是",ROUND($A$3*G14/$B$3,2),ROUND($A$3*(G14-AT14)/$B$3,2))</f>
        <v>176.75</v>
      </c>
      <c r="F14" s="29">
        <v>135.61000000000001</v>
      </c>
      <c r="G14" s="30">
        <f>H14+AC14+AT14</f>
        <v>271.22000000000003</v>
      </c>
      <c r="H14" s="17">
        <f>SUMIF(I$12:AB$12,"总值",I14:AB14)</f>
        <v>271.22000000000003</v>
      </c>
      <c r="I14" s="1626">
        <f>271.22/2</f>
        <v>135.61000000000001</v>
      </c>
      <c r="J14" s="1626"/>
      <c r="K14" s="1626">
        <f>I14</f>
        <v>135.61000000000001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3384</v>
      </c>
      <c r="D15" s="1625" t="s">
        <v>3656</v>
      </c>
      <c r="E15" s="13">
        <f>IF($C$3="是",ROUND($A$3*G15/$B$3,2),ROUND($A$3*(G15-AT15)/$B$3,2))</f>
        <v>15.01</v>
      </c>
      <c r="F15" s="29">
        <v>11.52</v>
      </c>
      <c r="G15" s="30">
        <f>H15+AC15+AT15</f>
        <v>23.04</v>
      </c>
      <c r="H15" s="17">
        <f>SUMIF(I$12:AB$12,"总值",I15:AB15)</f>
        <v>23.04</v>
      </c>
      <c r="I15" s="1626">
        <f>23.04/2</f>
        <v>11.52</v>
      </c>
      <c r="J15" s="1626"/>
      <c r="K15" s="1626">
        <f>I15</f>
        <v>11.52</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3幢1-2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3385</v>
      </c>
      <c r="D16" s="1625" t="s">
        <v>3656</v>
      </c>
      <c r="E16" s="13">
        <f>IF($C$3="是",ROUND($A$3*G16/$B$3,2),ROUND($A$3*(G16-AT16)/$B$3,2))</f>
        <v>328.47</v>
      </c>
      <c r="F16" s="29">
        <v>252.02</v>
      </c>
      <c r="G16" s="30">
        <f>H16+AC16+AT16</f>
        <v>504.04</v>
      </c>
      <c r="H16" s="17">
        <f>SUMIF(I$12:AB$12,"总值",I16:AB16)</f>
        <v>504.04</v>
      </c>
      <c r="I16" s="1626">
        <f>504.04/2</f>
        <v>252.02</v>
      </c>
      <c r="J16" s="1626"/>
      <c r="K16" s="1626">
        <f>I16</f>
        <v>252.02</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4幢1-2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3386</v>
      </c>
      <c r="D17" s="1625" t="s">
        <v>3380</v>
      </c>
      <c r="E17" s="13">
        <f>IF($C$3="是",ROUND($A$3*G17/$B$3,2),ROUND($A$3*(G17-AT17)/$B$3,2))</f>
        <v>122.87</v>
      </c>
      <c r="F17" s="29">
        <v>188.54</v>
      </c>
      <c r="G17" s="30">
        <f>H17+AC17+AT17</f>
        <v>188.54</v>
      </c>
      <c r="H17" s="17">
        <f>SUMIF(I$12:AB$12,"总值",I17:AB17)</f>
        <v>188.54</v>
      </c>
      <c r="I17" s="1626">
        <v>188.54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5幢1</v>
      </c>
      <c r="AY17" s="1349">
        <f>ROUND($AY$6*AZ17/$AZ$5,2)</f>
        <v>122.87</v>
      </c>
      <c r="AZ17" s="13">
        <f>BA17+BL17</f>
        <v>188.54</v>
      </c>
      <c r="BA17" s="13">
        <f>SUM(BB17:BK17)</f>
        <v>188.54</v>
      </c>
      <c r="BB17" s="13">
        <f>IF($D17="是",I17-J17,0)</f>
        <v>188.54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1" t="s">
        <v>1131</v>
      </c>
      <c r="B2" s="3621"/>
      <c r="C2" s="3621"/>
      <c r="D2" s="796" t="s">
        <v>1107</v>
      </c>
      <c r="E2" s="1639" t="s">
        <v>1108</v>
      </c>
      <c r="F2" s="2657"/>
      <c r="G2" s="2648"/>
      <c r="H2" s="2649"/>
      <c r="I2" s="2325" t="s">
        <v>1132</v>
      </c>
      <c r="J2" s="2657"/>
      <c r="K2" s="2657"/>
      <c r="L2" s="2657"/>
      <c r="M2" s="2657"/>
      <c r="N2" s="2659"/>
      <c r="O2" s="2657"/>
      <c r="P2" s="2657"/>
    </row>
    <row r="3" spans="1:16" ht="15.75" thickBot="1">
      <c r="A3" s="3622" t="s">
        <v>1105</v>
      </c>
      <c r="B3" s="3622"/>
      <c r="C3" s="3622"/>
      <c r="D3" s="43">
        <f>'数据-基础表'!AY6</f>
        <v>122.87</v>
      </c>
      <c r="E3" s="43">
        <f>'数据-基础表'!AZ5</f>
        <v>188.54</v>
      </c>
      <c r="F3" s="2657"/>
      <c r="G3" s="1145"/>
      <c r="H3" s="1026" t="s">
        <v>1106</v>
      </c>
      <c r="I3" s="855">
        <f>ROUND('数据-基础表'!B3/'数据-基础表'!A3,2)</f>
        <v>1.53</v>
      </c>
      <c r="J3" s="2657"/>
      <c r="K3" s="2657"/>
      <c r="L3" s="2657"/>
      <c r="M3" s="2657"/>
      <c r="N3" s="2659"/>
      <c r="O3" s="2657"/>
      <c r="P3" s="2657"/>
    </row>
    <row r="4" spans="1:16" ht="15">
      <c r="A4" s="3623"/>
      <c r="B4" s="3624"/>
      <c r="C4" s="3625"/>
      <c r="D4" s="1641" t="s">
        <v>1107</v>
      </c>
      <c r="E4" s="1642" t="s">
        <v>1108</v>
      </c>
      <c r="F4" s="2657"/>
      <c r="G4" s="2650" t="s">
        <v>1133</v>
      </c>
      <c r="H4" s="1026" t="s">
        <v>1113</v>
      </c>
      <c r="I4" s="855">
        <f>ROUND(SUMIF('数据-基础表'!I9:AS9,"地上",'数据-基础表'!I5:AS5)/'数据-基础表'!A3,2)</f>
        <v>1.53</v>
      </c>
      <c r="J4" s="2657"/>
      <c r="K4" s="2657"/>
      <c r="L4" s="2657"/>
      <c r="M4" s="2657"/>
      <c r="N4" s="2659"/>
      <c r="O4" s="2657"/>
      <c r="P4" s="2657"/>
    </row>
    <row r="5" spans="1:16">
      <c r="A5" s="44" t="s">
        <v>1109</v>
      </c>
      <c r="B5" s="3626" t="s">
        <v>1110</v>
      </c>
      <c r="C5" s="3626"/>
      <c r="D5" s="45">
        <f>ROUND($D$3*E5/$E$3,2)</f>
        <v>0</v>
      </c>
      <c r="E5" s="46">
        <f>SUMIF('数据-基础表'!$11:$11,"住宅",'数据-基础表'!$5:$5)</f>
        <v>0</v>
      </c>
      <c r="F5" s="2657"/>
      <c r="G5" s="1145"/>
      <c r="H5" s="1026" t="s">
        <v>1106</v>
      </c>
      <c r="I5" s="855">
        <f>ROUND(E31/D31,2)</f>
        <v>1.53</v>
      </c>
      <c r="J5" s="2657"/>
      <c r="K5" s="2657"/>
      <c r="L5" s="2657"/>
      <c r="M5" s="2657"/>
      <c r="N5" s="2657"/>
      <c r="O5" s="2657"/>
      <c r="P5" s="2657"/>
    </row>
    <row r="6" spans="1:16" ht="15" thickBot="1">
      <c r="A6" s="1644"/>
      <c r="B6" s="3626" t="s">
        <v>1111</v>
      </c>
      <c r="C6" s="3626"/>
      <c r="D6" s="45">
        <f>ROUND($D$3*E6/$E$3,2)</f>
        <v>122.87</v>
      </c>
      <c r="E6" s="46">
        <f>E3-E5</f>
        <v>188.54</v>
      </c>
      <c r="F6" s="2657"/>
      <c r="G6" s="2651" t="s">
        <v>1112</v>
      </c>
      <c r="H6" s="1146" t="s">
        <v>1113</v>
      </c>
      <c r="I6" s="2652">
        <f>ROUND(F31/D31,2)</f>
        <v>1.53</v>
      </c>
      <c r="J6" s="2657"/>
      <c r="K6" s="2657"/>
      <c r="L6" s="2657"/>
      <c r="M6" s="2657"/>
      <c r="N6" s="2657"/>
      <c r="O6" s="2657"/>
      <c r="P6" s="2657"/>
    </row>
    <row r="7" spans="1:16" ht="15.75" thickBot="1">
      <c r="A7" s="3618"/>
      <c r="B7" s="3619"/>
      <c r="C7" s="362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122.87</v>
      </c>
      <c r="E8" s="48">
        <f>SUMIF('数据-基础表'!BB10:BK10,"地上",'数据-基础表'!BB5:BK5)</f>
        <v>188.54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122.87</v>
      </c>
      <c r="E16" s="50">
        <f>SUM(E8:E15)</f>
        <v>188.54</v>
      </c>
      <c r="F16" s="2657"/>
      <c r="G16" s="2658"/>
      <c r="H16" s="1648" t="s">
        <v>1135</v>
      </c>
      <c r="I16" s="1649"/>
      <c r="J16" s="1139"/>
      <c r="K16" s="3615" t="s">
        <v>1135</v>
      </c>
      <c r="L16" s="3616"/>
      <c r="M16" s="3616"/>
      <c r="N16" s="3616"/>
      <c r="O16" s="3616"/>
      <c r="P16" s="3617"/>
    </row>
    <row r="17" spans="1:19" ht="15">
      <c r="A17" s="1650" t="s">
        <v>1136</v>
      </c>
      <c r="B17" s="1651" t="s">
        <v>1137</v>
      </c>
      <c r="C17" s="1652" t="s">
        <v>1138</v>
      </c>
      <c r="D17" s="1653" t="s">
        <v>1126</v>
      </c>
      <c r="E17" s="1654" t="s">
        <v>1127</v>
      </c>
      <c r="F17" s="1655"/>
      <c r="G17" s="1656"/>
      <c r="H17" s="1657" t="s">
        <v>1139</v>
      </c>
      <c r="I17" s="1658" t="s">
        <v>1124</v>
      </c>
      <c r="J17" s="1139"/>
      <c r="K17" s="3612" t="s">
        <v>1140</v>
      </c>
      <c r="L17" s="3613"/>
      <c r="M17" s="3614"/>
      <c r="N17" s="3612" t="s">
        <v>1141</v>
      </c>
      <c r="O17" s="3613"/>
      <c r="P17" s="361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tr">
        <f>'数据-基础表'!I10</f>
        <v>商业</v>
      </c>
      <c r="D19" s="45">
        <f>ROUND($D$3*E19/$E$3,2)</f>
        <v>122.87</v>
      </c>
      <c r="E19" s="53">
        <f t="shared" ref="E19:E26" si="1">SUM(F19:G19)</f>
        <v>188.54</v>
      </c>
      <c r="F19" s="2792">
        <f>'数据-基础表'!I17</f>
        <v>188.54</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122.87</v>
      </c>
      <c r="S19" s="1027">
        <f t="shared" si="5"/>
        <v>188.54</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122.87</v>
      </c>
      <c r="E27" s="1141">
        <f>IF(SUM(E19:E26)='数据-基础表'!BA5,SUM(E19:E26),IF(F27="地上面积有误","面积有误","地下面积有误"))</f>
        <v>188.54</v>
      </c>
      <c r="F27" s="1140">
        <f>IF(SUM(F19:F26)=E8,SUM(F19:F26),"地上面积有误")</f>
        <v>188.54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122.87</v>
      </c>
      <c r="S27" s="1026">
        <f>IF(SUM(S19:S26)=$E$3,SUM(S19:S26),SUM(S19:S26)&amp;"误差"&amp;ROUND(SUM(S19:S26)-E3,2))</f>
        <v>188.54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122.87</v>
      </c>
      <c r="E31" s="676">
        <f>E27+E30</f>
        <v>188.54</v>
      </c>
      <c r="F31" s="677">
        <f>F27+F30</f>
        <v>188.54</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44853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30.83</v>
      </c>
      <c r="G6" s="65">
        <f>IF(ISERROR(ROUND(POWER(1+H6,D6-F6)*(POWER(1+H6,F6)-1)/(POWER(1+H6,D6)-1),3)),0,ROUND(POWER(1+H6,D6-F6)*(POWER(1+H6,F6)-1)/(POWER(1+H6,D6)-1),3))</f>
        <v>0</v>
      </c>
      <c r="H6" s="732"/>
      <c r="I6" s="732">
        <v>0.06</v>
      </c>
      <c r="J6" s="66"/>
      <c r="K6" s="1030">
        <f>SUMIF('数据-汇总表'!C$19:C$33,A6,'数据-汇总表'!E$19:E$33)</f>
        <v>188.54</v>
      </c>
      <c r="L6" s="733">
        <v>3500</v>
      </c>
      <c r="M6" s="67">
        <f t="shared" ref="M6:M14" si="0">ROUND(K6*L6/10000,0)</f>
        <v>66</v>
      </c>
      <c r="N6" s="731">
        <v>0.6</v>
      </c>
      <c r="O6" s="67" t="str">
        <f>IF($N$5="成新度","——",ROUND(M6*N6,0))</f>
        <v>——</v>
      </c>
      <c r="P6" s="68" t="str">
        <f>IF($N$5="成新度","——",M6-O6)</f>
        <v>——</v>
      </c>
      <c r="Q6" s="734">
        <v>0.15</v>
      </c>
      <c r="R6" s="69">
        <f ca="1">SUMIF('数据-汇总表'!C$19:C$33,A6,'数据-汇总表'!R$19:R$27)</f>
        <v>122.87</v>
      </c>
      <c r="S6" s="51">
        <f>IF('数据-汇总表'!$I$17="按面积比例",SUMIF('数据-汇总表'!C$19:C$33,A6,'数据-汇总表'!K$19:K$33),SUMIF('数据-汇总表'!C$19:C$33,A6,'数据-汇总表'!N$19:N$33))</f>
        <v>0</v>
      </c>
      <c r="T6" s="1172">
        <f>ROUND($L$14*S6/10000,0)</f>
        <v>0</v>
      </c>
      <c r="U6" s="3425">
        <f>'比较法-商业'!C48</f>
        <v>13.3</v>
      </c>
      <c r="V6" s="70">
        <v>0.02</v>
      </c>
      <c r="W6" s="70">
        <v>0.1</v>
      </c>
      <c r="X6" s="1040"/>
      <c r="Y6" s="71">
        <f>N6</f>
        <v>0.6</v>
      </c>
      <c r="Z6" s="72"/>
      <c r="AA6" s="66"/>
      <c r="AB6" s="66"/>
      <c r="AC6" s="1040"/>
      <c r="AD6" s="73"/>
      <c r="AE6" s="1041">
        <f ca="1">IF(AN6="",0,SUMIF(INDIRECT("'"&amp;AN6&amp;"'"&amp;"!E:E"),$AE$5,INDIRECT("'"&amp;AN6&amp;"'"&amp;"!F:F")))</f>
        <v>30.83</v>
      </c>
      <c r="AF6" s="1348"/>
      <c r="AG6" s="138">
        <f>IF(AF6="",0,AE6-AF6)</f>
        <v>0</v>
      </c>
      <c r="AH6" s="74">
        <f>'数据-汇总表'!F19</f>
        <v>188.54</v>
      </c>
      <c r="AI6" s="76">
        <v>365</v>
      </c>
      <c r="AJ6" s="77"/>
      <c r="AK6" s="78">
        <v>0.02</v>
      </c>
      <c r="AL6" s="79">
        <v>3.0000000000000001E-3</v>
      </c>
      <c r="AM6" s="80">
        <v>0.02</v>
      </c>
      <c r="AN6" s="1715" t="s">
        <v>3407</v>
      </c>
      <c r="AO6" s="52">
        <f ca="1">SUMIF(INDIRECT("'"&amp;AN6&amp;"'"&amp;"!A:A"),"总价",INDIRECT("'"&amp;AN6&amp;"'"&amp;"!B:B"))</f>
        <v>1164.1488999999999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188.54</v>
      </c>
      <c r="L16" s="93">
        <f>ROUND(M16*10000/SUM(K6:K14),0)</f>
        <v>3501</v>
      </c>
      <c r="M16" s="93">
        <f>SUM(M6:M14)</f>
        <v>66</v>
      </c>
      <c r="N16" s="94">
        <f>ROUND(SUMPRODUCT(M6:M14,N6:N14)/M16,3)</f>
        <v>0.6</v>
      </c>
      <c r="O16" s="93">
        <f>SUM(O6:O14)</f>
        <v>0</v>
      </c>
      <c r="P16" s="93">
        <f>SUM(P6:P14)</f>
        <v>0</v>
      </c>
      <c r="Q16" s="95">
        <f>ROUND(SUMPRODUCT(Q6:Q13,K6:K13)/SUMPRODUCT((Q6:Q13&gt;0)*(K6:K13)),2)</f>
        <v>0.15</v>
      </c>
      <c r="R16" s="1034">
        <f ca="1">SUM(R6:R13)</f>
        <v>122.87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2301</v>
      </c>
      <c r="D19" s="2673"/>
      <c r="E19" s="2670"/>
      <c r="F19" s="2670"/>
      <c r="G19" s="2670"/>
      <c r="H19" s="2670"/>
      <c r="I19" s="2670"/>
      <c r="J19" s="2670"/>
      <c r="K19" s="2669"/>
      <c r="L19" s="2669"/>
      <c r="M19" s="2668"/>
      <c r="N19" s="2668"/>
      <c r="O19" s="2668"/>
      <c r="P19" s="2668"/>
      <c r="Q19" s="2668"/>
      <c r="R19" s="2668"/>
      <c r="S19" s="2668"/>
      <c r="T19" s="3449" t="s">
        <v>3389</v>
      </c>
      <c r="U19" s="2668">
        <f>'数据-基础表'!I5</f>
        <v>621.96</v>
      </c>
      <c r="V19" s="3450">
        <f>'比较法-商业'!C48</f>
        <v>13.3</v>
      </c>
      <c r="W19" s="2668">
        <f>V19*U19</f>
        <v>8272.0680000000011</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2299</v>
      </c>
      <c r="D20" s="2673"/>
      <c r="E20" s="2670"/>
      <c r="F20" s="2670"/>
      <c r="G20" s="2670"/>
      <c r="H20" s="2670"/>
      <c r="I20" s="2670"/>
      <c r="J20" s="2670"/>
      <c r="K20" s="2669">
        <v>1</v>
      </c>
      <c r="L20" s="3449" t="s">
        <v>3408</v>
      </c>
      <c r="M20" s="2668">
        <v>60</v>
      </c>
      <c r="N20" s="2668">
        <v>62</v>
      </c>
      <c r="O20" s="3451">
        <f>1-(1-2%)*(2022-1960)/50</f>
        <v>-0.21520000000000006</v>
      </c>
      <c r="P20" s="2668"/>
      <c r="Q20" s="2668"/>
      <c r="R20" s="2668"/>
      <c r="S20" s="2668"/>
      <c r="T20" s="3449" t="s">
        <v>3390</v>
      </c>
      <c r="U20" s="2668">
        <f>'数据-基础表'!K5</f>
        <v>433.42000000000007</v>
      </c>
      <c r="V20" s="2668">
        <f>V19*V22</f>
        <v>9.31</v>
      </c>
      <c r="W20" s="2668">
        <f>V20*U20</f>
        <v>4035.1402000000007</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v>2</v>
      </c>
      <c r="L21" s="3449" t="s">
        <v>3408</v>
      </c>
      <c r="M21" s="2668">
        <v>60</v>
      </c>
      <c r="N21" s="2668">
        <v>62</v>
      </c>
      <c r="O21" s="3451">
        <f t="shared" ref="O21:O22" si="12">1-(1-2%)*(2022-1960)/50</f>
        <v>-0.21520000000000006</v>
      </c>
      <c r="P21" s="2668"/>
      <c r="Q21" s="2668"/>
      <c r="R21" s="2668"/>
      <c r="S21" s="2668"/>
      <c r="T21" s="2668"/>
      <c r="U21" s="2668">
        <f>SUM(U19:U20)</f>
        <v>1055.3800000000001</v>
      </c>
      <c r="V21" s="3449" t="s">
        <v>3391</v>
      </c>
      <c r="W21" s="2668">
        <f>SUM(W19:W20)</f>
        <v>12307.208200000001</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v>3</v>
      </c>
      <c r="L22" s="3449" t="s">
        <v>3408</v>
      </c>
      <c r="M22" s="2668">
        <v>60</v>
      </c>
      <c r="N22" s="2668">
        <v>62</v>
      </c>
      <c r="O22" s="3451">
        <f t="shared" si="12"/>
        <v>-0.21520000000000006</v>
      </c>
      <c r="P22" s="2668"/>
      <c r="Q22" s="2668"/>
      <c r="R22" s="2668"/>
      <c r="S22" s="2668"/>
      <c r="T22" s="2668"/>
      <c r="U22" s="2668"/>
      <c r="V22" s="3450">
        <v>0.7</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v>4</v>
      </c>
      <c r="L23" s="3449" t="s">
        <v>3408</v>
      </c>
      <c r="M23" s="2668">
        <v>90</v>
      </c>
      <c r="N23" s="2668">
        <v>32</v>
      </c>
      <c r="O23" s="3451">
        <f>1-(1-2%)*(2022-1990)/50</f>
        <v>0.37280000000000002</v>
      </c>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v>5</v>
      </c>
      <c r="L24" s="3449" t="s">
        <v>3408</v>
      </c>
      <c r="M24" s="2668">
        <v>80</v>
      </c>
      <c r="N24" s="2668">
        <v>42</v>
      </c>
      <c r="O24" s="3451">
        <f>1-(1-2%)*(2022-1980)/50</f>
        <v>0.17680000000000007</v>
      </c>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v>1</v>
      </c>
      <c r="U25" s="2668">
        <v>1.5206</v>
      </c>
      <c r="V25" s="2668">
        <f>U26/U25</f>
        <v>0.79389714586347504</v>
      </c>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v>2</v>
      </c>
      <c r="U26" s="2668">
        <v>1.2072000000000001</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2290</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300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3392</v>
      </c>
      <c r="B40" s="1078">
        <f ca="1">IF(A40="利息：取LPR",存贷款利率!G1,存贷款利率!G1+C40)</f>
        <v>4.3499999999999997E-2</v>
      </c>
      <c r="C40" s="2811">
        <v>7.0000000000000001E-3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24</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184</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t="s">
        <v>3409</v>
      </c>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627" t="s">
        <v>2282</v>
      </c>
      <c r="B1" s="3628"/>
      <c r="C1" s="3628"/>
      <c r="D1" s="3628"/>
      <c r="E1" s="3628"/>
      <c r="F1" s="3628"/>
      <c r="G1" s="362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2250</v>
      </c>
      <c r="C3" s="2463" t="s">
        <v>2280</v>
      </c>
      <c r="D3" s="2464"/>
      <c r="E3" s="2441" t="s">
        <v>2279</v>
      </c>
      <c r="F3" s="2465" t="s">
        <v>2251</v>
      </c>
      <c r="G3" s="2466" t="s">
        <v>2281</v>
      </c>
      <c r="H3" s="799"/>
      <c r="I3" s="799"/>
      <c r="J3" s="799"/>
      <c r="K3" s="799"/>
      <c r="L3" s="799"/>
      <c r="M3" s="799"/>
      <c r="N3" s="799"/>
      <c r="O3" s="799"/>
      <c r="P3" s="799"/>
      <c r="Q3" s="799"/>
      <c r="R3" s="799"/>
    </row>
    <row r="4" spans="1:29" ht="48">
      <c r="A4" s="2441"/>
      <c r="B4" s="323" t="s">
        <v>2252</v>
      </c>
      <c r="C4" s="3537" t="s">
        <v>3663</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60">
      <c r="A6" s="2441"/>
      <c r="B6" s="323" t="s">
        <v>2259</v>
      </c>
      <c r="C6" s="3538" t="s">
        <v>3664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60">
      <c r="A9" s="2441"/>
      <c r="B9" s="323" t="s">
        <v>2264</v>
      </c>
      <c r="C9" s="3537" t="s">
        <v>3666</v>
      </c>
      <c r="D9" s="2464"/>
      <c r="E9" s="2470"/>
      <c r="F9" s="2474"/>
      <c r="G9" s="2474"/>
      <c r="H9" s="799"/>
      <c r="I9" s="799"/>
      <c r="J9" s="799"/>
      <c r="K9" s="799"/>
      <c r="L9" s="799"/>
      <c r="M9" s="799"/>
      <c r="N9" s="799"/>
      <c r="O9" s="799"/>
      <c r="P9" s="799"/>
      <c r="Q9" s="799"/>
      <c r="R9" s="799"/>
    </row>
    <row r="10" spans="1:29" s="2479" customFormat="1" ht="15" thickBot="1">
      <c r="A10" s="2442"/>
      <c r="B10" s="2475" t="s">
        <v>2265</v>
      </c>
      <c r="C10" s="3539" t="s">
        <v>3665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2283</v>
      </c>
      <c r="B13" s="2482"/>
      <c r="C13" s="2482"/>
      <c r="D13" s="2480"/>
      <c r="E13" s="2482"/>
      <c r="F13" s="2482"/>
      <c r="G13" s="2482"/>
    </row>
    <row r="14" spans="1:29" ht="15" thickBot="1">
      <c r="A14" s="2492"/>
      <c r="B14" s="2492"/>
      <c r="C14" s="2493" t="s">
        <v>2266</v>
      </c>
      <c r="D14" s="2464"/>
      <c r="E14" s="2494"/>
      <c r="F14" s="2494"/>
      <c r="G14" s="2459" t="s">
        <v>2267</v>
      </c>
    </row>
    <row r="15" spans="1:29" ht="51">
      <c r="A15" s="2443" t="s">
        <v>2268</v>
      </c>
      <c r="B15" s="2495" t="s">
        <v>2250</v>
      </c>
      <c r="C15" s="2496" t="str">
        <f>C3</f>
        <v>估价对象周边居住用地比例、居住小区规模和社区发展完善程度，综合评价居住社区成熟度一般</v>
      </c>
      <c r="D15" s="2464"/>
      <c r="E15" s="2444" t="s">
        <v>2269</v>
      </c>
      <c r="F15" s="2495" t="s">
        <v>2270</v>
      </c>
      <c r="G15" s="2497" t="str">
        <f>G3</f>
        <v>估价对象位于XX开发区，园区建设成熟度XX，产业集聚程度XX</v>
      </c>
    </row>
    <row r="16" spans="1:29" ht="51">
      <c r="A16" s="2445"/>
      <c r="B16" s="2498" t="s">
        <v>2252</v>
      </c>
      <c r="C16" s="2499" t="str">
        <f>C4</f>
        <v>估价对象周边有庄胜广场、大栅栏商业街、前门大街、北京坊、正阳市场等，商业氛围成熟，商业繁华度好。</v>
      </c>
      <c r="D16" s="2464"/>
      <c r="E16" s="2446"/>
      <c r="F16" s="2500" t="s">
        <v>2253</v>
      </c>
      <c r="G16" s="2501" t="str">
        <f>G4</f>
        <v>估价对象周边道路状况、公共交通通达情况、停车便捷程度，综合评价交通便捷度较好</v>
      </c>
    </row>
    <row r="17" spans="1:18" ht="38.25">
      <c r="A17" s="2445"/>
      <c r="B17" s="2498" t="s">
        <v>2255</v>
      </c>
      <c r="C17" s="2499" t="str">
        <f>C5</f>
        <v>估价对象位于XX商圈，周边办公楼项目较多，入驻率高，办公集聚程度较好</v>
      </c>
      <c r="D17" s="2470"/>
      <c r="E17" s="2446"/>
      <c r="F17" s="2500" t="s">
        <v>2271</v>
      </c>
      <c r="G17" s="2502"/>
    </row>
    <row r="18" spans="1:18" ht="63.75">
      <c r="A18" s="2445"/>
      <c r="B18" s="2500" t="s">
        <v>2259</v>
      </c>
      <c r="C18" s="2501" t="str">
        <f>C6</f>
        <v>周边有2路、5路、14路、20路、66路、70路、93路等多条公交线路、地铁2号线（和平门站）及地铁7号线（虎坊桥站），交通较便捷</v>
      </c>
      <c r="D18" s="2470"/>
      <c r="E18" s="2446"/>
      <c r="F18" s="2500" t="s">
        <v>2262</v>
      </c>
      <c r="G18" s="2501" t="str">
        <f>G7</f>
        <v>该园区内是否有污染型企业，绿化情况，卫生条件，整体环境状况判断</v>
      </c>
    </row>
    <row r="19" spans="1:18" ht="25.5">
      <c r="A19" s="2445"/>
      <c r="B19" s="2500" t="s">
        <v>2272</v>
      </c>
      <c r="C19" s="2502"/>
      <c r="D19" s="2464"/>
      <c r="E19" s="2446"/>
      <c r="F19" s="323" t="s">
        <v>2257</v>
      </c>
      <c r="G19" s="2501" t="str">
        <f>G5</f>
        <v>估价对象所在区域公共配套设施齐备情况</v>
      </c>
    </row>
    <row r="20" spans="1:18" ht="63.75">
      <c r="A20" s="2445"/>
      <c r="B20" s="2500" t="s">
        <v>2273</v>
      </c>
      <c r="C20" s="2499" t="str">
        <f>C9</f>
        <v>区域自然环境：后孙公园、月亮湾公园、三里河公园等；人文环境：勅建火神庙、国家大剧院、天安门广场等；综合评价环境状况较好</v>
      </c>
      <c r="D20" s="2470"/>
      <c r="E20" s="2446"/>
      <c r="F20" s="323" t="s">
        <v>2260</v>
      </c>
      <c r="G20" s="2501" t="str">
        <f>G6</f>
        <v>估价对象所在区域基础设施水平</v>
      </c>
    </row>
    <row r="21" spans="1:18" ht="25.5">
      <c r="A21" s="2445"/>
      <c r="B21" s="323" t="s">
        <v>2257</v>
      </c>
      <c r="C21" s="2501" t="str">
        <f>C7</f>
        <v>估价对象所在区域公共配套设施齐备情况</v>
      </c>
      <c r="D21" s="2464"/>
      <c r="E21" s="2446"/>
      <c r="F21" s="2500" t="s">
        <v>2274</v>
      </c>
      <c r="G21" s="2503"/>
    </row>
    <row r="22" spans="1:18" ht="13.5" customHeight="1">
      <c r="A22" s="2445"/>
      <c r="B22" s="323" t="s">
        <v>2260</v>
      </c>
      <c r="C22" s="2501" t="str">
        <f>C8</f>
        <v>估价对象所在区域基础设施水平</v>
      </c>
      <c r="D22" s="2464"/>
      <c r="E22" s="2446"/>
      <c r="F22" s="2500" t="s">
        <v>2265</v>
      </c>
      <c r="G22" s="2502"/>
    </row>
    <row r="23" spans="1:18" s="799" customFormat="1" ht="15" thickBot="1">
      <c r="A23" s="2445"/>
      <c r="B23" s="2500" t="s">
        <v>2274</v>
      </c>
      <c r="C23" s="2503"/>
      <c r="D23" s="1741"/>
      <c r="E23" s="2447"/>
      <c r="F23" s="2504" t="s">
        <v>2275</v>
      </c>
      <c r="G23" s="2505"/>
      <c r="H23" s="2489"/>
      <c r="I23" s="2490"/>
      <c r="J23" s="2489"/>
      <c r="K23" s="2489"/>
      <c r="L23" s="2490"/>
      <c r="M23" s="2489"/>
      <c r="N23" s="2489"/>
      <c r="O23" s="2490"/>
      <c r="P23" s="2489"/>
      <c r="Q23" s="2489"/>
      <c r="R23" s="2491"/>
    </row>
    <row r="24" spans="1:18" s="799" customFormat="1" ht="15" thickBot="1">
      <c r="A24" s="2448"/>
      <c r="B24" s="2504" t="s">
        <v>2276</v>
      </c>
      <c r="C24" s="2506" t="str">
        <f>C10</f>
        <v>琉璃厂东街，为城市支路</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8" sqref="F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1055.3800000000001</v>
      </c>
      <c r="C1" s="2683"/>
      <c r="D1" s="2683"/>
      <c r="E1" s="2683"/>
      <c r="F1" s="2683"/>
      <c r="G1" s="2684"/>
      <c r="H1" s="2685"/>
      <c r="I1" s="2685"/>
      <c r="J1" s="2685"/>
      <c r="K1" s="2685"/>
    </row>
    <row r="2" spans="1:11" ht="16.5">
      <c r="A2" s="2510" t="s">
        <v>653</v>
      </c>
      <c r="B2" s="2510">
        <f>SUM(C14:C23)</f>
        <v>687.76</v>
      </c>
      <c r="C2" s="2683"/>
      <c r="D2" s="2683"/>
      <c r="E2" s="2683"/>
      <c r="F2" s="2683"/>
      <c r="G2" s="2684"/>
      <c r="H2" s="2685"/>
      <c r="I2" s="2685"/>
      <c r="J2" s="2685"/>
      <c r="K2" s="2685"/>
    </row>
    <row r="3" spans="1:11" ht="16.5">
      <c r="A3" s="2510" t="s">
        <v>662</v>
      </c>
      <c r="B3" s="2512">
        <f>项目基本情况!D3</f>
        <v>44853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1243</v>
      </c>
      <c r="C5" s="2510">
        <f ca="1">IF(B5=D14,结果表!H102,ROUND(B5*10000/$B$1,0))</f>
        <v>0</v>
      </c>
      <c r="D5" s="2510">
        <f ca="1">ROUND(B5*10000/$B$2,0)</f>
        <v>18073</v>
      </c>
      <c r="E5" s="2683"/>
      <c r="F5" s="2684"/>
      <c r="G5" s="2684"/>
      <c r="H5" s="2685"/>
      <c r="I5" s="2685"/>
      <c r="J5" s="2685"/>
      <c r="K5" s="2685"/>
    </row>
    <row r="6" spans="1:11" ht="16.5">
      <c r="A6" s="2510" t="s">
        <v>656</v>
      </c>
      <c r="B6" s="2510">
        <f>SUM(G14:G23)</f>
        <v>0</v>
      </c>
      <c r="C6" s="2510">
        <f ca="1">IF(B6=G14,结果表!H108,ROUND(B6*10000/$B$1,0))</f>
        <v>0</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3358</v>
      </c>
      <c r="D10" s="2510" t="s">
        <v>3359</v>
      </c>
      <c r="E10" s="3438"/>
      <c r="F10" s="3442" t="s">
        <v>3360</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'数据-基础表'!H5</f>
        <v>1055.3800000000001</v>
      </c>
      <c r="C14" s="2516">
        <f>'数据-基础表'!E6</f>
        <v>687.76</v>
      </c>
      <c r="D14" s="2516">
        <f ca="1">结果表!G19</f>
        <v>1243</v>
      </c>
      <c r="E14" s="2516">
        <f ca="1">ROUND(D14*10000/B14,0)</f>
        <v>11778</v>
      </c>
      <c r="F14" s="2516">
        <f ca="1">ROUND(D14*10000/C14,0)</f>
        <v>18073</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188.54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188.54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188.54</v>
      </c>
      <c r="E37" s="249">
        <f>'数据-取费表'!B35</f>
        <v>300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29" t="s">
        <v>1544</v>
      </c>
    </row>
    <row r="43" spans="1:7" ht="13.5" customHeight="1">
      <c r="A43" s="780" t="s">
        <v>347</v>
      </c>
      <c r="B43" s="215" t="s">
        <v>1545</v>
      </c>
      <c r="C43" s="238">
        <f ca="1">ROUND(IF('数据-取费表'!B22&lt;=1,C39*F22*'数据-取费表'!B21/2,C39*(POWER((1+F22),'数据-取费表'!B21/2)-1)),0)</f>
        <v>0</v>
      </c>
      <c r="D43" s="238"/>
      <c r="E43" s="238"/>
      <c r="F43" s="239"/>
      <c r="G43" s="3630"/>
    </row>
    <row r="44" spans="1:7" ht="13.5" customHeight="1">
      <c r="A44" s="780" t="s">
        <v>348</v>
      </c>
      <c r="B44" s="215" t="s">
        <v>1546</v>
      </c>
      <c r="C44" s="238">
        <f ca="1">ROUND(IF('数据-取费表'!B22&lt;=1,C40*F22*'数据-取费表'!B21/2,C40*(POWER((1+F22),'数据-取费表'!B21/2)-1)),4)</f>
        <v>4.0000000000000002E-4</v>
      </c>
      <c r="D44" s="238"/>
      <c r="E44" s="238"/>
      <c r="F44" s="239"/>
      <c r="G44" s="3631"/>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64</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90" zoomScaleNormal="100" zoomScaleSheetLayoutView="90"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3415</v>
      </c>
      <c r="H1" s="1750" t="str">
        <f>IF(G1="现房","——","估价对象范围")</f>
        <v>——</v>
      </c>
      <c r="I1" s="1751"/>
    </row>
    <row r="2" spans="1:12" ht="21.75" customHeight="1" thickBot="1">
      <c r="A2" s="3666" t="str">
        <f>项目基本情况!S2</f>
        <v>北京市西城区琉璃厂东街22、24号1-5幢房地产</v>
      </c>
      <c r="B2" s="3667"/>
      <c r="C2" s="3667"/>
      <c r="D2" s="3667"/>
      <c r="E2" s="3667"/>
      <c r="F2" s="3667"/>
      <c r="G2" s="3667"/>
      <c r="H2" s="3667"/>
      <c r="I2" s="3668"/>
    </row>
    <row r="3" spans="1:12" ht="12.75">
      <c r="A3" s="3670" t="s">
        <v>1264</v>
      </c>
      <c r="B3" s="3671"/>
      <c r="C3" s="3671"/>
      <c r="D3" s="3671"/>
      <c r="E3" s="3671"/>
      <c r="F3" s="3671"/>
      <c r="G3" s="3671"/>
      <c r="H3" s="3671"/>
      <c r="I3" s="3671"/>
    </row>
    <row r="4" spans="1:12" ht="14.25">
      <c r="A4" s="1754" t="s">
        <v>1265</v>
      </c>
      <c r="B4" s="1755" t="s">
        <v>1266</v>
      </c>
      <c r="C4" s="1756" t="s">
        <v>3414</v>
      </c>
      <c r="D4" s="1756" t="s">
        <v>3407</v>
      </c>
      <c r="E4" s="3672" t="s">
        <v>1267</v>
      </c>
      <c r="F4" s="3673"/>
      <c r="G4" s="3673"/>
      <c r="H4" s="3673"/>
      <c r="I4" s="367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6" t="s">
        <v>1268</v>
      </c>
      <c r="B5" s="3633">
        <v>25</v>
      </c>
      <c r="C5" s="3649">
        <v>5</v>
      </c>
      <c r="D5" s="3669">
        <f>10-C5</f>
        <v>5</v>
      </c>
      <c r="E5" s="131" t="s">
        <v>1269</v>
      </c>
      <c r="F5" s="1757"/>
      <c r="G5" s="1757"/>
      <c r="H5" s="1757"/>
      <c r="I5" s="1373"/>
    </row>
    <row r="6" spans="1:12" ht="12.75">
      <c r="A6" s="3646"/>
      <c r="B6" s="3633"/>
      <c r="C6" s="3650"/>
      <c r="D6" s="3669"/>
      <c r="E6" s="131" t="s">
        <v>1270</v>
      </c>
      <c r="F6" s="1757"/>
      <c r="G6" s="1757"/>
      <c r="H6" s="1757"/>
      <c r="I6" s="1373"/>
    </row>
    <row r="7" spans="1:12" ht="12.75">
      <c r="A7" s="3646"/>
      <c r="B7" s="3633"/>
      <c r="C7" s="3651"/>
      <c r="D7" s="3669"/>
      <c r="E7" s="131" t="s">
        <v>1271</v>
      </c>
      <c r="F7" s="1757"/>
      <c r="G7" s="1757"/>
      <c r="H7" s="1757"/>
      <c r="I7" s="1373"/>
    </row>
    <row r="8" spans="1:12" ht="12.75">
      <c r="A8" s="3646" t="s">
        <v>1272</v>
      </c>
      <c r="B8" s="3633">
        <v>15</v>
      </c>
      <c r="C8" s="3649"/>
      <c r="D8" s="3669"/>
      <c r="E8" s="131" t="s">
        <v>1273</v>
      </c>
      <c r="F8" s="1757"/>
      <c r="G8" s="1757"/>
      <c r="H8" s="1757"/>
      <c r="I8" s="1373"/>
    </row>
    <row r="9" spans="1:12" ht="12.75">
      <c r="A9" s="3646"/>
      <c r="B9" s="3633"/>
      <c r="C9" s="3651"/>
      <c r="D9" s="3669"/>
      <c r="E9" s="131" t="s">
        <v>1274</v>
      </c>
      <c r="F9" s="1757"/>
      <c r="G9" s="1757"/>
      <c r="H9" s="1757"/>
      <c r="I9" s="1373"/>
    </row>
    <row r="10" spans="1:12" ht="12.75">
      <c r="A10" s="3646" t="s">
        <v>1275</v>
      </c>
      <c r="B10" s="3633">
        <v>15</v>
      </c>
      <c r="C10" s="3649"/>
      <c r="D10" s="3669"/>
      <c r="E10" s="131" t="s">
        <v>1276</v>
      </c>
      <c r="F10" s="1757"/>
      <c r="G10" s="1757"/>
      <c r="H10" s="1757"/>
      <c r="I10" s="1373"/>
    </row>
    <row r="11" spans="1:12" ht="12.75">
      <c r="A11" s="3646"/>
      <c r="B11" s="3633"/>
      <c r="C11" s="3651"/>
      <c r="D11" s="3669"/>
      <c r="E11" s="131" t="s">
        <v>1277</v>
      </c>
      <c r="F11" s="1757"/>
      <c r="G11" s="1757"/>
      <c r="H11" s="1757"/>
      <c r="I11" s="1373"/>
    </row>
    <row r="12" spans="1:12" ht="12.75">
      <c r="A12" s="3646" t="s">
        <v>1278</v>
      </c>
      <c r="B12" s="3633">
        <v>15</v>
      </c>
      <c r="C12" s="3649"/>
      <c r="D12" s="3669"/>
      <c r="E12" s="131" t="s">
        <v>1279</v>
      </c>
      <c r="F12" s="1757"/>
      <c r="G12" s="1757"/>
      <c r="H12" s="1757"/>
      <c r="I12" s="1373"/>
    </row>
    <row r="13" spans="1:12" ht="12.75">
      <c r="A13" s="3646"/>
      <c r="B13" s="3633"/>
      <c r="C13" s="3651"/>
      <c r="D13" s="3669"/>
      <c r="E13" s="131" t="s">
        <v>1280</v>
      </c>
      <c r="F13" s="1757"/>
      <c r="G13" s="1757"/>
      <c r="H13" s="1757"/>
      <c r="I13" s="1373"/>
    </row>
    <row r="14" spans="1:12" ht="12.75">
      <c r="A14" s="3646" t="s">
        <v>1281</v>
      </c>
      <c r="B14" s="3633">
        <v>30</v>
      </c>
      <c r="C14" s="3649"/>
      <c r="D14" s="3669"/>
      <c r="E14" s="131" t="s">
        <v>1282</v>
      </c>
      <c r="F14" s="1757"/>
      <c r="G14" s="1757"/>
      <c r="H14" s="1757"/>
      <c r="I14" s="1373"/>
    </row>
    <row r="15" spans="1:12" ht="12.75">
      <c r="A15" s="3646"/>
      <c r="B15" s="3633"/>
      <c r="C15" s="3650"/>
      <c r="D15" s="3669"/>
      <c r="E15" s="131" t="s">
        <v>1283</v>
      </c>
      <c r="F15" s="1757"/>
      <c r="G15" s="1757"/>
      <c r="H15" s="1757"/>
      <c r="I15" s="1373"/>
    </row>
    <row r="16" spans="1:12" ht="12.75">
      <c r="A16" s="3646"/>
      <c r="B16" s="3633"/>
      <c r="C16" s="3651"/>
      <c r="D16" s="366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6" t="s">
        <v>2129</v>
      </c>
      <c r="F18" s="3657"/>
      <c r="G18" s="3657"/>
      <c r="H18" s="3657"/>
      <c r="I18" s="3657"/>
      <c r="K18" s="302" t="s">
        <v>1289</v>
      </c>
      <c r="L18" s="302">
        <f>IF(C1="",'数据-汇总表'!E3,SUMIF(项目类型,C1,'数据-汇总表'!E17:E26)+SUMIF(项目类型,C1,'数据-汇总表'!I17:I26))</f>
        <v>188.54</v>
      </c>
      <c r="M18" s="302">
        <f>IF(C1="",'数据-汇总表'!E3,SUMIF(项目类型,C1,'数据-汇总表'!E17:E26))</f>
        <v>188.54</v>
      </c>
    </row>
    <row r="19" spans="1:36" ht="15">
      <c r="A19" s="1761" t="s">
        <v>1290</v>
      </c>
      <c r="B19" s="1762" t="s">
        <v>1291</v>
      </c>
      <c r="C19" s="134">
        <f ca="1">SUMIF(INDIRECT("'"&amp;C4&amp;"'"&amp;"!A:A"),结果表!B19,INDIRECT("'"&amp;C4&amp;"'"&amp;"!B:B"))</f>
        <v>1321.3259</v>
      </c>
      <c r="D19" s="135">
        <f ca="1">SUMIF(INDIRECT("'"&amp;D4&amp;"'"&amp;"!A:A"),结果表!B19,INDIRECT("'"&amp;D4&amp;"'"&amp;"!B:B"))</f>
        <v>1164.1488999999999</v>
      </c>
      <c r="E19" s="1761" t="s">
        <v>1292</v>
      </c>
      <c r="F19" s="1762" t="s">
        <v>1291</v>
      </c>
      <c r="G19" s="136">
        <f ca="1">ROUND(C19*$C$18+D19*$D$18,0)</f>
        <v>1243</v>
      </c>
      <c r="H19" s="1763" t="s">
        <v>1293</v>
      </c>
      <c r="I19" s="129"/>
      <c r="K19" s="302" t="s">
        <v>1294</v>
      </c>
      <c r="L19" s="302">
        <f>IF(C1="",'数据-汇总表'!D3,SUMIF(项目类型,C1,'数据-汇总表'!D17:D26)+SUMIF(项目类型,C1,'数据-汇总表'!H17:H27))</f>
        <v>122.87</v>
      </c>
      <c r="M19" s="302">
        <f>IF(C1="",'数据-汇总表'!D3,SUMIF(项目类型,C1,'数据-汇总表'!D17:D26))</f>
        <v>122.87</v>
      </c>
    </row>
    <row r="20" spans="1:36" ht="15">
      <c r="A20" s="1764"/>
      <c r="B20" s="1026" t="s">
        <v>1295</v>
      </c>
      <c r="C20" s="137">
        <f ca="1">SUMIF(INDIRECT("'"&amp;C4&amp;"'"&amp;"!A:A"),结果表!B20,INDIRECT("'"&amp;C4&amp;"'"&amp;"!B:B"))</f>
        <v>70082</v>
      </c>
      <c r="D20" s="138">
        <f ca="1">SUMIF(INDIRECT("'"&amp;D4&amp;"'"&amp;"!A:A"),结果表!B20,INDIRECT("'"&amp;D4&amp;"'"&amp;"!B:B"))</f>
        <v>61745</v>
      </c>
      <c r="E20" s="1764"/>
      <c r="F20" s="1026" t="s">
        <v>1295</v>
      </c>
      <c r="G20" s="139">
        <f ca="1">ROUND(C20*$C$18+D20*$D$18,0)</f>
        <v>65914</v>
      </c>
      <c r="H20" s="808" t="s">
        <v>1296</v>
      </c>
      <c r="I20" s="129"/>
    </row>
    <row r="21" spans="1:36" ht="15" customHeight="1" thickBot="1">
      <c r="A21" s="828"/>
      <c r="B21" s="1765" t="s">
        <v>1297</v>
      </c>
      <c r="C21" s="719">
        <f ca="1">ROUND(C19*10000/L19,0)</f>
        <v>107539</v>
      </c>
      <c r="D21" s="720">
        <f ca="1">ROUND(D19*10000/L19,0)</f>
        <v>94746</v>
      </c>
      <c r="E21" s="828"/>
      <c r="F21" s="1765" t="s">
        <v>1297</v>
      </c>
      <c r="G21" s="140">
        <f ca="1">ROUND(G19*10000/L19,0)</f>
        <v>101164</v>
      </c>
      <c r="H21" s="1766" t="s">
        <v>1296</v>
      </c>
      <c r="I21" s="129"/>
    </row>
    <row r="22" spans="1:36" ht="15" thickBot="1">
      <c r="A22" s="1688" t="s">
        <v>1298</v>
      </c>
      <c r="B22" s="1767"/>
      <c r="C22" s="1768"/>
      <c r="D22" s="721">
        <f ca="1">IF(C19&lt;D19,D19/C19-1,C19/D19-1)</f>
        <v>0.1350145157548146</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65914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60" t="s">
        <v>1312</v>
      </c>
      <c r="B36" s="1787" t="s">
        <v>1313</v>
      </c>
      <c r="C36" s="145"/>
      <c r="D36" s="1788"/>
      <c r="E36" s="1789"/>
      <c r="F36" s="1790"/>
      <c r="G36" s="129"/>
      <c r="H36" s="129"/>
      <c r="I36" s="129"/>
    </row>
    <row r="37" spans="1:15" ht="15.75" thickBot="1">
      <c r="A37" s="3661"/>
      <c r="B37" s="1674" t="s">
        <v>1314</v>
      </c>
      <c r="C37" s="147"/>
      <c r="D37" s="1139"/>
      <c r="E37" s="1139"/>
      <c r="F37" s="1790"/>
      <c r="G37" s="129"/>
      <c r="H37" s="129"/>
      <c r="I37" s="129"/>
    </row>
    <row r="38" spans="1:15" ht="15.75" thickBot="1">
      <c r="A38" s="366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t="e">
        <f ca="1">ROUND(H101*F45,0)</f>
        <v>#REF!</v>
      </c>
      <c r="E45" s="156" t="s">
        <v>1327</v>
      </c>
      <c r="F45" s="157">
        <v>1</v>
      </c>
      <c r="G45" s="158" t="s">
        <v>1328</v>
      </c>
      <c r="H45" s="129"/>
      <c r="I45" s="129"/>
      <c r="J45" s="3715" t="s">
        <v>1329</v>
      </c>
      <c r="K45" s="3715"/>
      <c r="L45" s="3715"/>
      <c r="M45" s="3715"/>
      <c r="N45" s="3715"/>
      <c r="O45" s="3715"/>
    </row>
    <row r="46" spans="1:15" ht="14.25" customHeight="1">
      <c r="A46" s="3634" t="s">
        <v>1330</v>
      </c>
      <c r="B46" s="3635"/>
      <c r="C46" s="3635"/>
      <c r="D46" s="3635"/>
      <c r="E46" s="3635"/>
      <c r="F46" s="3635"/>
      <c r="G46" s="3636"/>
      <c r="H46" s="1806"/>
      <c r="I46" s="159"/>
      <c r="J46" s="2521">
        <v>1</v>
      </c>
      <c r="K46" s="3696" t="s">
        <v>1331</v>
      </c>
      <c r="L46" s="3696"/>
      <c r="M46" s="3716"/>
      <c r="N46" s="3716"/>
      <c r="O46" s="3716"/>
    </row>
    <row r="47" spans="1:15" ht="12" customHeight="1">
      <c r="A47" s="160" t="s">
        <v>1332</v>
      </c>
      <c r="B47" s="161"/>
      <c r="C47" s="162"/>
      <c r="D47" s="1087" t="s">
        <v>1333</v>
      </c>
      <c r="E47" s="302" t="s">
        <v>1334</v>
      </c>
      <c r="F47" s="163" t="s">
        <v>1335</v>
      </c>
      <c r="G47" s="2544" t="s">
        <v>1336</v>
      </c>
      <c r="H47" s="2545"/>
      <c r="I47" s="159"/>
      <c r="J47" s="2521">
        <v>2</v>
      </c>
      <c r="K47" s="3696" t="s">
        <v>1337</v>
      </c>
      <c r="L47" s="3696"/>
      <c r="M47" s="3717">
        <f>'数据-取费表'!B2</f>
        <v>44853</v>
      </c>
      <c r="N47" s="3717"/>
      <c r="O47" s="3717"/>
    </row>
    <row r="48" spans="1:15" ht="25.5">
      <c r="A48" s="3665" t="s">
        <v>1338</v>
      </c>
      <c r="B48" s="3648"/>
      <c r="C48" s="364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96" t="s">
        <v>1340</v>
      </c>
      <c r="L48" s="3696"/>
      <c r="M48" s="3718" t="e">
        <f ca="1">H101</f>
        <v>#REF!</v>
      </c>
      <c r="N48" s="3718"/>
      <c r="O48" s="3718"/>
    </row>
    <row r="49" spans="1:35" ht="25.5" customHeight="1">
      <c r="A49" s="2333" t="s">
        <v>1341</v>
      </c>
      <c r="B49" s="3632" t="s">
        <v>1342</v>
      </c>
      <c r="C49" s="3632"/>
      <c r="D49" s="1590">
        <v>0</v>
      </c>
      <c r="E49" s="324" t="s">
        <v>1343</v>
      </c>
      <c r="F49" s="2423" t="s">
        <v>28</v>
      </c>
      <c r="G49" s="3702"/>
      <c r="H49" s="2310" t="s">
        <v>2132</v>
      </c>
      <c r="I49" s="2311"/>
      <c r="J49" s="2521">
        <v>4</v>
      </c>
      <c r="K49" s="3696" t="str">
        <f>IF(项目基本情况!E8="房地产抵押价值","房地产抵押价值","抵押担保权已注销时的房地产抵押价值")</f>
        <v>抵押担保权已注销时的房地产抵押价值</v>
      </c>
      <c r="L49" s="3696"/>
      <c r="M49" s="3718" t="str">
        <f>IF(项目基本情况!E8="房地产抵押价值",H107,H109)</f>
        <v>——</v>
      </c>
      <c r="N49" s="3718"/>
      <c r="O49" s="3718"/>
    </row>
    <row r="50" spans="1:35" ht="25.5" customHeight="1">
      <c r="A50" s="2549"/>
      <c r="B50" s="3632" t="s">
        <v>1344</v>
      </c>
      <c r="C50" s="3632"/>
      <c r="D50" s="2550"/>
      <c r="E50" s="332"/>
      <c r="F50" s="2423"/>
      <c r="G50" s="3703"/>
      <c r="H50" s="2312" t="s">
        <v>2133</v>
      </c>
      <c r="I50" s="2311"/>
      <c r="J50" s="3715" t="s">
        <v>1345</v>
      </c>
      <c r="K50" s="3715"/>
      <c r="L50" s="3715"/>
      <c r="M50" s="3715"/>
      <c r="N50" s="3715"/>
      <c r="O50" s="3715"/>
    </row>
    <row r="51" spans="1:35" ht="20.45" customHeight="1">
      <c r="A51" s="2551"/>
      <c r="B51" s="3632" t="s">
        <v>1346</v>
      </c>
      <c r="C51" s="3632"/>
      <c r="D51" s="1087"/>
      <c r="E51" s="327"/>
      <c r="F51" s="2423"/>
      <c r="G51" s="3704"/>
      <c r="H51" s="2312" t="s">
        <v>2134</v>
      </c>
      <c r="I51" s="2311"/>
      <c r="J51" s="2522" t="s">
        <v>1347</v>
      </c>
      <c r="K51" s="3696" t="s">
        <v>1348</v>
      </c>
      <c r="L51" s="3696"/>
      <c r="M51" s="2522" t="s">
        <v>1349</v>
      </c>
      <c r="N51" s="2522" t="s">
        <v>1350</v>
      </c>
      <c r="O51" s="2522" t="s">
        <v>1351</v>
      </c>
    </row>
    <row r="52" spans="1:35" ht="24" customHeight="1">
      <c r="A52" s="2335" t="s">
        <v>1352</v>
      </c>
      <c r="B52" s="3632" t="s">
        <v>1353</v>
      </c>
      <c r="C52" s="3632"/>
      <c r="D52" s="1087" t="e">
        <f ca="1">ROUND(D45*'数据-取费表'!B41/(1+'数据-取费表'!C42),0)</f>
        <v>#REF!</v>
      </c>
      <c r="E52" s="2334" t="s">
        <v>1354</v>
      </c>
      <c r="F52" s="2552">
        <f>'数据-取费表'!B41</f>
        <v>5.6000000000000001E-2</v>
      </c>
      <c r="G52" s="2553"/>
      <c r="H52" s="2542"/>
      <c r="I52" s="1807"/>
      <c r="J52" s="2521">
        <v>1</v>
      </c>
      <c r="K52" s="3697" t="s">
        <v>1355</v>
      </c>
      <c r="L52" s="3697"/>
      <c r="M52" s="2523" t="b">
        <f>D48</f>
        <v>0</v>
      </c>
      <c r="N52" s="2521" t="str">
        <f>E48</f>
        <v>销售额×税（费）率</v>
      </c>
      <c r="O52" s="2524">
        <f>F48</f>
        <v>5.6000000000000001E-2</v>
      </c>
    </row>
    <row r="53" spans="1:35" ht="12" customHeight="1">
      <c r="A53" s="2335" t="s">
        <v>1356</v>
      </c>
      <c r="B53" s="3658" t="s">
        <v>2287</v>
      </c>
      <c r="C53" s="3659"/>
      <c r="D53" s="1087" t="e">
        <f ca="1">ROUND(D45*'数据-取费表'!B41/(1+'数据-取费表'!C42),0)</f>
        <v>#REF!</v>
      </c>
      <c r="E53" s="2334" t="s">
        <v>1354</v>
      </c>
      <c r="F53" s="2552">
        <f>'数据-取费表'!B41</f>
        <v>5.6000000000000001E-2</v>
      </c>
      <c r="G53" s="2553"/>
      <c r="H53" s="2542"/>
      <c r="I53" s="1807"/>
      <c r="J53" s="2521">
        <v>2</v>
      </c>
      <c r="K53" s="3697" t="s">
        <v>1357</v>
      </c>
      <c r="L53" s="3697"/>
      <c r="M53" s="2523" t="e">
        <f t="shared" ref="M53:O54" ca="1" si="0">D55</f>
        <v>#REF!</v>
      </c>
      <c r="N53" s="2521" t="str">
        <f t="shared" si="0"/>
        <v>销售额×税（费）率</v>
      </c>
      <c r="O53" s="2524" t="str">
        <f t="shared" si="0"/>
        <v>免征</v>
      </c>
    </row>
    <row r="54" spans="1:35" ht="12" customHeight="1">
      <c r="A54" s="2335" t="s">
        <v>1358</v>
      </c>
      <c r="B54" s="3658" t="s">
        <v>2288</v>
      </c>
      <c r="C54" s="3659"/>
      <c r="D54" s="1087" t="e">
        <f ca="1">C68</f>
        <v>#REF!</v>
      </c>
      <c r="E54" s="327" t="s">
        <v>1359</v>
      </c>
      <c r="F54" s="2552">
        <f>'数据-取费表'!B41</f>
        <v>5.6000000000000001E-2</v>
      </c>
      <c r="G54" s="2553"/>
      <c r="H54" s="2554"/>
      <c r="I54" s="1807"/>
      <c r="J54" s="2521">
        <v>3</v>
      </c>
      <c r="K54" s="3697" t="s">
        <v>1360</v>
      </c>
      <c r="L54" s="3697"/>
      <c r="M54" s="2523" t="e">
        <f t="shared" ca="1" si="0"/>
        <v>#REF!</v>
      </c>
      <c r="N54" s="2521" t="str">
        <f t="shared" si="0"/>
        <v>增值额×税（费）率</v>
      </c>
      <c r="O54" s="2525" t="str">
        <f t="shared" si="0"/>
        <v>免征</v>
      </c>
    </row>
    <row r="55" spans="1:35" ht="24" customHeight="1">
      <c r="A55" s="3647" t="s">
        <v>1361</v>
      </c>
      <c r="B55" s="3648"/>
      <c r="C55" s="3648"/>
      <c r="D55" s="2324" t="e">
        <f ca="1">IF(H55="个人住宅",0,ROUND(D45*I55,0))</f>
        <v>#REF!</v>
      </c>
      <c r="E55" s="2334" t="s">
        <v>1362</v>
      </c>
      <c r="F55" s="2552" t="str">
        <f>IF(H55="正常",I55,"免征")</f>
        <v>免征</v>
      </c>
      <c r="G55" s="2553"/>
      <c r="H55" s="2548"/>
      <c r="I55" s="165">
        <f>'数据-取费表'!B49</f>
        <v>5.0000000000000001E-4</v>
      </c>
      <c r="J55" s="2521">
        <f>IF(H59="非个人房产","",4)</f>
        <v>4</v>
      </c>
      <c r="K55" s="3697" t="str">
        <f>IF(H59="非个人房产","——","个人所得税")</f>
        <v>个人所得税</v>
      </c>
      <c r="L55" s="3697"/>
      <c r="M55" s="2526" t="e">
        <f ca="1">D59</f>
        <v>#REF!</v>
      </c>
      <c r="N55" s="2040" t="str">
        <f>E59</f>
        <v>差额计税</v>
      </c>
      <c r="O55" s="2527">
        <f>F59</f>
        <v>0.01</v>
      </c>
    </row>
    <row r="56" spans="1:35" ht="24.75">
      <c r="A56" s="3647" t="s">
        <v>1363</v>
      </c>
      <c r="B56" s="3648"/>
      <c r="C56" s="3648"/>
      <c r="D56" s="2324" t="e">
        <f ca="1">IF(H56="个人住宅",D57,D58)</f>
        <v>#REF!</v>
      </c>
      <c r="E56" s="2334" t="s">
        <v>1364</v>
      </c>
      <c r="F56" s="2552" t="str">
        <f>IF(H56="正常",F58,"免征")</f>
        <v>免征</v>
      </c>
      <c r="G56" s="2555" t="s">
        <v>1365</v>
      </c>
      <c r="H56" s="2556"/>
      <c r="I56" s="1808"/>
      <c r="J56" s="2521" t="str">
        <f>IF(项目基本情况!K6="上海银行",IF(J55="",4,J55+1),"")</f>
        <v/>
      </c>
      <c r="K56" s="3720" t="str">
        <f>IF(项目基本情况!K6="上海银行","其他处置费用","")</f>
        <v/>
      </c>
      <c r="L56" s="3721"/>
      <c r="M56" s="2523" t="str">
        <f>IF(项目基本情况!K6="上海银行",M69,"")</f>
        <v/>
      </c>
      <c r="N56" s="3720" t="str">
        <f>IF(项目基本情况!K6="上海银行","包含处置中涉及的律师、诉讼、拍卖、评估等费用","")</f>
        <v/>
      </c>
      <c r="O56" s="3723"/>
    </row>
    <row r="57" spans="1:35" ht="12.75">
      <c r="A57" s="2335" t="s">
        <v>1341</v>
      </c>
      <c r="B57" s="3658" t="s">
        <v>1366</v>
      </c>
      <c r="C57" s="3659"/>
      <c r="D57" s="1590">
        <v>0</v>
      </c>
      <c r="E57" s="324" t="s">
        <v>1343</v>
      </c>
      <c r="F57" s="302"/>
      <c r="G57" s="2553"/>
      <c r="H57" s="2557"/>
      <c r="I57" s="1808"/>
      <c r="J57" s="3697">
        <f>IF(AND(J55="",J56=""),4,IF(项目基本情况!K6="上海银行",结果表!J56+1,结果表!J55+1))</f>
        <v>5</v>
      </c>
      <c r="K57" s="3697" t="s">
        <v>1367</v>
      </c>
      <c r="L57" s="2528" t="s">
        <v>1368</v>
      </c>
      <c r="M57" s="2529"/>
      <c r="N57" s="2530">
        <f ca="1">SUMIF(M52:M56,"&lt;9e307")</f>
        <v>0</v>
      </c>
      <c r="O57" s="2531"/>
      <c r="P57" s="2687" t="e">
        <f ca="1">N57/M49</f>
        <v>#VALUE!</v>
      </c>
    </row>
    <row r="58" spans="1:35" ht="24.75">
      <c r="A58" s="2335" t="s">
        <v>1352</v>
      </c>
      <c r="B58" s="3658" t="s">
        <v>1369</v>
      </c>
      <c r="C58" s="3632"/>
      <c r="D58" s="2324" t="e">
        <f ca="1">IF(H58="转让取得",C81,C97)</f>
        <v>#REF!</v>
      </c>
      <c r="E58" s="2334" t="s">
        <v>1364</v>
      </c>
      <c r="F58" s="302" t="s">
        <v>28</v>
      </c>
      <c r="G58" s="2553"/>
      <c r="H58" s="2556"/>
      <c r="I58" s="1808"/>
      <c r="J58" s="3697"/>
      <c r="K58" s="3697"/>
      <c r="L58" s="2528" t="s">
        <v>1370</v>
      </c>
      <c r="M58" s="2532"/>
      <c r="N58" s="2533" t="str">
        <f ca="1">NUMBERSTRING(INT(N57*10000),2)&amp;"元整"</f>
        <v>零元整</v>
      </c>
      <c r="O58" s="2534"/>
    </row>
    <row r="59" spans="1:35" ht="24.75" thickBot="1">
      <c r="A59" s="3700" t="s">
        <v>1371</v>
      </c>
      <c r="B59" s="3701"/>
      <c r="C59" s="370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2135</v>
      </c>
      <c r="J59" s="3698">
        <f>J57+1</f>
        <v>6</v>
      </c>
      <c r="K59" s="3697" t="s">
        <v>1372</v>
      </c>
      <c r="L59" s="2521" t="s">
        <v>1368</v>
      </c>
      <c r="M59" s="2535"/>
      <c r="N59" s="2536" t="e">
        <f ca="1">M49-N57</f>
        <v>#VALUE!</v>
      </c>
      <c r="O59" s="2537"/>
    </row>
    <row r="60" spans="1:35" ht="12" customHeight="1">
      <c r="A60" s="1809"/>
      <c r="B60" s="1747"/>
      <c r="C60" s="1747"/>
      <c r="D60" s="1747"/>
      <c r="E60" s="1578"/>
      <c r="F60" s="1808"/>
      <c r="G60" s="1808"/>
      <c r="H60" s="1810"/>
      <c r="I60" s="129"/>
      <c r="J60" s="3699"/>
      <c r="K60" s="3697"/>
      <c r="L60" s="2528" t="s">
        <v>1370</v>
      </c>
      <c r="M60" s="2532"/>
      <c r="N60" s="2533" t="e">
        <f ca="1">NUMBERSTRING(INT(N59*10000),2)&amp;"元整"</f>
        <v>#VALUE!</v>
      </c>
      <c r="O60" s="2534"/>
    </row>
    <row r="61" spans="1:35" ht="13.5" thickBot="1">
      <c r="A61" s="3645" t="s">
        <v>1373</v>
      </c>
      <c r="B61" s="3645"/>
      <c r="C61" s="3645"/>
      <c r="D61" s="3645"/>
      <c r="E61" s="3645"/>
      <c r="F61" s="1808"/>
      <c r="G61" s="1808"/>
      <c r="H61" s="1810"/>
      <c r="I61" s="129"/>
      <c r="J61" s="2521">
        <f>J59+1</f>
        <v>7</v>
      </c>
      <c r="K61" s="3697" t="s">
        <v>1374</v>
      </c>
      <c r="L61" s="3697"/>
      <c r="M61" s="2538"/>
      <c r="N61" s="2539" t="e">
        <f ca="1">ROUND(N59*10000/'数据-汇总表'!E3,0)</f>
        <v>#VALUE!</v>
      </c>
      <c r="O61" s="2540"/>
    </row>
    <row r="62" spans="1:35" ht="12.75">
      <c r="A62" s="3663" t="s">
        <v>1375</v>
      </c>
      <c r="B62" s="3664"/>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2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2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2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2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2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72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2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4" t="s">
        <v>1394</v>
      </c>
      <c r="B70" s="3685"/>
      <c r="C70" s="3685"/>
      <c r="D70" s="3685"/>
      <c r="E70" s="3685"/>
      <c r="F70" s="3685"/>
      <c r="G70" s="3685"/>
      <c r="H70" s="368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3" t="s">
        <v>1375</v>
      </c>
      <c r="B71" s="366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58" t="s">
        <v>1402</v>
      </c>
      <c r="F76" s="3632"/>
      <c r="G76" s="3632"/>
      <c r="H76" s="36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42" t="s">
        <v>1406</v>
      </c>
      <c r="F78" s="3643"/>
      <c r="G78" s="3643"/>
      <c r="H78" s="36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4" t="s">
        <v>1410</v>
      </c>
      <c r="B83" s="3685"/>
      <c r="C83" s="3685"/>
      <c r="D83" s="3685"/>
      <c r="E83" s="3685"/>
      <c r="F83" s="3685"/>
      <c r="G83" s="3685"/>
      <c r="H83" s="36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3" t="s">
        <v>1375</v>
      </c>
      <c r="B84" s="366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24" t="s">
        <v>2127</v>
      </c>
      <c r="H90" s="3725"/>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42" t="s">
        <v>1419</v>
      </c>
      <c r="F91" s="3643"/>
      <c r="G91" s="364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42" t="s">
        <v>1422</v>
      </c>
      <c r="F92" s="3643"/>
      <c r="G92" s="3643"/>
      <c r="H92" s="3652"/>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42" t="s">
        <v>1406</v>
      </c>
      <c r="F93" s="3643"/>
      <c r="G93" s="3643"/>
      <c r="H93" s="365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3" t="s">
        <v>1428</v>
      </c>
      <c r="B100" s="3624"/>
      <c r="C100" s="3624"/>
      <c r="D100" s="3644"/>
      <c r="E100" s="3624" t="s">
        <v>1429</v>
      </c>
      <c r="F100" s="3624"/>
      <c r="G100" s="3624"/>
      <c r="H100" s="3644"/>
      <c r="I100" s="129"/>
    </row>
    <row r="101" spans="1:35" ht="18.75" customHeight="1">
      <c r="A101" s="3705" t="s">
        <v>1430</v>
      </c>
      <c r="B101" s="3706"/>
      <c r="C101" s="2583" t="str">
        <f>C4</f>
        <v>成本法 (元)</v>
      </c>
      <c r="D101" s="2584" t="str">
        <f>D4</f>
        <v>收益法 (元)</v>
      </c>
      <c r="E101" s="3719" t="s">
        <v>1431</v>
      </c>
      <c r="F101" s="3676"/>
      <c r="G101" s="1827" t="s">
        <v>1432</v>
      </c>
      <c r="H101" s="2593" t="e">
        <f ca="1">H118</f>
        <v>#REF!</v>
      </c>
      <c r="I101" s="129"/>
    </row>
    <row r="102" spans="1:35" ht="18.75" customHeight="1">
      <c r="A102" s="3678" t="s">
        <v>1433</v>
      </c>
      <c r="B102" s="2582" t="s">
        <v>1432</v>
      </c>
      <c r="C102" s="2583">
        <f ca="1">IF(D32="楼面单价",ROUND(C19,0),C19)</f>
        <v>1321.3259</v>
      </c>
      <c r="D102" s="2584">
        <f ca="1">IF(D32="楼面单价",ROUND(D19,0),D19)</f>
        <v>1164.1488999999999</v>
      </c>
      <c r="E102" s="3719"/>
      <c r="F102" s="3676"/>
      <c r="G102" s="1827" t="s">
        <v>1434</v>
      </c>
      <c r="H102" s="2553" t="e">
        <f ca="1">I118</f>
        <v>#REF!</v>
      </c>
      <c r="I102" s="129"/>
    </row>
    <row r="103" spans="1:35" ht="42.75" customHeight="1">
      <c r="A103" s="3678"/>
      <c r="B103" s="2582" t="s">
        <v>1434</v>
      </c>
      <c r="C103" s="2585">
        <f ca="1">C20</f>
        <v>70082</v>
      </c>
      <c r="D103" s="2586">
        <f ca="1">D20</f>
        <v>61745</v>
      </c>
      <c r="E103" s="3713" t="s">
        <v>1435</v>
      </c>
      <c r="F103" s="3714"/>
      <c r="G103" s="1828" t="s">
        <v>1436</v>
      </c>
      <c r="H103" s="2593">
        <f>IF(D36="正常操作",H104+H105+H106,H105+H106)</f>
        <v>0</v>
      </c>
      <c r="I103" s="129"/>
    </row>
    <row r="104" spans="1:35" ht="18.75" customHeight="1">
      <c r="A104" s="367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7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75" t="str">
        <f>IF(项目基本情况!E8="已注销","——","3.房地产抵押价值")</f>
        <v>3.房地产抵押价值</v>
      </c>
      <c r="F107" s="3676"/>
      <c r="G107" s="1827" t="s">
        <v>1432</v>
      </c>
      <c r="H107" s="2593" t="e">
        <f ca="1">IF(E107="——","——",H101-H103)</f>
        <v>#REF!</v>
      </c>
      <c r="I107" s="129"/>
    </row>
    <row r="108" spans="1:35" ht="18.75" customHeight="1">
      <c r="A108" s="129"/>
      <c r="B108" s="129"/>
      <c r="C108" s="129"/>
      <c r="D108" s="129"/>
      <c r="E108" s="3675"/>
      <c r="F108" s="3676"/>
      <c r="G108" s="1827" t="s">
        <v>1434</v>
      </c>
      <c r="H108" s="2553">
        <f ca="1">IF(H107=H101,H102,ROUND(H107*10000/'数据-汇总表'!E3,0))</f>
        <v>0</v>
      </c>
      <c r="I108" s="129"/>
    </row>
    <row r="109" spans="1:35" ht="18.75" customHeight="1">
      <c r="A109" s="129"/>
      <c r="B109" s="129"/>
      <c r="C109" s="129"/>
      <c r="D109" s="129"/>
      <c r="E109" s="3675" t="str">
        <f>IF(项目基本情况!E8="已注销及未注销","4.抵押担保权已注销时的房地产抵押价值",IF(项目基本情况!E8="已注销","3.抵押担保权已注销时的房地产抵押价值","——"))</f>
        <v>——</v>
      </c>
      <c r="F109" s="3676"/>
      <c r="G109" s="1827" t="s">
        <v>1432</v>
      </c>
      <c r="H109" s="2596" t="str">
        <f>IF(E109="——","——",H101-H105-H106)</f>
        <v>——</v>
      </c>
      <c r="I109" s="129"/>
    </row>
    <row r="110" spans="1:35" ht="18.75" customHeight="1">
      <c r="A110" s="129"/>
      <c r="B110" s="129"/>
      <c r="C110" s="129"/>
      <c r="D110" s="129"/>
      <c r="E110" s="3675"/>
      <c r="F110" s="3676"/>
      <c r="G110" s="1827" t="s">
        <v>1434</v>
      </c>
      <c r="H110" s="2553" t="str">
        <f>IF(H109="——","——",ROUND(H109*10000/'数据-汇总表'!E3,0))</f>
        <v>——</v>
      </c>
      <c r="I110" s="129"/>
    </row>
    <row r="111" spans="1:35" ht="18.75" customHeight="1">
      <c r="A111" s="129"/>
      <c r="B111" s="129"/>
      <c r="C111" s="129"/>
      <c r="D111" s="129"/>
      <c r="E111" s="3707" t="str">
        <f>IF(项目基本情况!E9="抵押净值",IF(OR(项目基本情况!E8="已注销",项目基本情况!E8="房地产抵押价值"),"4.抵押净值","5.抵押净值"),"——")</f>
        <v>——</v>
      </c>
      <c r="F111" s="3677"/>
      <c r="G111" s="1827" t="s">
        <v>1432</v>
      </c>
      <c r="H111" s="2593" t="str">
        <f>IF(E111="——","——",N59)</f>
        <v>——</v>
      </c>
      <c r="I111" s="129"/>
    </row>
    <row r="112" spans="1:35" ht="18.75" customHeight="1" thickBot="1">
      <c r="A112" s="129"/>
      <c r="B112" s="129"/>
      <c r="C112" s="129"/>
      <c r="D112" s="129"/>
      <c r="E112" s="3708"/>
      <c r="F112" s="3709"/>
      <c r="G112" s="1830" t="s">
        <v>1434</v>
      </c>
      <c r="H112" s="2597" t="str">
        <f>IF(E111="——","——",N61)</f>
        <v>——</v>
      </c>
      <c r="I112" s="129"/>
    </row>
    <row r="113" spans="1:27" ht="18.75" customHeight="1">
      <c r="A113" s="129"/>
      <c r="B113" s="129"/>
      <c r="C113" s="129"/>
      <c r="D113" s="129"/>
      <c r="E113" s="3680" t="s">
        <v>1440</v>
      </c>
      <c r="F113" s="3680"/>
      <c r="G113" s="3680"/>
      <c r="H113" s="3680"/>
      <c r="I113" s="129"/>
    </row>
    <row r="114" spans="1:27" ht="3.75" customHeight="1">
      <c r="A114" s="1747"/>
      <c r="B114" s="1747"/>
      <c r="C114" s="1747"/>
      <c r="D114" s="1747"/>
      <c r="E114" s="1809"/>
      <c r="F114" s="1809"/>
      <c r="G114" s="1809"/>
      <c r="H114" s="1809"/>
      <c r="I114" s="1747"/>
    </row>
    <row r="115" spans="1:27" ht="18.75" customHeight="1">
      <c r="A115" s="3690" t="s">
        <v>1442</v>
      </c>
      <c r="B115" s="3691"/>
      <c r="C115" s="3691"/>
      <c r="D115" s="3691"/>
      <c r="E115" s="3691"/>
      <c r="F115" s="3691"/>
      <c r="G115" s="3691"/>
      <c r="H115" s="3691"/>
      <c r="I115" s="3692"/>
    </row>
    <row r="116" spans="1:27" ht="27" customHeight="1">
      <c r="A116" s="3646" t="s">
        <v>1443</v>
      </c>
      <c r="B116" s="3681" t="s">
        <v>1444</v>
      </c>
      <c r="C116" s="3681" t="s">
        <v>1445</v>
      </c>
      <c r="D116" s="3694" t="s">
        <v>1446</v>
      </c>
      <c r="E116" s="3695"/>
      <c r="F116" s="3689" t="s">
        <v>1447</v>
      </c>
      <c r="G116" s="3689"/>
      <c r="H116" s="3646" t="s">
        <v>1448</v>
      </c>
      <c r="I116" s="3646"/>
    </row>
    <row r="117" spans="1:27" ht="18.75" customHeight="1">
      <c r="A117" s="3646"/>
      <c r="B117" s="3682"/>
      <c r="C117" s="3682"/>
      <c r="D117" s="2329" t="s">
        <v>1449</v>
      </c>
      <c r="E117" s="2329" t="s">
        <v>1450</v>
      </c>
      <c r="F117" s="2329" t="s">
        <v>1449</v>
      </c>
      <c r="G117" s="2329" t="s">
        <v>1451</v>
      </c>
      <c r="H117" s="2329" t="s">
        <v>1449</v>
      </c>
      <c r="I117" s="2329" t="s">
        <v>1451</v>
      </c>
    </row>
    <row r="118" spans="1:27" ht="24.75" customHeight="1">
      <c r="A118" s="2598" t="str">
        <f>项目基本情况!S2</f>
        <v>北京市西城区琉璃厂东街22、24号1-5幢房地产</v>
      </c>
      <c r="B118" s="2329">
        <f>M18</f>
        <v>188.54</v>
      </c>
      <c r="C118" s="2329">
        <f>M19</f>
        <v>122.87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6" t="s">
        <v>1452</v>
      </c>
      <c r="B119" s="3646"/>
      <c r="C119" s="3646"/>
      <c r="D119" s="3686" t="e">
        <f ca="1">NUMBERSTRING(INT(D118*10000),2)&amp;"元整"</f>
        <v>#REF!</v>
      </c>
      <c r="E119" s="3688"/>
      <c r="F119" s="3686" t="e">
        <f ca="1">NUMBERSTRING(INT(F118*10000),2)&amp;"元整"</f>
        <v>#REF!</v>
      </c>
      <c r="G119" s="3688"/>
      <c r="H119" s="3686" t="e">
        <f ca="1">NUMBERSTRING(INT(H118*10000),2)&amp;"元整"</f>
        <v>#REF!</v>
      </c>
      <c r="I119" s="3688"/>
    </row>
    <row r="120" spans="1:27" ht="18.75" customHeight="1">
      <c r="A120" s="3710" t="str">
        <f>IF(项目基本情况!B9="房地产市场价值","",MID(E103,3,LEN(E103)-2))</f>
        <v/>
      </c>
      <c r="B120" s="3711"/>
      <c r="C120" s="3712"/>
      <c r="D120" s="3710">
        <f>H103</f>
        <v>0</v>
      </c>
      <c r="E120" s="3711"/>
      <c r="F120" s="3711"/>
      <c r="G120" s="3711"/>
      <c r="H120" s="3711"/>
      <c r="I120" s="371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6" t="s">
        <v>1452</v>
      </c>
      <c r="B121" s="3687"/>
      <c r="C121" s="3688"/>
      <c r="D121" s="3686" t="str">
        <f>IF(D120=0,"零元整",NUMBERSTRING(INT(D120*10000),2)&amp;"元整")</f>
        <v>零元整</v>
      </c>
      <c r="E121" s="3687"/>
      <c r="F121" s="3687"/>
      <c r="G121" s="3687"/>
      <c r="H121" s="3687"/>
      <c r="I121" s="3688"/>
      <c r="AA121" s="725"/>
    </row>
    <row r="122" spans="1:27" ht="18.75" customHeight="1">
      <c r="A122" s="3677" t="str">
        <f>IF(项目基本情况!B9="房地产市场价值","",MID(E107,3,LEN(E107)-2))</f>
        <v/>
      </c>
      <c r="B122" s="3677"/>
      <c r="C122" s="3677"/>
      <c r="D122" s="3710" t="e">
        <f ca="1">H107</f>
        <v>#REF!</v>
      </c>
      <c r="E122" s="3711"/>
      <c r="F122" s="3711"/>
      <c r="G122" s="3711"/>
      <c r="H122" s="3711"/>
      <c r="I122" s="3712"/>
      <c r="AA122" s="725"/>
    </row>
    <row r="123" spans="1:27" ht="18.75" customHeight="1">
      <c r="A123" s="3646" t="s">
        <v>1452</v>
      </c>
      <c r="B123" s="3646"/>
      <c r="C123" s="3646"/>
      <c r="D123" s="3686" t="e">
        <f ca="1">NUMBERSTRING(INT(D122*10000),2)&amp;"元整"</f>
        <v>#REF!</v>
      </c>
      <c r="E123" s="3687"/>
      <c r="F123" s="3687"/>
      <c r="G123" s="3687"/>
      <c r="H123" s="3687"/>
      <c r="I123" s="3688"/>
      <c r="AA123" s="725"/>
    </row>
    <row r="124" spans="1:27" ht="18.75" customHeight="1">
      <c r="A124" s="3677" t="str">
        <f>IF(项目基本情况!B9="房地产市场价值","",MID(E109,3,LEN(E109)-2))</f>
        <v/>
      </c>
      <c r="B124" s="3677"/>
      <c r="C124" s="3677"/>
      <c r="D124" s="3710" t="str">
        <f>H109</f>
        <v>——</v>
      </c>
      <c r="E124" s="3711"/>
      <c r="F124" s="3711"/>
      <c r="G124" s="3711"/>
      <c r="H124" s="3711"/>
      <c r="I124" s="3712"/>
      <c r="AA124" s="725"/>
    </row>
    <row r="125" spans="1:27" ht="18.75" customHeight="1">
      <c r="A125" s="3646" t="s">
        <v>1452</v>
      </c>
      <c r="B125" s="3646"/>
      <c r="C125" s="3646"/>
      <c r="D125" s="3686" t="e">
        <f>NUMBERSTRING(INT(D124*10000),2)&amp;"元整"</f>
        <v>#VALUE!</v>
      </c>
      <c r="E125" s="3687"/>
      <c r="F125" s="3687"/>
      <c r="G125" s="3687"/>
      <c r="H125" s="3687"/>
      <c r="I125" s="3688"/>
      <c r="AA125" s="725"/>
    </row>
    <row r="126" spans="1:27" ht="18.75" customHeight="1">
      <c r="A126" s="3677" t="str">
        <f>IF(项目基本情况!B9="房地产市场价值","",MID(E111,3,LEN(E111)-2))</f>
        <v/>
      </c>
      <c r="B126" s="3677"/>
      <c r="C126" s="3677"/>
      <c r="D126" s="3710" t="str">
        <f>H111</f>
        <v>——</v>
      </c>
      <c r="E126" s="3711"/>
      <c r="F126" s="3711"/>
      <c r="G126" s="3711"/>
      <c r="H126" s="3711"/>
      <c r="I126" s="3712"/>
      <c r="AA126" s="725"/>
    </row>
    <row r="127" spans="1:27" ht="18.75" customHeight="1">
      <c r="A127" s="3646" t="s">
        <v>1452</v>
      </c>
      <c r="B127" s="3646"/>
      <c r="C127" s="3646"/>
      <c r="D127" s="3686" t="e">
        <f>NUMBERSTRING(INT(D126*10000),2)&amp;"元整"</f>
        <v>#VALUE!</v>
      </c>
      <c r="E127" s="3687"/>
      <c r="F127" s="3687"/>
      <c r="G127" s="3687"/>
      <c r="H127" s="3687"/>
      <c r="I127" s="3688"/>
      <c r="AA127" s="725"/>
    </row>
    <row r="128" spans="1:27" ht="21.75" customHeight="1">
      <c r="A128" s="3693" t="s">
        <v>1453</v>
      </c>
      <c r="B128" s="3693"/>
      <c r="C128" s="3693"/>
      <c r="D128" s="3693"/>
      <c r="E128" s="3693"/>
      <c r="F128" s="3693"/>
      <c r="G128" s="3693"/>
      <c r="H128" s="3693"/>
      <c r="I128" s="36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0" t="str">
        <f>项目基本情况!B1</f>
        <v>北京市西城区琉璃厂东街22、24号1-5幢房地产市场价值预评估</v>
      </c>
      <c r="C37" s="3540"/>
      <c r="D37" s="3540"/>
      <c r="E37" s="3540"/>
      <c r="F37" s="3540"/>
      <c r="G37" s="3540"/>
      <c r="H37" s="3540"/>
      <c r="I37" s="354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1321.3259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70082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9585336.1399999987</v>
      </c>
      <c r="D5" s="211" t="s">
        <v>1469</v>
      </c>
      <c r="E5" s="212" t="s">
        <v>1470</v>
      </c>
      <c r="F5" s="212" t="s">
        <v>1471</v>
      </c>
      <c r="G5" s="213"/>
    </row>
    <row r="6" spans="1:8" s="214" customFormat="1" ht="13.5" customHeight="1">
      <c r="A6" s="778" t="s">
        <v>1472</v>
      </c>
      <c r="B6" s="215" t="s">
        <v>1473</v>
      </c>
      <c r="C6" s="216">
        <f ca="1">基准地价修正!T2*'成本法 (元)'!D10</f>
        <v>9265044.1399999987</v>
      </c>
      <c r="D6" s="217"/>
      <c r="E6" s="218"/>
      <c r="F6" s="218"/>
      <c r="G6" s="219"/>
    </row>
    <row r="7" spans="1:8" s="214" customFormat="1" ht="13.5" customHeight="1">
      <c r="A7" s="778" t="s">
        <v>1474</v>
      </c>
      <c r="B7" s="215" t="s">
        <v>1475</v>
      </c>
      <c r="C7" s="220">
        <f ca="1">ROUND(C6*F7,0)</f>
        <v>282584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37708</v>
      </c>
      <c r="D8" s="222"/>
      <c r="E8" s="220"/>
      <c r="F8" s="221"/>
      <c r="G8" s="1856" t="s">
        <v>3410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37708</v>
      </c>
      <c r="D10" s="845">
        <f ca="1">IF(B1="",'数据-汇总表'!E6,IF(INDIRECT("'数据-取费表'!c"&amp;$G$1)="住宅",INDIRECT("'数据-取费表'!s"&amp;$G$1),INDIRECT("'数据-取费表'!k"&amp;$G$1)+INDIRECT("'数据-取费表'!s"&amp;$G$1)))</f>
        <v>188.54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188.54</v>
      </c>
      <c r="E19" s="211">
        <f>'数据-取费表'!B31</f>
        <v>200</v>
      </c>
      <c r="F19" s="231"/>
      <c r="G19" s="1856" t="s">
        <v>3411</v>
      </c>
    </row>
    <row r="20" spans="1:7" s="214" customFormat="1" ht="13.5" customHeight="1">
      <c r="A20" s="255" t="s">
        <v>1574</v>
      </c>
      <c r="B20" s="210" t="s">
        <v>1575</v>
      </c>
      <c r="C20" s="232">
        <f ca="1">ROUND((C5+C19)*F20,0)</f>
        <v>191707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421132</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416962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4170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1466556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1466556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12633739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746147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659890</v>
      </c>
      <c r="D34" s="217"/>
      <c r="E34" s="220"/>
      <c r="F34" s="257"/>
      <c r="G34" s="219"/>
    </row>
    <row r="35" spans="1:7" ht="13.5" customHeight="1">
      <c r="A35" s="780" t="s">
        <v>351</v>
      </c>
      <c r="B35" s="215" t="s">
        <v>1527</v>
      </c>
      <c r="C35" s="220">
        <f ca="1">ROUND(C34*F35,0)</f>
        <v>19797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56562</v>
      </c>
      <c r="D37" s="217">
        <f ca="1">D19</f>
        <v>188.54</v>
      </c>
      <c r="E37" s="249">
        <f>'数据-取费表'!B35</f>
        <v>300</v>
      </c>
      <c r="F37" s="259"/>
      <c r="G37" s="261"/>
    </row>
    <row r="38" spans="1:7" ht="13.5" customHeight="1">
      <c r="A38" s="780" t="s">
        <v>354</v>
      </c>
      <c r="B38" s="215" t="s">
        <v>1533</v>
      </c>
      <c r="C38" s="220">
        <f ca="1">ROUND(C34*F38,0)</f>
        <v>9898</v>
      </c>
      <c r="D38" s="220"/>
      <c r="E38" s="220"/>
      <c r="F38" s="259">
        <f>'数据-取费表'!B36</f>
        <v>1.4999999999999999E-2</v>
      </c>
      <c r="G38" s="219" t="s">
        <v>1528</v>
      </c>
    </row>
    <row r="39" spans="1:7" s="214" customFormat="1" ht="13.5" customHeight="1">
      <c r="A39" s="255" t="s">
        <v>1534</v>
      </c>
      <c r="B39" s="210" t="s">
        <v>1535</v>
      </c>
      <c r="C39" s="232">
        <f ca="1">ROUND(C33*F20,0)</f>
        <v>14923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16554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16229</v>
      </c>
      <c r="D42" s="238"/>
      <c r="E42" s="238"/>
      <c r="F42" s="239"/>
      <c r="G42" s="3629" t="s">
        <v>1591</v>
      </c>
    </row>
    <row r="43" spans="1:7" ht="13.5" customHeight="1">
      <c r="A43" s="780" t="s">
        <v>347</v>
      </c>
      <c r="B43" s="215" t="s">
        <v>1545</v>
      </c>
      <c r="C43" s="238">
        <f ca="1">ROUND(IF('数据-取费表'!B22&lt;=1,C39*F22*'数据-取费表'!B20/2,C39*(POWER((1+F22),'数据-取费表'!B20/2)-1)),0)</f>
        <v>325</v>
      </c>
      <c r="D43" s="238"/>
      <c r="E43" s="238"/>
      <c r="F43" s="239"/>
      <c r="G43" s="3630"/>
    </row>
    <row r="44" spans="1:7" ht="13.5" customHeight="1">
      <c r="A44" s="780" t="s">
        <v>348</v>
      </c>
      <c r="B44" s="215" t="s">
        <v>1546</v>
      </c>
      <c r="C44" s="238">
        <f ca="1">ROUND(IF('数据-取费表'!B22&lt;=1,C40*F22*'数据-取费表'!B20/2,C40*(POWER((1+F22),'数据-取费表'!B20/2)-1)),4)</f>
        <v>4.0000000000000002E-4</v>
      </c>
      <c r="D44" s="238"/>
      <c r="E44" s="238"/>
      <c r="F44" s="239"/>
      <c r="G44" s="3631"/>
    </row>
    <row r="45" spans="1:7" s="214" customFormat="1" ht="13.5" customHeight="1">
      <c r="A45" s="255" t="s">
        <v>1547</v>
      </c>
      <c r="B45" s="244" t="s">
        <v>1513</v>
      </c>
      <c r="C45" s="245">
        <f ca="1">C46</f>
        <v>114161</v>
      </c>
      <c r="D45" s="235">
        <f ca="1">C47</f>
        <v>3.0000000000000001E-3</v>
      </c>
      <c r="E45" s="236" t="s">
        <v>1539</v>
      </c>
      <c r="F45" s="246">
        <f ca="1">F27</f>
        <v>0.15</v>
      </c>
      <c r="G45" s="247" t="s">
        <v>1548</v>
      </c>
    </row>
    <row r="46" spans="1:7" s="214" customFormat="1" ht="13.5" customHeight="1">
      <c r="A46" s="780" t="s">
        <v>346</v>
      </c>
      <c r="B46" s="248" t="s">
        <v>1549</v>
      </c>
      <c r="C46" s="249">
        <f ca="1">ROUND((C33+C39)*F27,0)</f>
        <v>114161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965867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579520</v>
      </c>
      <c r="D51" s="232"/>
      <c r="E51" s="232"/>
      <c r="F51" s="264"/>
      <c r="G51" s="234" t="s">
        <v>1560</v>
      </c>
    </row>
    <row r="52" spans="1:7" s="208" customFormat="1" ht="16.5" thickBot="1">
      <c r="A52" s="265" t="s">
        <v>1561</v>
      </c>
      <c r="B52" s="266"/>
      <c r="C52" s="267">
        <f ca="1">C31+C51</f>
        <v>13213259</v>
      </c>
      <c r="D52" s="266"/>
      <c r="E52" s="266"/>
      <c r="F52" s="266"/>
      <c r="G52" s="268"/>
    </row>
    <row r="55" spans="1:7" ht="15">
      <c r="B55" s="270" t="s">
        <v>1562</v>
      </c>
      <c r="C55" s="271"/>
    </row>
    <row r="56" spans="1:7">
      <c r="B56" s="273" t="s">
        <v>802</v>
      </c>
      <c r="C56" s="275">
        <f ca="1">1-C57</f>
        <v>0.95599999999999996</v>
      </c>
    </row>
    <row r="57" spans="1:7">
      <c r="B57" s="273" t="s">
        <v>803</v>
      </c>
      <c r="C57" s="274">
        <f ca="1">ROUND(C51/C52,3)</f>
        <v>4.3999999999999997E-2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188.54</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188.54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188.54</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8" t="s">
        <v>694</v>
      </c>
      <c r="C6" s="1074">
        <f ca="1">ROUND(F6*F8*F7*(1-F9)/10000,0)</f>
        <v>0</v>
      </c>
      <c r="D6" s="155" t="s">
        <v>2107</v>
      </c>
      <c r="E6" s="302" t="s">
        <v>696</v>
      </c>
      <c r="F6" s="303">
        <f ca="1">INDIRECT("'数据-取费表'!u"&amp;$G$1)</f>
        <v>0</v>
      </c>
      <c r="G6" s="1384"/>
      <c r="H6" s="1069" t="s">
        <v>398</v>
      </c>
      <c r="I6" s="3728" t="s">
        <v>694</v>
      </c>
      <c r="J6" s="301">
        <f ca="1">ROUND(M6*M8*M7*(1-M9)/10000,0)</f>
        <v>0</v>
      </c>
      <c r="K6" s="155" t="s">
        <v>2106</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0</v>
      </c>
      <c r="G7" s="1384"/>
      <c r="H7" s="304"/>
      <c r="I7" s="3729"/>
      <c r="J7" s="306"/>
      <c r="K7" s="307"/>
      <c r="L7" s="302" t="s">
        <v>697</v>
      </c>
      <c r="M7" s="303">
        <f ca="1">F7</f>
        <v>0</v>
      </c>
    </row>
    <row r="8" spans="1:37" ht="18" customHeight="1">
      <c r="A8" s="304"/>
      <c r="B8" s="3729"/>
      <c r="C8" s="306"/>
      <c r="D8" s="307"/>
      <c r="E8" s="302" t="s">
        <v>698</v>
      </c>
      <c r="F8" s="303">
        <f ca="1">INDIRECT("'数据-取费表'!ai"&amp;$G$1)</f>
        <v>0</v>
      </c>
      <c r="G8" s="1384"/>
      <c r="H8" s="304"/>
      <c r="I8" s="3729"/>
      <c r="J8" s="306"/>
      <c r="K8" s="307"/>
      <c r="L8" s="302" t="s">
        <v>698</v>
      </c>
      <c r="M8" s="303">
        <f ca="1">INDIRECT("'数据-取费表'!ai"&amp;$G$1)</f>
        <v>0</v>
      </c>
    </row>
    <row r="9" spans="1:37" ht="18" customHeight="1">
      <c r="A9" s="304"/>
      <c r="B9" s="3730"/>
      <c r="C9" s="306"/>
      <c r="D9" s="307"/>
      <c r="E9" s="302" t="s">
        <v>699</v>
      </c>
      <c r="F9" s="312">
        <f ca="1">INDIRECT("'数据-取费表'!w"&amp;$G$1)</f>
        <v>0</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4"/>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26" t="s">
        <v>837</v>
      </c>
      <c r="L53" s="372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N1" zoomScaleNormal="80" zoomScaleSheetLayoutView="100" workbookViewId="0">
      <selection activeCell="F11" sqref="F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Ⅱ—06</v>
      </c>
      <c r="J2" s="2002"/>
      <c r="K2" s="1119"/>
      <c r="L2" s="2003" t="s">
        <v>1939</v>
      </c>
      <c r="M2" s="864">
        <f>SUMPRODUCT((区片价!B10:B29=I2)*(区片价!C3:G3=E2)*(区片价!C10:G29))</f>
        <v>29090</v>
      </c>
      <c r="N2" s="866">
        <f>SUMPRODUCT((因素修正幅度!B10:B29=I2)*(因素修正幅度!C3:G3=E2)*(因素修正幅度!C10:G29))</f>
        <v>9.8000000000000004E-2</v>
      </c>
      <c r="O2" s="1119"/>
      <c r="P2" s="1119"/>
      <c r="Q2" s="1119"/>
      <c r="R2" s="1212">
        <v>1</v>
      </c>
      <c r="S2" s="3358">
        <f>ROUND(SUMPRODUCT((B106:B110=R2)*(C105:N105=G2)*(C106:N110)),4)</f>
        <v>1.5206</v>
      </c>
      <c r="T2" s="3358">
        <f t="shared" ref="T2:T16" si="0">ROUND($C$5*$C$22*$C$23*$C$24*S2*$C$28,0)</f>
        <v>49141</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2440</v>
      </c>
      <c r="F3" s="2004" t="s">
        <v>3393</v>
      </c>
      <c r="G3" s="752">
        <f>IF(F3="宗地容积率",'数据-汇总表'!I4,IF(F3="估价对象容积率",'数据-汇总表'!I6,'数据-汇总表'!I7))</f>
        <v>1.53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1.2072000000000001</v>
      </c>
      <c r="T3" s="3358">
        <f t="shared" si="0"/>
        <v>39013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1.0430999999999999</v>
      </c>
      <c r="T4" s="3358">
        <f t="shared" si="0"/>
        <v>33710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32134</v>
      </c>
      <c r="D5" s="1339">
        <f>ROUND(C6*C17+C20,0)</f>
        <v>29059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0.94389999999999996</v>
      </c>
      <c r="T5" s="3358">
        <f t="shared" si="0"/>
        <v>30504</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0.89959999999999996</v>
      </c>
      <c r="T6" s="3358">
        <f t="shared" si="0"/>
        <v>29072</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1.1056999999999999</v>
      </c>
      <c r="D7" s="2022" t="s">
        <v>1953</v>
      </c>
      <c r="E7" s="776">
        <v>28.4</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二级</v>
      </c>
      <c r="Y7" s="1214" t="s">
        <v>1956</v>
      </c>
      <c r="Z7" s="1215">
        <f>G3</f>
        <v>1.53</v>
      </c>
      <c r="AA7" s="1216"/>
      <c r="AB7" s="1216"/>
      <c r="AC7" s="1217"/>
      <c r="AD7" s="1218"/>
      <c r="AE7" s="1218"/>
      <c r="AF7" s="1218"/>
      <c r="AG7" s="1218"/>
      <c r="AH7" s="1218"/>
      <c r="AI7" s="1218"/>
      <c r="AJ7" s="1219"/>
    </row>
    <row r="8" spans="1:36" ht="38.25">
      <c r="A8" s="3296"/>
      <c r="B8" s="170" t="s">
        <v>1957</v>
      </c>
      <c r="C8" s="2026" t="s">
        <v>3394</v>
      </c>
      <c r="D8" s="756" t="s">
        <v>112</v>
      </c>
      <c r="E8" s="757">
        <f>ROUND(C11/E7,4)</f>
        <v>0.17610000000000001</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5" t="s">
        <v>1960</v>
      </c>
      <c r="X8" s="37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0.17610000000000001</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37"/>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20</v>
      </c>
      <c r="D10" s="171" t="s">
        <v>114</v>
      </c>
      <c r="E10" s="171">
        <f>ROUND(C11/E7,4)</f>
        <v>0.17610000000000001</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3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5</v>
      </c>
      <c r="D11" s="759" t="s">
        <v>115</v>
      </c>
      <c r="E11" s="759">
        <f>ROUND(C11/E7,4)</f>
        <v>0.17610000000000001</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2" t="s">
        <v>3257</v>
      </c>
      <c r="B20" s="167" t="s">
        <v>1994</v>
      </c>
      <c r="C20" s="3322">
        <f>ROUND(IF(F21="与级别开发程度一致",0,(G21-E21)/C21),0)</f>
        <v>-31</v>
      </c>
      <c r="D20" s="3338" t="s">
        <v>1998</v>
      </c>
      <c r="E20" s="3339"/>
      <c r="F20" s="3748" t="s">
        <v>1995</v>
      </c>
      <c r="G20" s="3749"/>
      <c r="H20" s="3323" t="s">
        <v>3396</v>
      </c>
      <c r="I20" s="3323" t="s">
        <v>3397</v>
      </c>
      <c r="J20" s="3324"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44853</v>
      </c>
      <c r="H23" s="3340" t="s">
        <v>3259</v>
      </c>
      <c r="I23" s="3341" t="str">
        <f>IF(H23="季度增幅（自定义）",SUMIF(N25:N28,E2,O25:O28),"")</f>
        <v/>
      </c>
      <c r="J23" s="3443" t="s">
        <v>3258</v>
      </c>
      <c r="K23" s="1125"/>
      <c r="L23" s="2055" t="s">
        <v>2004</v>
      </c>
      <c r="M23" s="1328">
        <f>ROUND(SUMIF(地价!B2:G2,E2,地价!B16:G16),0)</f>
        <v>350</v>
      </c>
      <c r="N23" s="2056" t="s">
        <v>2005</v>
      </c>
      <c r="O23" s="763">
        <f>ROUNDDOWN(DATEDIF(E23,G23,"M")/3,0)</f>
        <v>7</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0.91559999999999997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30.83</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3405</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9.7000000000000003E-3</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1.1409</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1.1306</v>
      </c>
      <c r="I26" s="3342" t="s">
        <v>3261</v>
      </c>
      <c r="J26" s="772" t="str">
        <f>IF(G3&gt;=10,D115,"——")</f>
        <v>——</v>
      </c>
      <c r="K26" s="1125"/>
      <c r="L26" s="2785"/>
      <c r="M26" s="2785"/>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1.0714999999999999</v>
      </c>
      <c r="D28" s="2052"/>
      <c r="E28" s="2077"/>
      <c r="F28" s="2077"/>
      <c r="G28" s="2077"/>
      <c r="H28" s="2077"/>
      <c r="I28" s="2077"/>
      <c r="J28" s="2078"/>
      <c r="K28" s="1125"/>
      <c r="L28" s="2785"/>
      <c r="M28" s="2785"/>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4.3499999999999997E-2</v>
      </c>
      <c r="M36" s="3355">
        <f ca="1">ROUND($L$36*(1+M31),3)</f>
        <v>5.3999999999999999E-2</v>
      </c>
      <c r="N36" s="3355">
        <f ca="1">ROUND($L$36*(1+N31),3)</f>
        <v>5.1999999999999998E-2</v>
      </c>
      <c r="O36" s="3355">
        <f ca="1">ROUND($L$36*(1+O31),3)</f>
        <v>0.05</v>
      </c>
      <c r="P36" s="3355">
        <f ca="1">ROUND($L$36*(1+P31),3)</f>
        <v>4.8000000000000001E-2</v>
      </c>
      <c r="Q36" s="3355">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2036</v>
      </c>
      <c r="C37" s="175">
        <f>ROUND(D5*C22*C23*C24*C28*F37,0)</f>
        <v>20457</v>
      </c>
      <c r="D37" s="2098"/>
      <c r="E37" s="171">
        <f>ROUND(C37*D37/10000,0)</f>
        <v>0</v>
      </c>
      <c r="F37" s="171">
        <f>SUMIF(修正!A57:A68,G2,修正!B57:B68)</f>
        <v>0.7</v>
      </c>
      <c r="G37" s="171">
        <f>ROUND(IF(E2="工业",C37*$M$42,C37*$M$41),0)</f>
        <v>5114</v>
      </c>
      <c r="H37" s="171">
        <f>D37</f>
        <v>0</v>
      </c>
      <c r="I37" s="171">
        <f>ROUND(G37*H37/10000,0)</f>
        <v>0</v>
      </c>
      <c r="J37" s="3009"/>
      <c r="K37" s="3356" t="s">
        <v>3269</v>
      </c>
      <c r="L37" s="3354">
        <f ca="1">L36+K38</f>
        <v>4.8499999999999995E-2</v>
      </c>
      <c r="M37" s="3355">
        <f ca="1">ROUND($L$37*(1+M31),3)</f>
        <v>6.0999999999999999E-2</v>
      </c>
      <c r="N37" s="3355">
        <f t="shared" ref="N37:Q37" ca="1" si="3">ROUND($L$37*(1+N31),3)</f>
        <v>5.8000000000000003E-2</v>
      </c>
      <c r="O37" s="3355">
        <f t="shared" ca="1" si="3"/>
        <v>5.6000000000000001E-2</v>
      </c>
      <c r="P37" s="3355">
        <f t="shared" ca="1" si="3"/>
        <v>5.2999999999999999E-2</v>
      </c>
      <c r="Q37" s="3355">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2037</v>
      </c>
      <c r="C38" s="175">
        <f>ROUND(D5*C22*C23*C24*C28*F38,0)</f>
        <v>11690</v>
      </c>
      <c r="D38" s="2098"/>
      <c r="E38" s="171">
        <f t="shared" ref="E38:E42" si="4">ROUND(C38*D38/10000,0)</f>
        <v>0</v>
      </c>
      <c r="F38" s="171">
        <f>SUMIF(修正!A57:A68,G2,修正!C57:C68)</f>
        <v>0.4</v>
      </c>
      <c r="G38" s="171">
        <f>ROUND(IF(E2="工业",C38*$M$42,C38*$M$41),0)</f>
        <v>2923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47"/>
      <c r="B39" s="2041" t="s">
        <v>3262</v>
      </c>
      <c r="C39" s="175">
        <f>ROUND(D5*C22*C23*C24*C28*F39,0)</f>
        <v>8767</v>
      </c>
      <c r="D39" s="2098"/>
      <c r="E39" s="171">
        <f t="shared" si="4"/>
        <v>0</v>
      </c>
      <c r="F39" s="171">
        <f>SUMIF(修正!A57:A68,G2,修正!D57:D68)</f>
        <v>0.3</v>
      </c>
      <c r="G39" s="171">
        <f>ROUND(IF(E2="工业",C39*$M$42,C39*$M$41),0)</f>
        <v>2192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8767</v>
      </c>
      <c r="D40" s="2098"/>
      <c r="E40" s="171">
        <f t="shared" si="4"/>
        <v>0</v>
      </c>
      <c r="F40" s="175">
        <f>SUMIF(修正!A57:A68,G2,修正!E57:E68)</f>
        <v>0.3</v>
      </c>
      <c r="G40" s="171">
        <f>ROUND(IF(E2="工业",C40*$M$42,C40*$M$41),0)</f>
        <v>2192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1.0714999999999999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30" t="s">
        <v>2052</v>
      </c>
      <c r="B50" s="2133" t="str">
        <f>估价对象房地状况!C4</f>
        <v>估价对象周边有庄胜广场、大栅栏商业街、前门大街、北京坊、正阳市场等，商业氛围成熟，商业繁华度好。</v>
      </c>
      <c r="C50" s="2044" t="s">
        <v>3402</v>
      </c>
      <c r="D50" s="1065">
        <f t="shared" ref="D50:D58" si="7">SUMIF($J$49:$N$49,C50,J50:N50)</f>
        <v>2.9399999999999999E-2</v>
      </c>
      <c r="E50" s="744">
        <f>ROUND(SUM(D50:D58),4)</f>
        <v>7.1499999999999994E-2</v>
      </c>
      <c r="F50" s="1814">
        <f>IF(E2="商业",SUMIF(L1:L12,G2,N1:N12),"——")</f>
        <v>9.8000000000000004E-2</v>
      </c>
      <c r="G50" s="1063">
        <v>1.47E-2</v>
      </c>
      <c r="H50" s="1066">
        <f t="shared" ref="H50:H58" si="8">IFERROR(ROUNDDOWN($F$50*I50/2,4),"——")</f>
        <v>1.47E-2</v>
      </c>
      <c r="I50" s="336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周边有2路、5路、14路、20路、66路、70路、93路等多条公交线路、地铁2号线（和平门站）及地铁7号线（虎坊桥站），交通较便捷</v>
      </c>
      <c r="C51" s="2044" t="s">
        <v>3403</v>
      </c>
      <c r="D51" s="1065">
        <f t="shared" si="7"/>
        <v>1.0699999999999999E-2</v>
      </c>
      <c r="E51" s="745"/>
      <c r="F51" s="1814"/>
      <c r="G51" s="1063">
        <v>1.0699999999999999E-2</v>
      </c>
      <c r="H51" s="1066">
        <f t="shared" si="8"/>
        <v>1.0699999999999999E-2</v>
      </c>
      <c r="I51" s="336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3402</v>
      </c>
      <c r="D52" s="1065">
        <f t="shared" si="7"/>
        <v>1.1599999999999999E-2</v>
      </c>
      <c r="E52" s="745"/>
      <c r="F52" s="1814"/>
      <c r="G52" s="1063">
        <v>5.7999999999999996E-3</v>
      </c>
      <c r="H52" s="1066">
        <f t="shared" si="8"/>
        <v>5.7999999999999996E-3</v>
      </c>
      <c r="I52" s="336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2.3999999999999998E-3</v>
      </c>
      <c r="E53" s="745"/>
      <c r="F53" s="1814"/>
      <c r="G53" s="1063">
        <v>2.3999999999999998E-3</v>
      </c>
      <c r="H53" s="1066">
        <f t="shared" si="8"/>
        <v>2.3999999999999998E-3</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t="str">
        <f>估价对象房地状况!C24</f>
        <v>琉璃厂东街，为城市支路</v>
      </c>
      <c r="C54" s="2044" t="s">
        <v>3404</v>
      </c>
      <c r="D54" s="1065">
        <f t="shared" si="7"/>
        <v>0</v>
      </c>
      <c r="E54" s="745"/>
      <c r="F54" s="1814"/>
      <c r="G54" s="1063">
        <v>3.8999999999999998E-3</v>
      </c>
      <c r="H54" s="1066">
        <f t="shared" si="8"/>
        <v>3.8999999999999998E-3</v>
      </c>
      <c r="I54" s="336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3403</v>
      </c>
      <c r="D55" s="1065">
        <f t="shared" si="7"/>
        <v>2.3999999999999998E-3</v>
      </c>
      <c r="E55" s="745"/>
      <c r="F55" s="1814"/>
      <c r="G55" s="1063">
        <v>2.3999999999999998E-3</v>
      </c>
      <c r="H55" s="1066">
        <f t="shared" si="8"/>
        <v>2.3999999999999998E-3</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4.7999999999999996E-3</v>
      </c>
      <c r="E56" s="745"/>
      <c r="F56" s="1814"/>
      <c r="G56" s="1063">
        <v>2.3999999999999998E-3</v>
      </c>
      <c r="H56" s="1066">
        <f t="shared" si="8"/>
        <v>2.3999999999999998E-3</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7.7999999999999996E-3</v>
      </c>
      <c r="E57" s="745"/>
      <c r="F57" s="1814"/>
      <c r="G57" s="1063">
        <v>3.8999999999999998E-3</v>
      </c>
      <c r="H57" s="1066">
        <f t="shared" si="8"/>
        <v>3.8999999999999998E-3</v>
      </c>
      <c r="I57" s="336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区域自然环境：后孙公园、月亮湾公园、三里河公园等；人文环境：勅建火神庙、国家大剧院、天安门广场等；综合评价环境状况较好</v>
      </c>
      <c r="C58" s="2044" t="s">
        <v>3403</v>
      </c>
      <c r="D58" s="1065">
        <f t="shared" si="7"/>
        <v>2.3999999999999998E-3</v>
      </c>
      <c r="E58" s="746"/>
      <c r="F58" s="1814"/>
      <c r="G58" s="1063">
        <v>2.3999999999999998E-3</v>
      </c>
      <c r="H58" s="1066">
        <f t="shared" si="8"/>
        <v>2.3999999999999998E-3</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30" t="s">
        <v>2053</v>
      </c>
      <c r="B62" s="2134" t="str">
        <f>估价对象房地状况!C18</f>
        <v>周边有2路、5路、14路、20路、66路、70路、93路等多条公交线路、地铁2号线（和平门站）及地铁7号线（虎坊桥站），交通较便捷</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琉璃厂东街，为城市支路</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区域自然环境：后孙公园、月亮湾公园、三里河公园等；人文环境：勅建火神庙、国家大剧院、天安门广场等；综合评价环境状况较好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hidden="1">
      <c r="A73" s="2130" t="s">
        <v>2053</v>
      </c>
      <c r="B73" s="2134" t="str">
        <f>估价对象房地状况!C18</f>
        <v>周边有2路、5路、14路、20路、66路、70路、93路等多条公交线路、地铁2号线（和平门站）及地铁7号线（虎坊桥站），交通较便捷</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琉璃厂东街，为城市支路</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63.75" hidden="1">
      <c r="A79" s="2130" t="s">
        <v>2061</v>
      </c>
      <c r="B79" s="2133" t="str">
        <f>估价对象房地状况!C20</f>
        <v>区域自然环境：后孙公园、月亮湾公园、三里河公园等；人文环境：勅建火神庙、国家大剧院、天安门广场等；综合评价环境状况较好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hidden="1">
      <c r="A91" s="3374" t="s">
        <v>2611</v>
      </c>
      <c r="B91" s="3375">
        <f>1+E93</f>
        <v>1</v>
      </c>
      <c r="C91" s="3368"/>
      <c r="D91" s="3369"/>
      <c r="E91" s="1814"/>
      <c r="F91" s="1814"/>
      <c r="G91" s="3370"/>
      <c r="H91" s="3371"/>
      <c r="I91" s="3372"/>
      <c r="J91" s="3373"/>
      <c r="K91" s="3373"/>
      <c r="L91" s="3373"/>
      <c r="M91" s="3373"/>
      <c r="N91" s="3373"/>
    </row>
    <row r="92" spans="1:37" ht="24.75" hidden="1">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hidden="1">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63.75" hidden="1">
      <c r="A94" s="3376" t="s">
        <v>3276</v>
      </c>
      <c r="B94" s="3367" t="str">
        <f>估价对象房地状况!C18</f>
        <v>周边有2路、5路、14路、20路、66路、70路、93路等多条公交线路、地铁2号线（和平门站）及地铁7号线（虎坊桥站），交通较便捷</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hidden="1">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hidden="1">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hidden="1">
      <c r="A97" s="3376" t="s">
        <v>3278</v>
      </c>
      <c r="B97" s="3367" t="str">
        <f>估价对象房地状况!C24</f>
        <v>琉璃厂东街，为城市支路</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hidden="1">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hidden="1">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hidden="1">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64.5" hidden="1" thickBot="1">
      <c r="A101" s="3377" t="s">
        <v>3282</v>
      </c>
      <c r="B101" s="3384" t="str">
        <f>估价对象房地状况!C20</f>
        <v>区域自然环境：后孙公园、月亮湾公园、三里河公园等；人文环境：勅建火神庙、国家大剧院、天安门广场等；综合评价环境状况较好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4" t="s">
        <v>3297</v>
      </c>
      <c r="B103" s="3744"/>
      <c r="C103" s="3744"/>
      <c r="D103" s="3744"/>
      <c r="E103" s="3744"/>
      <c r="F103" s="3744"/>
      <c r="G103" s="3744"/>
      <c r="H103" s="3744"/>
      <c r="I103" s="3744"/>
      <c r="J103" s="3744"/>
      <c r="K103" s="3387"/>
      <c r="L103" s="3387"/>
      <c r="M103" s="3387"/>
      <c r="N103" s="3387"/>
    </row>
    <row r="104" spans="1:14">
      <c r="A104" s="3745" t="s">
        <v>3298</v>
      </c>
      <c r="B104" s="3745" t="s">
        <v>3299</v>
      </c>
      <c r="C104" s="3388" t="s">
        <v>3300</v>
      </c>
      <c r="D104" s="3389"/>
      <c r="E104" s="3389"/>
      <c r="F104" s="3389"/>
      <c r="G104" s="3389"/>
      <c r="H104" s="3389"/>
      <c r="I104" s="3389"/>
      <c r="J104" s="3390"/>
      <c r="K104" s="3391"/>
      <c r="L104" s="3391"/>
      <c r="M104" s="3391"/>
      <c r="N104" s="3391"/>
    </row>
    <row r="105" spans="1:14">
      <c r="A105" s="3745"/>
      <c r="B105" s="3745"/>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31"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2"/>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4" t="s">
        <v>3314</v>
      </c>
      <c r="B113" s="3734"/>
      <c r="C113" s="3734"/>
      <c r="D113" s="3734"/>
      <c r="E113" s="3734"/>
      <c r="F113" s="3734"/>
      <c r="G113" s="3734"/>
      <c r="H113" s="3734"/>
      <c r="I113" s="3734"/>
      <c r="J113" s="373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1.53</v>
      </c>
      <c r="C116" s="3397" t="s">
        <v>3316</v>
      </c>
      <c r="D116" s="3398">
        <f>SUMPRODUCT((A118:A122=F116)*(B117:M117=H116)*B118:M122)</f>
        <v>0.98</v>
      </c>
      <c r="E116" s="2000" t="s">
        <v>3317</v>
      </c>
      <c r="F116" s="3399" t="str">
        <f>E2</f>
        <v>商业</v>
      </c>
      <c r="G116" s="2000" t="s">
        <v>3318</v>
      </c>
      <c r="H116" s="3399" t="str">
        <f>G2</f>
        <v>二级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v>
      </c>
      <c r="C118" s="3385">
        <f>B118</f>
        <v>0.98</v>
      </c>
      <c r="D118" s="3385">
        <f>ROUND(0.949-0.014*B116,4)</f>
        <v>0.92759999999999998</v>
      </c>
      <c r="E118" s="3385">
        <f>D118</f>
        <v>0.92759999999999998</v>
      </c>
      <c r="F118" s="3385">
        <f>E118</f>
        <v>0.92759999999999998</v>
      </c>
      <c r="G118" s="3385">
        <f>F118</f>
        <v>0.92759999999999998</v>
      </c>
      <c r="H118" s="3385">
        <f>G118</f>
        <v>0.92759999999999998</v>
      </c>
      <c r="I118" s="3385">
        <f>ROUND(0.8486-0.018*B116,4)</f>
        <v>0.82110000000000005</v>
      </c>
      <c r="J118" s="3385">
        <f t="shared" ref="J118:M122" si="35">I118</f>
        <v>0.82110000000000005</v>
      </c>
      <c r="K118" s="3385">
        <f t="shared" si="35"/>
        <v>0.82110000000000005</v>
      </c>
      <c r="L118" s="3385">
        <f t="shared" si="35"/>
        <v>0.82110000000000005</v>
      </c>
      <c r="M118" s="3408">
        <f t="shared" si="35"/>
        <v>0.82110000000000005</v>
      </c>
      <c r="N118" s="3395"/>
    </row>
    <row r="119" spans="1:14">
      <c r="A119" s="3407" t="s">
        <v>3332</v>
      </c>
      <c r="B119" s="3385">
        <f>ROUND(0.993-0.0112*B116,4)</f>
        <v>0.97589999999999999</v>
      </c>
      <c r="C119" s="3385">
        <f>B119</f>
        <v>0.97589999999999999</v>
      </c>
      <c r="D119" s="3385">
        <f>ROUND(0.9415-0.0142*B116,4)</f>
        <v>0.91979999999999995</v>
      </c>
      <c r="E119" s="3385">
        <f t="shared" ref="E119:H120" si="36">D119</f>
        <v>0.91979999999999995</v>
      </c>
      <c r="F119" s="3385">
        <f t="shared" si="36"/>
        <v>0.91979999999999995</v>
      </c>
      <c r="G119" s="3385">
        <f t="shared" si="36"/>
        <v>0.91979999999999995</v>
      </c>
      <c r="H119" s="3385">
        <f t="shared" si="36"/>
        <v>0.91979999999999995</v>
      </c>
      <c r="I119" s="3385">
        <f>ROUND(0.838-0.0182*B116,4)</f>
        <v>0.81020000000000003</v>
      </c>
      <c r="J119" s="3385">
        <f t="shared" si="35"/>
        <v>0.81020000000000003</v>
      </c>
      <c r="K119" s="3385">
        <f t="shared" si="35"/>
        <v>0.81020000000000003</v>
      </c>
      <c r="L119" s="3385">
        <f t="shared" si="35"/>
        <v>0.81020000000000003</v>
      </c>
      <c r="M119" s="3408">
        <f t="shared" si="35"/>
        <v>0.81020000000000003</v>
      </c>
      <c r="N119" s="3395"/>
    </row>
    <row r="120" spans="1:14">
      <c r="A120" s="3407" t="s">
        <v>3333</v>
      </c>
      <c r="B120" s="3385">
        <f>ROUND(0.9448-0.0115*B116,4)</f>
        <v>0.92720000000000002</v>
      </c>
      <c r="C120" s="3385">
        <f>B120</f>
        <v>0.92720000000000002</v>
      </c>
      <c r="D120" s="3385">
        <f>ROUND(0.937-0.0145*B116,4)</f>
        <v>0.91479999999999995</v>
      </c>
      <c r="E120" s="3385">
        <f t="shared" si="36"/>
        <v>0.91479999999999995</v>
      </c>
      <c r="F120" s="3385">
        <f t="shared" si="36"/>
        <v>0.91479999999999995</v>
      </c>
      <c r="G120" s="3385">
        <f t="shared" si="36"/>
        <v>0.91479999999999995</v>
      </c>
      <c r="H120" s="3385">
        <f t="shared" si="36"/>
        <v>0.91479999999999995</v>
      </c>
      <c r="I120" s="3385">
        <f>ROUND(0.7965-0.0185*B116,4)</f>
        <v>0.76819999999999999</v>
      </c>
      <c r="J120" s="3385">
        <f t="shared" si="35"/>
        <v>0.76819999999999999</v>
      </c>
      <c r="K120" s="3385">
        <f t="shared" si="35"/>
        <v>0.76819999999999999</v>
      </c>
      <c r="L120" s="3385">
        <f t="shared" si="35"/>
        <v>0.76819999999999999</v>
      </c>
      <c r="M120" s="3408">
        <f t="shared" si="35"/>
        <v>0.76819999999999999</v>
      </c>
      <c r="N120" s="3395"/>
    </row>
    <row r="121" spans="1:14" ht="13.5" thickBot="1">
      <c r="A121" s="3409" t="s">
        <v>3334</v>
      </c>
      <c r="B121" s="3410">
        <f>ROUND(0.7836-0.012*B116,4)</f>
        <v>0.76519999999999999</v>
      </c>
      <c r="C121" s="3410">
        <f>B121</f>
        <v>0.76519999999999999</v>
      </c>
      <c r="D121" s="3410">
        <f>ROUND(0.753-0.015*B116,4)</f>
        <v>0.73009999999999997</v>
      </c>
      <c r="E121" s="3410">
        <f>D121</f>
        <v>0.73009999999999997</v>
      </c>
      <c r="F121" s="3410">
        <f>E121</f>
        <v>0.73009999999999997</v>
      </c>
      <c r="G121" s="3410">
        <f>ROUND(0.6612-0.018*B116,4)</f>
        <v>0.63370000000000004</v>
      </c>
      <c r="H121" s="3410">
        <f>G121</f>
        <v>0.63370000000000004</v>
      </c>
      <c r="I121" s="3410">
        <f>ROUND(0.5905-0.019*B116,4)</f>
        <v>0.56140000000000001</v>
      </c>
      <c r="J121" s="3410">
        <f t="shared" si="35"/>
        <v>0.56140000000000001</v>
      </c>
      <c r="K121" s="3410">
        <f t="shared" si="35"/>
        <v>0.56140000000000001</v>
      </c>
      <c r="L121" s="3410">
        <f t="shared" si="35"/>
        <v>0.56140000000000001</v>
      </c>
      <c r="M121" s="3411">
        <f t="shared" si="35"/>
        <v>0.56140000000000001</v>
      </c>
      <c r="N121" s="3395"/>
    </row>
    <row r="122" spans="1:14">
      <c r="A122" s="3412" t="s">
        <v>2611</v>
      </c>
      <c r="B122" s="3385">
        <f>ROUND(0.9404-0.0106*B116,4)</f>
        <v>0.92420000000000002</v>
      </c>
      <c r="C122" s="3385">
        <f>B122</f>
        <v>0.92420000000000002</v>
      </c>
      <c r="D122" s="3385">
        <f>ROUND(0.8955-0.0135*B116,4)</f>
        <v>0.87480000000000002</v>
      </c>
      <c r="E122" s="3385">
        <f t="shared" ref="E122:H122" si="37">D122</f>
        <v>0.87480000000000002</v>
      </c>
      <c r="F122" s="3385">
        <f t="shared" si="37"/>
        <v>0.87480000000000002</v>
      </c>
      <c r="G122" s="3385">
        <f t="shared" si="37"/>
        <v>0.87480000000000002</v>
      </c>
      <c r="H122" s="3385">
        <f t="shared" si="37"/>
        <v>0.87480000000000002</v>
      </c>
      <c r="I122" s="3385">
        <f>ROUND(0.7632-0.0166*B116,4)</f>
        <v>0.73780000000000001</v>
      </c>
      <c r="J122" s="3385">
        <f t="shared" si="35"/>
        <v>0.73780000000000001</v>
      </c>
      <c r="K122" s="3385">
        <f t="shared" si="35"/>
        <v>0.73780000000000001</v>
      </c>
      <c r="L122" s="3385">
        <f t="shared" si="35"/>
        <v>0.73780000000000001</v>
      </c>
      <c r="M122" s="3408">
        <f t="shared" si="35"/>
        <v>0.73780000000000001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8" zoomScale="80" zoomScaleNormal="70" zoomScaleSheetLayoutView="8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1164.1488999999999</v>
      </c>
      <c r="C2" s="1387" t="s">
        <v>879</v>
      </c>
      <c r="D2" s="1471">
        <f ca="1">C40+J29+L46</f>
        <v>11641489</v>
      </c>
      <c r="E2" s="1388" t="s">
        <v>880</v>
      </c>
      <c r="F2" s="1389"/>
      <c r="G2" s="2703"/>
      <c r="H2" s="2692"/>
      <c r="I2" s="2692"/>
      <c r="J2" s="2692"/>
      <c r="K2" s="2693"/>
      <c r="L2" s="2692"/>
      <c r="M2" s="2692"/>
    </row>
    <row r="3" spans="1:37" ht="18" customHeight="1" thickBot="1">
      <c r="A3" s="1390" t="s">
        <v>881</v>
      </c>
      <c r="B3" s="1391">
        <f ca="1">IF(ISERROR(D2/F43),0,ROUND(D2/F43,0))</f>
        <v>61745</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826830</v>
      </c>
      <c r="D5" s="1364" t="s">
        <v>889</v>
      </c>
      <c r="E5" s="1071"/>
      <c r="F5" s="1072"/>
      <c r="G5" s="1384"/>
      <c r="H5" s="299">
        <v>1</v>
      </c>
      <c r="I5" s="300" t="s">
        <v>888</v>
      </c>
      <c r="J5" s="1070">
        <f ca="1">J6+J10+J12</f>
        <v>0</v>
      </c>
      <c r="K5" s="1364" t="s">
        <v>889</v>
      </c>
      <c r="L5" s="1071"/>
      <c r="M5" s="1072"/>
    </row>
    <row r="6" spans="1:37" ht="18" customHeight="1">
      <c r="A6" s="1069" t="s">
        <v>398</v>
      </c>
      <c r="B6" s="3728" t="s">
        <v>694</v>
      </c>
      <c r="C6" s="1074">
        <f ca="1">ROUND(F6*F8*F7*(1-F9),0)</f>
        <v>823741</v>
      </c>
      <c r="D6" s="155" t="s">
        <v>2104</v>
      </c>
      <c r="E6" s="302" t="s">
        <v>696</v>
      </c>
      <c r="F6" s="303">
        <f ca="1">INDIRECT("'数据-取费表'!u"&amp;$G$1)</f>
        <v>13.3</v>
      </c>
      <c r="G6" s="1384"/>
      <c r="H6" s="1069" t="s">
        <v>398</v>
      </c>
      <c r="I6" s="3728" t="s">
        <v>694</v>
      </c>
      <c r="J6" s="301">
        <f ca="1">ROUND(M6*M8*M7*(1-M9),0)</f>
        <v>0</v>
      </c>
      <c r="K6" s="1376" t="s">
        <v>2105</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188.54</v>
      </c>
      <c r="G7" s="1384"/>
      <c r="H7" s="304"/>
      <c r="I7" s="3729"/>
      <c r="J7" s="306"/>
      <c r="K7" s="307"/>
      <c r="L7" s="302" t="s">
        <v>697</v>
      </c>
      <c r="M7" s="303">
        <f ca="1">F7</f>
        <v>188.54</v>
      </c>
    </row>
    <row r="8" spans="1:37" ht="18" customHeight="1">
      <c r="A8" s="304"/>
      <c r="B8" s="3729"/>
      <c r="C8" s="306"/>
      <c r="D8" s="307"/>
      <c r="E8" s="302" t="s">
        <v>698</v>
      </c>
      <c r="F8" s="303">
        <f ca="1">INDIRECT("'数据-取费表'!ai"&amp;$G$1)</f>
        <v>365</v>
      </c>
      <c r="G8" s="1384"/>
      <c r="H8" s="304"/>
      <c r="I8" s="3729"/>
      <c r="J8" s="306"/>
      <c r="K8" s="307"/>
      <c r="L8" s="302" t="s">
        <v>698</v>
      </c>
      <c r="M8" s="303">
        <f ca="1">INDIRECT("'数据-取费表'!ai"&amp;$G$1)</f>
        <v>365</v>
      </c>
    </row>
    <row r="9" spans="1:37" ht="18" customHeight="1">
      <c r="A9" s="304"/>
      <c r="B9" s="3730"/>
      <c r="C9" s="306"/>
      <c r="D9" s="307"/>
      <c r="E9" s="302" t="s">
        <v>699</v>
      </c>
      <c r="F9" s="312">
        <f ca="1">INDIRECT("'数据-取费表'!w"&amp;$G$1)</f>
        <v>0.1</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3089</v>
      </c>
      <c r="D10" s="1366" t="s">
        <v>2114</v>
      </c>
      <c r="E10" s="313" t="s">
        <v>701</v>
      </c>
      <c r="F10" s="1116" t="s">
        <v>3406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579520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659890</v>
      </c>
      <c r="D14" s="1345" t="s">
        <v>708</v>
      </c>
      <c r="E14" s="1342"/>
      <c r="F14" s="319"/>
      <c r="G14" s="1384"/>
      <c r="H14" s="982" t="s">
        <v>398</v>
      </c>
      <c r="I14" s="302" t="s">
        <v>709</v>
      </c>
      <c r="J14" s="21">
        <f ca="1">C29</f>
        <v>965867</v>
      </c>
      <c r="K14" s="12"/>
      <c r="L14" s="807"/>
      <c r="M14" s="808"/>
    </row>
    <row r="15" spans="1:37" s="1397" customFormat="1" ht="18" customHeight="1" thickBot="1">
      <c r="A15" s="982" t="s">
        <v>399</v>
      </c>
      <c r="B15" s="302" t="s">
        <v>710</v>
      </c>
      <c r="C15" s="21">
        <f ca="1">ROUND(C14*F15,0)</f>
        <v>19797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22266</v>
      </c>
      <c r="K16" s="1087" t="s">
        <v>715</v>
      </c>
      <c r="L16" s="1088"/>
      <c r="M16" s="1072"/>
    </row>
    <row r="17" spans="1:37" s="1397" customFormat="1" ht="18" customHeight="1">
      <c r="A17" s="982" t="s">
        <v>681</v>
      </c>
      <c r="B17" s="302" t="s">
        <v>716</v>
      </c>
      <c r="C17" s="21">
        <f ca="1">ROUND(F17*(F43+INDIRECT("'数据-取费表'!S"&amp;$G$1)),0)</f>
        <v>56562</v>
      </c>
      <c r="D17" s="302" t="s">
        <v>717</v>
      </c>
      <c r="E17" s="302" t="s">
        <v>718</v>
      </c>
      <c r="F17" s="23">
        <f>'数据-取费表'!B35</f>
        <v>300</v>
      </c>
      <c r="G17" s="1396"/>
      <c r="H17" s="982" t="s">
        <v>398</v>
      </c>
      <c r="I17" s="302" t="s">
        <v>719</v>
      </c>
      <c r="J17" s="2316">
        <f ca="1">ROUND(IF(AND(项目基本情况!B11="自然人",项目基本情况!B10="北京市"),J6*M17/(1+'数据-取费表'!C42),J18+J19+J20),0)</f>
        <v>2949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746147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14923</v>
      </c>
      <c r="D20" s="323" t="s">
        <v>729</v>
      </c>
      <c r="E20" s="302" t="s">
        <v>712</v>
      </c>
      <c r="F20" s="322">
        <f>'数据-取费表'!B37</f>
        <v>0.02</v>
      </c>
      <c r="G20" s="1396"/>
      <c r="H20" s="982" t="s">
        <v>680</v>
      </c>
      <c r="I20" s="155" t="s">
        <v>730</v>
      </c>
      <c r="J20" s="22">
        <f ca="1">ROUND(M20*M21,0)</f>
        <v>2949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122.87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19317</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16554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3.0000000000000001E-3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-22266</v>
      </c>
      <c r="K25" s="1095" t="s">
        <v>753</v>
      </c>
      <c r="L25" s="1096"/>
      <c r="M25" s="1097"/>
    </row>
    <row r="26" spans="1:37" ht="18" customHeight="1">
      <c r="A26" s="982" t="s">
        <v>397</v>
      </c>
      <c r="B26" s="302" t="s">
        <v>754</v>
      </c>
      <c r="C26" s="21">
        <f ca="1">ROUND((C19+C20)*F26,0)</f>
        <v>114161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965867</v>
      </c>
      <c r="D29" s="1092"/>
      <c r="E29" s="1090"/>
      <c r="F29" s="1093"/>
      <c r="G29" s="1396"/>
      <c r="H29" s="334" t="s">
        <v>396</v>
      </c>
      <c r="I29" s="335" t="s">
        <v>768</v>
      </c>
      <c r="J29" s="336">
        <f ca="1">ROUND(J26/(1+F40)^F41,0)</f>
        <v>0</v>
      </c>
      <c r="K29" s="337" t="s">
        <v>769</v>
      </c>
      <c r="L29" s="338"/>
      <c r="M29" s="339">
        <f ca="1">INDIRECT("'数据-取费表'!k"&amp;$G$1)</f>
        <v>188.54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178617</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ROUND(IF(AND(项目基本情况!B11="自然人",项目基本情况!B10="北京市"),C6*F31/(1+'数据-取费表'!C42),C32+C33+C34),0)</f>
        <v>141024</v>
      </c>
      <c r="D31" s="1345" t="s">
        <v>720</v>
      </c>
      <c r="E31" s="1344" t="s">
        <v>770</v>
      </c>
      <c r="F31" s="2315" t="str">
        <f>IF(项目基本情况!B11="企业","——",IF(M47="住宅",IF(F6*F7*F8/12/(1+'数据-取费表'!F30)&gt;100000,4%,2.5%),IF(F6*F7*F8/12/(1+'数据-取费表'!F30)&gt;100000,12%,7%)))</f>
        <v>——</v>
      </c>
      <c r="G31" s="1384"/>
      <c r="H31" s="2805" t="s">
        <v>2306</v>
      </c>
      <c r="I31" s="1398"/>
      <c r="J31" s="1399"/>
      <c r="K31" s="2474"/>
      <c r="L31" s="2695"/>
      <c r="M31" s="2696"/>
    </row>
    <row r="32" spans="1:37" ht="18" customHeight="1">
      <c r="A32" s="982" t="s">
        <v>397</v>
      </c>
      <c r="B32" s="302" t="s">
        <v>723</v>
      </c>
      <c r="C32" s="21">
        <f ca="1">IF(项目基本情况!B11="自然人","——",ROUND(C6*F32/(1+'数据-取费表'!C42),0))</f>
        <v>43933</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94142</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2949</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122.87</v>
      </c>
      <c r="G35" s="1384"/>
      <c r="H35" s="2694"/>
      <c r="I35" s="1398"/>
      <c r="J35" s="1399"/>
      <c r="K35" s="2698"/>
      <c r="L35" s="2697"/>
      <c r="M35" s="2697"/>
    </row>
    <row r="36" spans="1:18" ht="18" customHeight="1">
      <c r="A36" s="1102" t="s">
        <v>402</v>
      </c>
      <c r="B36" s="302" t="s">
        <v>738</v>
      </c>
      <c r="C36" s="21">
        <f ca="1">ROUND(C29*F36,0)</f>
        <v>19317</v>
      </c>
      <c r="D36" s="1344" t="s">
        <v>771</v>
      </c>
      <c r="E36" s="302" t="s">
        <v>712</v>
      </c>
      <c r="F36" s="328">
        <f ca="1">INDIRECT("'数据-取费表'!Ak"&amp;$G$1)</f>
        <v>0.02</v>
      </c>
      <c r="G36" s="1384"/>
      <c r="H36" s="2697"/>
      <c r="I36" s="1398"/>
      <c r="J36" s="1399"/>
      <c r="K36" s="2542"/>
      <c r="L36" s="2697"/>
      <c r="M36" s="2697"/>
    </row>
    <row r="37" spans="1:18" ht="18" customHeight="1">
      <c r="A37" s="982" t="s">
        <v>437</v>
      </c>
      <c r="B37" s="302" t="s">
        <v>742</v>
      </c>
      <c r="C37" s="21">
        <f ca="1">ROUND(C13*F37,0)</f>
        <v>1739</v>
      </c>
      <c r="D37" s="1344" t="s">
        <v>743</v>
      </c>
      <c r="E37" s="302" t="s">
        <v>744</v>
      </c>
      <c r="F37" s="330">
        <f ca="1">INDIRECT("'数据-取费表'!Al"&amp;$G$1)</f>
        <v>3.0000000000000001E-3</v>
      </c>
      <c r="G37" s="1384"/>
      <c r="H37" s="2697"/>
      <c r="I37" s="1398"/>
      <c r="J37" s="1399"/>
      <c r="K37" s="2542"/>
      <c r="L37" s="2697"/>
      <c r="M37" s="2697"/>
    </row>
    <row r="38" spans="1:18" ht="18" customHeight="1" thickBot="1">
      <c r="A38" s="1089" t="s">
        <v>684</v>
      </c>
      <c r="B38" s="1090" t="s">
        <v>728</v>
      </c>
      <c r="C38" s="1091">
        <f ca="1">ROUND(C5*F38,0)</f>
        <v>16537</v>
      </c>
      <c r="D38" s="1092" t="s">
        <v>748</v>
      </c>
      <c r="E38" s="1090" t="s">
        <v>744</v>
      </c>
      <c r="F38" s="1086">
        <f ca="1">INDIRECT("'数据-取费表'!Am"&amp;$G$1)</f>
        <v>0.02</v>
      </c>
      <c r="G38" s="1384"/>
      <c r="H38" s="2697"/>
      <c r="I38" s="1398"/>
      <c r="J38" s="1399"/>
      <c r="K38" s="2701"/>
      <c r="L38" s="2697"/>
      <c r="M38" s="2697"/>
    </row>
    <row r="39" spans="1:18" ht="24.6" customHeight="1" thickTop="1">
      <c r="A39" s="1079" t="s">
        <v>394</v>
      </c>
      <c r="B39" s="1094" t="s">
        <v>772</v>
      </c>
      <c r="C39" s="310">
        <f ca="1">C5-C30</f>
        <v>648213</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11255142</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59696</v>
      </c>
      <c r="D43" s="337" t="s">
        <v>777</v>
      </c>
      <c r="E43" s="338" t="s">
        <v>778</v>
      </c>
      <c r="F43" s="339">
        <f ca="1">INDIRECT("'数据-取费表'!k"&amp;$G$1)</f>
        <v>188.54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f ca="1">ROUND((C68-C40)/10000,4)</f>
        <v>-1158.8856000000001</v>
      </c>
      <c r="D45" s="3429" t="s">
        <v>3355</v>
      </c>
      <c r="E45" s="1400"/>
      <c r="F45" s="1400"/>
      <c r="O45" s="1403" t="s">
        <v>808</v>
      </c>
      <c r="P45" s="1461"/>
      <c r="Q45" s="1461"/>
      <c r="R45" s="1461"/>
    </row>
    <row r="46" spans="1:18" s="1384" customFormat="1" ht="13.5" thickBot="1">
      <c r="A46" s="1404" t="s">
        <v>809</v>
      </c>
      <c r="C46" s="1405">
        <f ca="1">ROUND(C45,0)</f>
        <v>-1159</v>
      </c>
      <c r="D46" s="1406" t="str">
        <f>C2</f>
        <v>万元</v>
      </c>
      <c r="I46" s="1407" t="s">
        <v>810</v>
      </c>
      <c r="J46" s="1408"/>
      <c r="K46" s="1409"/>
      <c r="L46" s="1410">
        <f ca="1">IF(M47="住宅",0,IF(L48&gt;J51,L60,J60))</f>
        <v>386347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11255142</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30.83</v>
      </c>
      <c r="O48" s="1418" t="s">
        <v>404</v>
      </c>
      <c r="P48" s="1419" t="s">
        <v>821</v>
      </c>
      <c r="Q48" s="1420">
        <f ca="1">J60</f>
        <v>386347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965867</v>
      </c>
      <c r="R49" s="1420" t="s">
        <v>818</v>
      </c>
    </row>
    <row r="50" spans="1:18" s="1384" customFormat="1" ht="13.5" thickBot="1">
      <c r="A50" s="976"/>
      <c r="B50" s="979"/>
      <c r="C50" s="980"/>
      <c r="D50" s="953"/>
      <c r="E50" s="1056" t="s">
        <v>697</v>
      </c>
      <c r="F50" s="1057">
        <f ca="1">F7</f>
        <v>188.54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32410650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30.83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30.83</v>
      </c>
      <c r="K53" s="3726" t="s">
        <v>837</v>
      </c>
      <c r="L53" s="3727"/>
      <c r="O53" s="1418" t="s">
        <v>409</v>
      </c>
      <c r="P53" s="1419" t="s">
        <v>838</v>
      </c>
      <c r="Q53" s="1420">
        <f ca="1">Q47+Q48</f>
        <v>11641489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0.39600000000000002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579520</v>
      </c>
      <c r="D56" s="1447"/>
      <c r="E56" s="1448"/>
      <c r="F56" s="1440"/>
      <c r="I56" s="1449" t="s">
        <v>842</v>
      </c>
      <c r="J56" s="1450" t="s">
        <v>3656</v>
      </c>
      <c r="K56" s="1421" t="s">
        <v>843</v>
      </c>
      <c r="L56" s="1424" t="str">
        <f ca="1">IF(L48&lt;J51,"——",L48-J51)</f>
        <v>——</v>
      </c>
      <c r="O56" s="1418" t="s">
        <v>403</v>
      </c>
      <c r="P56" s="1419" t="s">
        <v>817</v>
      </c>
      <c r="Q56" s="1420">
        <f ca="1">C40+J29</f>
        <v>11255142</v>
      </c>
      <c r="R56" s="1420" t="s">
        <v>818</v>
      </c>
    </row>
    <row r="57" spans="1:18" s="1384" customFormat="1" ht="24.75" thickBot="1">
      <c r="A57" s="1451"/>
      <c r="B57" s="950" t="s">
        <v>767</v>
      </c>
      <c r="C57" s="238">
        <f ca="1">C29</f>
        <v>965867</v>
      </c>
      <c r="D57" s="1452"/>
      <c r="E57" s="1453"/>
      <c r="F57" s="1454"/>
      <c r="I57" s="1455" t="s">
        <v>844</v>
      </c>
      <c r="J57" s="1456">
        <f ca="1">IF(OR(M47="住宅",J51&lt;L48,J56="是"),"——",J51-L48)</f>
        <v>19.170000000000002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24005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2949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386347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386347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2949</v>
      </c>
      <c r="D62" s="965" t="s">
        <v>786</v>
      </c>
      <c r="E62" s="950" t="s">
        <v>787</v>
      </c>
      <c r="F62" s="325">
        <f t="shared" si="0"/>
        <v>24</v>
      </c>
      <c r="I62" s="1462" t="s">
        <v>858</v>
      </c>
      <c r="J62" s="1463" t="s">
        <v>859</v>
      </c>
      <c r="K62" s="1463" t="s">
        <v>860</v>
      </c>
      <c r="L62" s="1463" t="s">
        <v>861</v>
      </c>
      <c r="M62" s="1464" t="s">
        <v>862</v>
      </c>
      <c r="O62" s="1418" t="s">
        <v>409</v>
      </c>
      <c r="P62" s="1419" t="s">
        <v>863</v>
      </c>
      <c r="Q62" s="1420">
        <f ca="1">Q56+Q57</f>
        <v>11255142</v>
      </c>
      <c r="R62" s="1420" t="s">
        <v>410</v>
      </c>
    </row>
    <row r="63" spans="1:18" s="1384" customFormat="1" ht="13.5" thickBot="1">
      <c r="A63" s="326"/>
      <c r="B63" s="956"/>
      <c r="C63" s="26"/>
      <c r="D63" s="966"/>
      <c r="E63" s="950" t="s">
        <v>788</v>
      </c>
      <c r="F63" s="303">
        <f t="shared" ca="1" si="0"/>
        <v>122.87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19317</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1739</v>
      </c>
      <c r="D65" s="964" t="s">
        <v>743</v>
      </c>
      <c r="E65" s="950" t="s">
        <v>744</v>
      </c>
      <c r="F65" s="330">
        <f t="shared" ca="1" si="0"/>
        <v>3.0000000000000001E-3</v>
      </c>
      <c r="I65" s="1462" t="s">
        <v>867</v>
      </c>
      <c r="J65" s="1463">
        <v>40</v>
      </c>
      <c r="K65" s="1463">
        <v>30</v>
      </c>
      <c r="L65" s="1463">
        <v>50</v>
      </c>
      <c r="M65" s="1465">
        <v>0.02</v>
      </c>
      <c r="O65" s="1418" t="s">
        <v>403</v>
      </c>
      <c r="P65" s="1419" t="s">
        <v>868</v>
      </c>
      <c r="Q65" s="1420">
        <f ca="1">C40+J29</f>
        <v>11255142</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-24005</v>
      </c>
      <c r="D67" s="963" t="s">
        <v>753</v>
      </c>
      <c r="E67" s="968"/>
      <c r="F67" s="969"/>
      <c r="O67" s="1428" t="s">
        <v>405</v>
      </c>
      <c r="P67" s="1419" t="s">
        <v>850</v>
      </c>
      <c r="Q67" s="1466">
        <f ca="1">L51</f>
        <v>32410650</v>
      </c>
      <c r="R67" s="1420" t="s">
        <v>870</v>
      </c>
    </row>
    <row r="68" spans="1:18" s="1384" customFormat="1" ht="16.5" thickBot="1">
      <c r="A68" s="947" t="s">
        <v>395</v>
      </c>
      <c r="B68" s="948" t="s">
        <v>774</v>
      </c>
      <c r="C68" s="301">
        <f ca="1">ROUND(C67*(1-((1+F70)/(1+F68))^F69)/(F68-F70),0)</f>
        <v>-333714</v>
      </c>
      <c r="D68" s="965" t="s">
        <v>758</v>
      </c>
      <c r="E68" s="950" t="s">
        <v>759</v>
      </c>
      <c r="F68" s="312">
        <f ca="1">F40</f>
        <v>0.06</v>
      </c>
      <c r="O68" s="1428" t="s">
        <v>406</v>
      </c>
      <c r="P68" s="1467" t="s">
        <v>871</v>
      </c>
      <c r="Q68" s="1420">
        <f ca="1">ROUND(Q69-Q70*Q71,0)</f>
        <v>648213</v>
      </c>
      <c r="R68" s="1420" t="s">
        <v>414</v>
      </c>
    </row>
    <row r="69" spans="1:18" s="1384" customFormat="1" ht="13.5" thickBot="1">
      <c r="A69" s="951"/>
      <c r="B69" s="952"/>
      <c r="C69" s="306"/>
      <c r="D69" s="970" t="s">
        <v>762</v>
      </c>
      <c r="E69" s="950" t="s">
        <v>763</v>
      </c>
      <c r="F69" s="333">
        <f ca="1">F41</f>
        <v>30.83</v>
      </c>
      <c r="O69" s="1428" t="s">
        <v>411</v>
      </c>
      <c r="P69" s="1467" t="s">
        <v>872</v>
      </c>
      <c r="Q69" s="1420">
        <f ca="1">C39</f>
        <v>648213</v>
      </c>
      <c r="R69" s="1420" t="s">
        <v>818</v>
      </c>
    </row>
    <row r="70" spans="1:18" s="1384" customFormat="1" ht="13.5" thickBot="1">
      <c r="A70" s="954"/>
      <c r="B70" s="955"/>
      <c r="C70" s="310"/>
      <c r="D70" s="966"/>
      <c r="E70" s="950" t="s">
        <v>766</v>
      </c>
      <c r="F70" s="1054"/>
      <c r="O70" s="1428" t="s">
        <v>412</v>
      </c>
      <c r="P70" s="1467" t="s">
        <v>873</v>
      </c>
      <c r="Q70" s="1420">
        <f ca="1">C13</f>
        <v>579520</v>
      </c>
      <c r="R70" s="1420" t="s">
        <v>818</v>
      </c>
    </row>
    <row r="71" spans="1:18" s="1384" customFormat="1" ht="13.5" thickBot="1">
      <c r="A71" s="971" t="s">
        <v>396</v>
      </c>
      <c r="B71" s="972" t="s">
        <v>776</v>
      </c>
      <c r="C71" s="336">
        <f ca="1">ROUND(C68/F71,0)</f>
        <v>-1770</v>
      </c>
      <c r="D71" s="973" t="s">
        <v>777</v>
      </c>
      <c r="E71" s="974" t="s">
        <v>778</v>
      </c>
      <c r="F71" s="339">
        <f ca="1">F43</f>
        <v>188.54</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11255142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0.94899999999999995</v>
      </c>
    </row>
    <row r="83" spans="2:3">
      <c r="B83" s="273" t="s">
        <v>803</v>
      </c>
      <c r="C83" s="274">
        <f ca="1">ROUND(C13/C40,3)</f>
        <v>5.0999999999999997E-2</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3361</v>
      </c>
      <c r="E2" s="3441"/>
      <c r="F2" s="2843"/>
      <c r="G2" s="2844"/>
      <c r="H2" s="2845"/>
      <c r="I2" s="2846"/>
      <c r="J2" s="3756" t="s">
        <v>2316</v>
      </c>
      <c r="K2" s="3757"/>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8" t="s">
        <v>2326</v>
      </c>
      <c r="K3" s="3759"/>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8" t="s">
        <v>2328</v>
      </c>
      <c r="K4" s="3759"/>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64" t="s">
        <v>2332</v>
      </c>
      <c r="B6" s="3765"/>
      <c r="C6" s="3766"/>
      <c r="D6" s="2867"/>
      <c r="E6" s="2868"/>
      <c r="F6" s="2869"/>
      <c r="G6" s="2870"/>
      <c r="H6" s="2845"/>
      <c r="I6" s="2846"/>
      <c r="J6" s="3750">
        <v>1</v>
      </c>
      <c r="K6" s="375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0"/>
      <c r="K7" s="375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7" t="s">
        <v>2346</v>
      </c>
      <c r="C8" s="3768"/>
      <c r="D8" s="2886" t="s">
        <v>2347</v>
      </c>
      <c r="E8" s="2887" t="s">
        <v>2348</v>
      </c>
      <c r="F8" s="2888" t="s">
        <v>2349</v>
      </c>
      <c r="G8" s="2889"/>
      <c r="H8" s="2845"/>
      <c r="I8" s="2846"/>
      <c r="J8" s="3750"/>
      <c r="K8" s="375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7" t="s">
        <v>2352</v>
      </c>
      <c r="C9" s="3768"/>
      <c r="D9" s="2886">
        <f>ROUND(D6*E9,0)</f>
        <v>0</v>
      </c>
      <c r="E9" s="2890"/>
      <c r="F9" s="2891" t="s">
        <v>2353</v>
      </c>
      <c r="G9" s="2870"/>
      <c r="H9" s="2845"/>
      <c r="I9" s="2846"/>
      <c r="J9" s="3750"/>
      <c r="K9" s="3752"/>
      <c r="L9" s="2880" t="s">
        <v>2354</v>
      </c>
      <c r="M9" s="2881"/>
      <c r="N9" s="2857"/>
      <c r="O9" s="2882"/>
      <c r="P9" s="2882"/>
      <c r="Q9" s="2883">
        <v>365</v>
      </c>
      <c r="R9" s="2884">
        <f t="shared" si="0"/>
        <v>0</v>
      </c>
      <c r="S9" s="2838"/>
      <c r="T9" s="2838"/>
      <c r="U9" s="2838"/>
      <c r="V9" s="2846"/>
    </row>
    <row r="10" spans="1:22" s="2850" customFormat="1" ht="13.15" customHeight="1">
      <c r="A10" s="2885">
        <v>2</v>
      </c>
      <c r="B10" s="3767" t="s">
        <v>2355</v>
      </c>
      <c r="C10" s="3768"/>
      <c r="D10" s="2886">
        <f>ROUND(D6*E10,0)</f>
        <v>0</v>
      </c>
      <c r="E10" s="2890"/>
      <c r="F10" s="2891" t="s">
        <v>2356</v>
      </c>
      <c r="G10" s="2870"/>
      <c r="H10" s="2845"/>
      <c r="I10" s="2846"/>
      <c r="J10" s="3750"/>
      <c r="K10" s="3752"/>
      <c r="L10" s="2880" t="s">
        <v>2357</v>
      </c>
      <c r="M10" s="2881"/>
      <c r="N10" s="2857"/>
      <c r="O10" s="2882"/>
      <c r="P10" s="2882"/>
      <c r="Q10" s="2883">
        <v>365</v>
      </c>
      <c r="R10" s="2884">
        <f t="shared" si="0"/>
        <v>0</v>
      </c>
      <c r="S10" s="2838"/>
      <c r="T10" s="2838"/>
      <c r="U10" s="2838"/>
      <c r="V10" s="2846"/>
    </row>
    <row r="11" spans="1:22" s="2850" customFormat="1" ht="13.15" customHeight="1">
      <c r="A11" s="2885">
        <v>3</v>
      </c>
      <c r="B11" s="3767" t="s">
        <v>2358</v>
      </c>
      <c r="C11" s="3768"/>
      <c r="D11" s="2886">
        <f>D12+D14+D15+D16</f>
        <v>0</v>
      </c>
      <c r="E11" s="2892" t="e">
        <f>D11/D6</f>
        <v>#DIV/0!</v>
      </c>
      <c r="F11" s="2888"/>
      <c r="G11" s="2889"/>
      <c r="H11" s="2845"/>
      <c r="I11" s="2846"/>
      <c r="J11" s="3750"/>
      <c r="K11" s="375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60" t="s">
        <v>2361</v>
      </c>
      <c r="C12" s="3761"/>
      <c r="D12" s="2894">
        <f>ROUND(D13*1.2%*(1-30%),0)</f>
        <v>0</v>
      </c>
      <c r="E12" s="2895">
        <v>1.2E-2</v>
      </c>
      <c r="F12" s="2888" t="s">
        <v>2362</v>
      </c>
      <c r="G12" s="2889"/>
      <c r="H12" s="2845"/>
      <c r="I12" s="2846"/>
      <c r="J12" s="3750"/>
      <c r="K12" s="375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0"/>
      <c r="K13" s="375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60" t="s">
        <v>2367</v>
      </c>
      <c r="C14" s="3761"/>
      <c r="D14" s="2894">
        <f>ROUND(E14*B5/10000,0)</f>
        <v>0</v>
      </c>
      <c r="E14" s="2883"/>
      <c r="F14" s="2888" t="s">
        <v>2368</v>
      </c>
      <c r="G14" s="2889"/>
      <c r="H14" s="2845"/>
      <c r="I14" s="2846"/>
      <c r="J14" s="3750"/>
      <c r="K14" s="375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60" t="s">
        <v>2371</v>
      </c>
      <c r="C15" s="3761"/>
      <c r="D15" s="2894">
        <f>ROUND(D6*E15,0)</f>
        <v>0</v>
      </c>
      <c r="E15" s="2895">
        <v>5.5E-2</v>
      </c>
      <c r="F15" s="2888" t="s">
        <v>2372</v>
      </c>
      <c r="G15" s="2870"/>
      <c r="H15" s="2845"/>
      <c r="I15" s="2846"/>
      <c r="J15" s="3750">
        <v>2</v>
      </c>
      <c r="K15" s="375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60" t="s">
        <v>2380</v>
      </c>
      <c r="C16" s="3761"/>
      <c r="D16" s="2905">
        <f>D6*E16</f>
        <v>0</v>
      </c>
      <c r="E16" s="2906"/>
      <c r="F16" s="2891" t="s">
        <v>2381</v>
      </c>
      <c r="G16" s="2870"/>
      <c r="H16" s="2845"/>
      <c r="I16" s="2846"/>
      <c r="J16" s="3750"/>
      <c r="K16" s="375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62" t="s">
        <v>2383</v>
      </c>
      <c r="C17" s="3763"/>
      <c r="D17" s="2908">
        <f>ROUND(D6*E17,0)</f>
        <v>0</v>
      </c>
      <c r="E17" s="2909"/>
      <c r="F17" s="2910" t="s">
        <v>2384</v>
      </c>
      <c r="G17" s="2870"/>
      <c r="H17" s="2845"/>
      <c r="I17" s="2846"/>
      <c r="J17" s="3750"/>
      <c r="K17" s="375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0"/>
      <c r="K18" s="375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0"/>
      <c r="K19" s="375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0">
        <v>3</v>
      </c>
      <c r="K20" s="375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0"/>
      <c r="K21" s="375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0"/>
      <c r="K22" s="375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0"/>
      <c r="K23" s="375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0"/>
      <c r="K24" s="375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54">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5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56" t="s">
        <v>2316</v>
      </c>
      <c r="K32" s="3757"/>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8" t="s">
        <v>2326</v>
      </c>
      <c r="K33" s="3759"/>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8" t="s">
        <v>2328</v>
      </c>
      <c r="K34" s="375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0">
        <v>1</v>
      </c>
      <c r="K36" s="375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0"/>
      <c r="K37" s="375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0"/>
      <c r="K38" s="375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0"/>
      <c r="K39" s="375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0"/>
      <c r="K40" s="375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4">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5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1164.1488999999999</v>
      </c>
      <c r="C2" s="1872" t="s">
        <v>1651</v>
      </c>
      <c r="D2" s="1873" t="s">
        <v>1652</v>
      </c>
      <c r="E2" s="2605">
        <f>SUM(E6:E13)</f>
        <v>188.54</v>
      </c>
      <c r="F2" s="2704"/>
      <c r="G2" s="1489"/>
      <c r="H2" s="1489"/>
      <c r="I2" s="1489"/>
      <c r="J2" s="1489"/>
      <c r="K2" s="1489"/>
      <c r="L2" s="1489"/>
      <c r="M2" s="1489"/>
      <c r="N2" s="1489"/>
      <c r="O2" s="1489"/>
      <c r="P2" s="1489"/>
      <c r="Q2" s="1489"/>
      <c r="R2" s="1489"/>
      <c r="S2" s="1489"/>
    </row>
    <row r="3" spans="1:22" ht="15.75">
      <c r="A3" s="1870" t="s">
        <v>686</v>
      </c>
      <c r="B3" s="2599">
        <f ca="1">ROUND(B2*10000/E2,0)</f>
        <v>61745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69" t="s">
        <v>1654</v>
      </c>
      <c r="C5" s="3770"/>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1164.1488999999999</v>
      </c>
      <c r="C6" s="1872" t="s">
        <v>1651</v>
      </c>
      <c r="D6" s="2706"/>
      <c r="E6" s="2604">
        <f>IF(OR(A6=0,F6="否"),0,'数据-取费表'!K6+'数据-取费表'!S6)</f>
        <v>188.54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188.54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89" t="s">
        <v>1667</v>
      </c>
      <c r="D4" s="3790"/>
      <c r="E4" s="3791" t="s">
        <v>1668</v>
      </c>
      <c r="F4" s="3792"/>
      <c r="G4" s="3789" t="s">
        <v>1669</v>
      </c>
      <c r="H4" s="3790"/>
      <c r="I4" s="3789" t="s">
        <v>1670</v>
      </c>
      <c r="J4" s="3790"/>
      <c r="K4" s="1889" t="s">
        <v>1671</v>
      </c>
      <c r="L4" s="2712"/>
      <c r="M4" s="2713"/>
      <c r="N4" s="2713"/>
      <c r="O4" s="2713"/>
      <c r="P4" s="3793" t="s">
        <v>1672</v>
      </c>
      <c r="Q4" s="3794"/>
      <c r="R4" s="3799" t="s">
        <v>1668</v>
      </c>
      <c r="S4" s="3800"/>
      <c r="T4" s="3799" t="s">
        <v>1669</v>
      </c>
      <c r="U4" s="3800"/>
      <c r="V4" s="3805" t="s">
        <v>1670</v>
      </c>
      <c r="W4" s="3805"/>
      <c r="X4" s="1355"/>
      <c r="Y4" s="3799" t="s">
        <v>1672</v>
      </c>
      <c r="Z4" s="3800"/>
      <c r="AA4" s="3786" t="s">
        <v>1668</v>
      </c>
      <c r="AB4" s="3786" t="s">
        <v>1669</v>
      </c>
      <c r="AC4" s="3786" t="s">
        <v>1670</v>
      </c>
    </row>
    <row r="5" spans="1:29" ht="15">
      <c r="A5" s="358"/>
      <c r="B5" s="359"/>
      <c r="C5" s="3808" t="s">
        <v>1673</v>
      </c>
      <c r="D5" s="3809"/>
      <c r="E5" s="3815" t="s">
        <v>1674</v>
      </c>
      <c r="F5" s="3816"/>
      <c r="G5" s="3808" t="s">
        <v>1675</v>
      </c>
      <c r="H5" s="3809"/>
      <c r="I5" s="3808" t="s">
        <v>1676</v>
      </c>
      <c r="J5" s="3809"/>
      <c r="K5" s="1890"/>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1890"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10" t="s">
        <v>1680</v>
      </c>
      <c r="Q7" s="3812"/>
      <c r="R7" s="701" t="s">
        <v>20</v>
      </c>
      <c r="S7" s="702">
        <f t="shared" ref="S7:S15" si="0">F7</f>
        <v>0</v>
      </c>
      <c r="T7" s="701" t="s">
        <v>20</v>
      </c>
      <c r="U7" s="702">
        <f t="shared" ref="U7:U15" si="1">H7</f>
        <v>0</v>
      </c>
      <c r="V7" s="701" t="s">
        <v>20</v>
      </c>
      <c r="W7" s="702">
        <f t="shared" ref="W7:W15"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10" t="s">
        <v>1683</v>
      </c>
      <c r="Q8" s="3811"/>
      <c r="R8" s="701" t="s">
        <v>20</v>
      </c>
      <c r="S8" s="702">
        <f t="shared" si="0"/>
        <v>100</v>
      </c>
      <c r="T8" s="701" t="s">
        <v>20</v>
      </c>
      <c r="U8" s="702">
        <f t="shared" si="1"/>
        <v>100</v>
      </c>
      <c r="V8" s="701" t="s">
        <v>20</v>
      </c>
      <c r="W8" s="702">
        <f t="shared" si="2"/>
        <v>100</v>
      </c>
      <c r="X8" s="703"/>
      <c r="Y8" s="3810" t="s">
        <v>1683</v>
      </c>
      <c r="Z8" s="38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8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8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85"/>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85"/>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85"/>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85"/>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83" t="s">
        <v>1691</v>
      </c>
      <c r="Q15" s="1352" t="str">
        <f t="shared" si="6"/>
        <v>居住社区成熟度</v>
      </c>
      <c r="R15" s="705" t="s">
        <v>18</v>
      </c>
      <c r="S15" s="706">
        <f t="shared" si="0"/>
        <v>100</v>
      </c>
      <c r="T15" s="705" t="s">
        <v>18</v>
      </c>
      <c r="U15" s="706">
        <f t="shared" si="1"/>
        <v>100</v>
      </c>
      <c r="V15" s="705" t="s">
        <v>18</v>
      </c>
      <c r="W15" s="706">
        <f t="shared" si="2"/>
        <v>100</v>
      </c>
      <c r="X15" s="1355"/>
      <c r="Y15" s="37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84"/>
      <c r="Q16" s="1352"/>
      <c r="R16" s="705"/>
      <c r="S16" s="706"/>
      <c r="T16" s="705"/>
      <c r="U16" s="706"/>
      <c r="V16" s="705"/>
      <c r="W16" s="706"/>
      <c r="X16" s="1355"/>
      <c r="Y16" s="3777"/>
      <c r="Z16" s="1356"/>
      <c r="AA16" s="1353">
        <v>1</v>
      </c>
      <c r="AB16" s="1353">
        <v>1</v>
      </c>
      <c r="AC16" s="1353">
        <v>1</v>
      </c>
    </row>
    <row r="17" spans="1:29" ht="114">
      <c r="A17" s="379"/>
      <c r="B17" s="402" t="s">
        <v>1259</v>
      </c>
      <c r="C17" s="1900" t="str">
        <f>估价对象房地状况!C6</f>
        <v>周边有2路、5路、14路、20路、66路、70路、93路等多条公交线路、地铁2号线（和平门站）及地铁7号线（虎坊桥站），交通较便捷</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84"/>
      <c r="Q17" s="1352" t="str">
        <f>B17</f>
        <v>交通便捷度</v>
      </c>
      <c r="R17" s="705" t="s">
        <v>18</v>
      </c>
      <c r="S17" s="706">
        <f>F17</f>
        <v>100</v>
      </c>
      <c r="T17" s="705" t="s">
        <v>18</v>
      </c>
      <c r="U17" s="706">
        <f>H17</f>
        <v>100</v>
      </c>
      <c r="V17" s="705" t="s">
        <v>18</v>
      </c>
      <c r="W17" s="706">
        <f>J17</f>
        <v>100</v>
      </c>
      <c r="X17" s="1355"/>
      <c r="Y17" s="37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84"/>
      <c r="Q18" s="1352"/>
      <c r="R18" s="705"/>
      <c r="S18" s="706"/>
      <c r="T18" s="705"/>
      <c r="U18" s="706"/>
      <c r="V18" s="705"/>
      <c r="W18" s="706"/>
      <c r="X18" s="1355"/>
      <c r="Y18" s="37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84"/>
      <c r="Q19" s="1352" t="str">
        <f>B19</f>
        <v>公共配套设施</v>
      </c>
      <c r="R19" s="705" t="s">
        <v>18</v>
      </c>
      <c r="S19" s="706">
        <f>F19</f>
        <v>100</v>
      </c>
      <c r="T19" s="705" t="s">
        <v>18</v>
      </c>
      <c r="U19" s="706">
        <f>H19</f>
        <v>100</v>
      </c>
      <c r="V19" s="705" t="s">
        <v>18</v>
      </c>
      <c r="W19" s="706">
        <f>J19</f>
        <v>100</v>
      </c>
      <c r="X19" s="1355"/>
      <c r="Y19" s="37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84"/>
      <c r="Q20" s="1352"/>
      <c r="R20" s="705"/>
      <c r="S20" s="706"/>
      <c r="T20" s="705"/>
      <c r="U20" s="706"/>
      <c r="V20" s="705"/>
      <c r="W20" s="706"/>
      <c r="X20" s="1355"/>
      <c r="Y20" s="37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84"/>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84"/>
      <c r="Q22" s="1352"/>
      <c r="R22" s="705"/>
      <c r="S22" s="706"/>
      <c r="T22" s="705"/>
      <c r="U22" s="706"/>
      <c r="V22" s="705"/>
      <c r="W22" s="706"/>
      <c r="X22" s="1355"/>
      <c r="Y22" s="3777"/>
      <c r="Z22" s="1356"/>
      <c r="AA22" s="1353">
        <v>1</v>
      </c>
      <c r="AB22" s="1353">
        <v>1</v>
      </c>
      <c r="AC22" s="1353">
        <v>1</v>
      </c>
    </row>
    <row r="23" spans="1:29" ht="114">
      <c r="A23" s="379"/>
      <c r="B23" s="402" t="s">
        <v>1261</v>
      </c>
      <c r="C23" s="1900" t="str">
        <f>估价对象房地状况!C9</f>
        <v>区域自然环境：后孙公园、月亮湾公园、三里河公园等；人文环境：勅建火神庙、国家大剧院、天安门广场等；综合评价环境状况较好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84"/>
      <c r="Q23" s="1352" t="str">
        <f>B23</f>
        <v>自然及人文环境</v>
      </c>
      <c r="R23" s="705" t="s">
        <v>18</v>
      </c>
      <c r="S23" s="706">
        <f>F23</f>
        <v>100</v>
      </c>
      <c r="T23" s="705" t="s">
        <v>18</v>
      </c>
      <c r="U23" s="706">
        <f>H23</f>
        <v>100</v>
      </c>
      <c r="V23" s="705" t="s">
        <v>18</v>
      </c>
      <c r="W23" s="706">
        <f>J23</f>
        <v>100</v>
      </c>
      <c r="X23" s="1355"/>
      <c r="Y23" s="37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84"/>
      <c r="Q24" s="1352"/>
      <c r="R24" s="705"/>
      <c r="S24" s="706"/>
      <c r="T24" s="705"/>
      <c r="U24" s="706"/>
      <c r="V24" s="705"/>
      <c r="W24" s="706"/>
      <c r="X24" s="1355"/>
      <c r="Y24" s="37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84"/>
      <c r="Q26" s="1352" t="str">
        <f t="shared" si="11"/>
        <v>朝向</v>
      </c>
      <c r="R26" s="705" t="s">
        <v>18</v>
      </c>
      <c r="S26" s="706">
        <f t="shared" si="12"/>
        <v>100</v>
      </c>
      <c r="T26" s="705" t="s">
        <v>18</v>
      </c>
      <c r="U26" s="706">
        <f t="shared" si="13"/>
        <v>100</v>
      </c>
      <c r="V26" s="705" t="s">
        <v>18</v>
      </c>
      <c r="W26" s="706">
        <f t="shared" si="14"/>
        <v>100</v>
      </c>
      <c r="X26" s="1355"/>
      <c r="Y26" s="37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84"/>
      <c r="Q27" s="1343">
        <f t="shared" si="11"/>
        <v>111</v>
      </c>
      <c r="R27" s="701" t="s">
        <v>18</v>
      </c>
      <c r="S27" s="702">
        <f t="shared" si="12"/>
        <v>100</v>
      </c>
      <c r="T27" s="701" t="s">
        <v>18</v>
      </c>
      <c r="U27" s="702">
        <f t="shared" si="13"/>
        <v>100</v>
      </c>
      <c r="V27" s="701" t="s">
        <v>18</v>
      </c>
      <c r="W27" s="702">
        <f t="shared" si="14"/>
        <v>100</v>
      </c>
      <c r="X27" s="703"/>
      <c r="Y27" s="37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84"/>
      <c r="Q28" s="1352">
        <f t="shared" si="11"/>
        <v>111</v>
      </c>
      <c r="R28" s="705" t="s">
        <v>18</v>
      </c>
      <c r="S28" s="706">
        <f t="shared" si="12"/>
        <v>100</v>
      </c>
      <c r="T28" s="705" t="s">
        <v>18</v>
      </c>
      <c r="U28" s="706">
        <f t="shared" si="13"/>
        <v>100</v>
      </c>
      <c r="V28" s="705" t="s">
        <v>18</v>
      </c>
      <c r="W28" s="706">
        <f t="shared" si="14"/>
        <v>100</v>
      </c>
      <c r="X28" s="1355"/>
      <c r="Y28" s="37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84"/>
      <c r="Q29" s="1352">
        <f t="shared" si="11"/>
        <v>111</v>
      </c>
      <c r="R29" s="705" t="s">
        <v>18</v>
      </c>
      <c r="S29" s="706">
        <f t="shared" si="12"/>
        <v>100</v>
      </c>
      <c r="T29" s="705" t="s">
        <v>18</v>
      </c>
      <c r="U29" s="706">
        <f t="shared" si="13"/>
        <v>100</v>
      </c>
      <c r="V29" s="705" t="s">
        <v>18</v>
      </c>
      <c r="W29" s="706">
        <f t="shared" si="14"/>
        <v>100</v>
      </c>
      <c r="X29" s="1355"/>
      <c r="Y29" s="37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84"/>
      <c r="Q30" s="1352">
        <f t="shared" si="11"/>
        <v>111</v>
      </c>
      <c r="R30" s="705" t="s">
        <v>18</v>
      </c>
      <c r="S30" s="706">
        <f t="shared" si="12"/>
        <v>100</v>
      </c>
      <c r="T30" s="705" t="s">
        <v>18</v>
      </c>
      <c r="U30" s="706">
        <f t="shared" si="13"/>
        <v>100</v>
      </c>
      <c r="V30" s="705" t="s">
        <v>18</v>
      </c>
      <c r="W30" s="706">
        <f t="shared" si="14"/>
        <v>100</v>
      </c>
      <c r="X30" s="1355"/>
      <c r="Y30" s="37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84"/>
      <c r="Q31" s="1352">
        <f t="shared" si="11"/>
        <v>111</v>
      </c>
      <c r="R31" s="705" t="s">
        <v>18</v>
      </c>
      <c r="S31" s="706">
        <f t="shared" si="12"/>
        <v>100</v>
      </c>
      <c r="T31" s="705" t="s">
        <v>18</v>
      </c>
      <c r="U31" s="706">
        <f t="shared" si="13"/>
        <v>100</v>
      </c>
      <c r="V31" s="705" t="s">
        <v>18</v>
      </c>
      <c r="W31" s="706">
        <f t="shared" si="14"/>
        <v>100</v>
      </c>
      <c r="X31" s="1355"/>
      <c r="Y31" s="37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78" t="s">
        <v>1696</v>
      </c>
      <c r="Q32" s="1352" t="str">
        <f t="shared" si="11"/>
        <v>建筑类型</v>
      </c>
      <c r="R32" s="705" t="s">
        <v>18</v>
      </c>
      <c r="S32" s="706">
        <f t="shared" si="12"/>
        <v>100</v>
      </c>
      <c r="T32" s="705" t="s">
        <v>18</v>
      </c>
      <c r="U32" s="706">
        <f t="shared" si="13"/>
        <v>100</v>
      </c>
      <c r="V32" s="705" t="s">
        <v>18</v>
      </c>
      <c r="W32" s="706">
        <f t="shared" si="14"/>
        <v>100</v>
      </c>
      <c r="X32" s="1355"/>
      <c r="Y32" s="37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79"/>
      <c r="Q33" s="707" t="str">
        <f t="shared" si="11"/>
        <v>项目建筑规模</v>
      </c>
      <c r="R33" s="708" t="s">
        <v>18</v>
      </c>
      <c r="S33" s="709" t="e">
        <f t="shared" si="12"/>
        <v>#N/A</v>
      </c>
      <c r="T33" s="708" t="s">
        <v>18</v>
      </c>
      <c r="U33" s="709" t="e">
        <f t="shared" si="13"/>
        <v>#N/A</v>
      </c>
      <c r="V33" s="708" t="s">
        <v>18</v>
      </c>
      <c r="W33" s="709" t="e">
        <f t="shared" si="14"/>
        <v>#N/A</v>
      </c>
      <c r="X33" s="710"/>
      <c r="Y33" s="37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79"/>
      <c r="Q34" s="1352" t="str">
        <f t="shared" si="11"/>
        <v>建筑结构</v>
      </c>
      <c r="R34" s="705" t="s">
        <v>18</v>
      </c>
      <c r="S34" s="706">
        <f t="shared" si="12"/>
        <v>100</v>
      </c>
      <c r="T34" s="705" t="s">
        <v>18</v>
      </c>
      <c r="U34" s="706">
        <f t="shared" si="13"/>
        <v>100</v>
      </c>
      <c r="V34" s="705" t="s">
        <v>18</v>
      </c>
      <c r="W34" s="706">
        <f t="shared" si="14"/>
        <v>100</v>
      </c>
      <c r="X34" s="1355"/>
      <c r="Y34" s="37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79"/>
      <c r="Q35" s="1352" t="str">
        <f t="shared" si="11"/>
        <v>建筑品质</v>
      </c>
      <c r="R35" s="705" t="s">
        <v>18</v>
      </c>
      <c r="S35" s="706">
        <f t="shared" si="12"/>
        <v>100</v>
      </c>
      <c r="T35" s="705" t="s">
        <v>18</v>
      </c>
      <c r="U35" s="706">
        <f t="shared" si="13"/>
        <v>100</v>
      </c>
      <c r="V35" s="705" t="s">
        <v>18</v>
      </c>
      <c r="W35" s="706">
        <f t="shared" si="14"/>
        <v>100</v>
      </c>
      <c r="X35" s="1355"/>
      <c r="Y35" s="37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79"/>
      <c r="Q36" s="1352" t="str">
        <f t="shared" si="11"/>
        <v>公共部分装修</v>
      </c>
      <c r="R36" s="705" t="s">
        <v>18</v>
      </c>
      <c r="S36" s="706">
        <f t="shared" si="12"/>
        <v>100</v>
      </c>
      <c r="T36" s="705" t="s">
        <v>18</v>
      </c>
      <c r="U36" s="706">
        <f t="shared" si="13"/>
        <v>100</v>
      </c>
      <c r="V36" s="705" t="s">
        <v>18</v>
      </c>
      <c r="W36" s="706">
        <f t="shared" si="14"/>
        <v>100</v>
      </c>
      <c r="X36" s="1355"/>
      <c r="Y36" s="37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9"/>
      <c r="Q37" s="1343" t="str">
        <f t="shared" si="11"/>
        <v>成新度</v>
      </c>
      <c r="R37" s="701" t="s">
        <v>18</v>
      </c>
      <c r="S37" s="702" t="e">
        <f t="shared" si="12"/>
        <v>#N/A</v>
      </c>
      <c r="T37" s="701" t="s">
        <v>18</v>
      </c>
      <c r="U37" s="702" t="e">
        <f t="shared" si="13"/>
        <v>#N/A</v>
      </c>
      <c r="V37" s="701" t="s">
        <v>18</v>
      </c>
      <c r="W37" s="702" t="e">
        <f t="shared" si="14"/>
        <v>#N/A</v>
      </c>
      <c r="X37" s="703"/>
      <c r="Y37" s="37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79" t="s">
        <v>1696</v>
      </c>
      <c r="Q38" s="1352" t="str">
        <f t="shared" si="11"/>
        <v>物业管理</v>
      </c>
      <c r="R38" s="705" t="s">
        <v>18</v>
      </c>
      <c r="S38" s="706">
        <f t="shared" si="12"/>
        <v>100</v>
      </c>
      <c r="T38" s="705" t="s">
        <v>18</v>
      </c>
      <c r="U38" s="706">
        <f t="shared" si="13"/>
        <v>100</v>
      </c>
      <c r="V38" s="705" t="s">
        <v>18</v>
      </c>
      <c r="W38" s="706">
        <f t="shared" si="14"/>
        <v>100</v>
      </c>
      <c r="X38" s="1355"/>
      <c r="Y38" s="37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79"/>
      <c r="Q39" s="1352" t="str">
        <f t="shared" si="11"/>
        <v>市政基础设施</v>
      </c>
      <c r="R39" s="705" t="s">
        <v>18</v>
      </c>
      <c r="S39" s="706">
        <f t="shared" si="12"/>
        <v>100</v>
      </c>
      <c r="T39" s="705" t="s">
        <v>18</v>
      </c>
      <c r="U39" s="706">
        <f t="shared" si="13"/>
        <v>100</v>
      </c>
      <c r="V39" s="705" t="s">
        <v>18</v>
      </c>
      <c r="W39" s="706">
        <f t="shared" si="14"/>
        <v>100</v>
      </c>
      <c r="X39" s="1355"/>
      <c r="Y39" s="37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79"/>
      <c r="Q40" s="1352" t="str">
        <f t="shared" si="11"/>
        <v>房型</v>
      </c>
      <c r="R40" s="705" t="s">
        <v>18</v>
      </c>
      <c r="S40" s="706">
        <f t="shared" si="12"/>
        <v>100</v>
      </c>
      <c r="T40" s="705" t="s">
        <v>18</v>
      </c>
      <c r="U40" s="706">
        <f t="shared" si="13"/>
        <v>100</v>
      </c>
      <c r="V40" s="705" t="s">
        <v>18</v>
      </c>
      <c r="W40" s="706">
        <f t="shared" si="14"/>
        <v>100</v>
      </c>
      <c r="X40" s="1355"/>
      <c r="Y40" s="37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79"/>
      <c r="Q41" s="707" t="str">
        <f t="shared" si="11"/>
        <v>单套/主力户型建筑面积</v>
      </c>
      <c r="R41" s="708" t="s">
        <v>18</v>
      </c>
      <c r="S41" s="709">
        <f t="shared" si="12"/>
        <v>100</v>
      </c>
      <c r="T41" s="708" t="s">
        <v>18</v>
      </c>
      <c r="U41" s="709">
        <f t="shared" si="13"/>
        <v>100</v>
      </c>
      <c r="V41" s="708" t="s">
        <v>18</v>
      </c>
      <c r="W41" s="709">
        <f t="shared" si="14"/>
        <v>100</v>
      </c>
      <c r="X41" s="710"/>
      <c r="Y41" s="37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79"/>
      <c r="Q42" s="1352" t="str">
        <f t="shared" si="11"/>
        <v>内部装修</v>
      </c>
      <c r="R42" s="705" t="s">
        <v>18</v>
      </c>
      <c r="S42" s="706">
        <f t="shared" si="12"/>
        <v>100</v>
      </c>
      <c r="T42" s="705" t="s">
        <v>18</v>
      </c>
      <c r="U42" s="706">
        <f t="shared" si="13"/>
        <v>100</v>
      </c>
      <c r="V42" s="705" t="s">
        <v>18</v>
      </c>
      <c r="W42" s="706">
        <f t="shared" si="14"/>
        <v>100</v>
      </c>
      <c r="X42" s="1355"/>
      <c r="Y42" s="37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79"/>
      <c r="Q43" s="1352" t="str">
        <f t="shared" si="11"/>
        <v>内部装修维护情况</v>
      </c>
      <c r="R43" s="705" t="s">
        <v>18</v>
      </c>
      <c r="S43" s="706">
        <f t="shared" si="12"/>
        <v>100</v>
      </c>
      <c r="T43" s="705" t="s">
        <v>18</v>
      </c>
      <c r="U43" s="706">
        <f t="shared" si="13"/>
        <v>100</v>
      </c>
      <c r="V43" s="705" t="s">
        <v>18</v>
      </c>
      <c r="W43" s="706">
        <f t="shared" si="14"/>
        <v>100</v>
      </c>
      <c r="X43" s="1355"/>
      <c r="Y43" s="37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79"/>
      <c r="Q44" s="1343">
        <f t="shared" si="11"/>
        <v>111</v>
      </c>
      <c r="R44" s="701" t="s">
        <v>18</v>
      </c>
      <c r="S44" s="702">
        <f t="shared" si="12"/>
        <v>100</v>
      </c>
      <c r="T44" s="701" t="s">
        <v>18</v>
      </c>
      <c r="U44" s="702">
        <f t="shared" si="13"/>
        <v>100</v>
      </c>
      <c r="V44" s="701" t="s">
        <v>18</v>
      </c>
      <c r="W44" s="702">
        <f t="shared" si="14"/>
        <v>100</v>
      </c>
      <c r="X44" s="703"/>
      <c r="Y44" s="37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79"/>
      <c r="Q45" s="1352">
        <f t="shared" si="11"/>
        <v>111</v>
      </c>
      <c r="R45" s="705" t="s">
        <v>18</v>
      </c>
      <c r="S45" s="706">
        <f t="shared" si="12"/>
        <v>100</v>
      </c>
      <c r="T45" s="705" t="s">
        <v>18</v>
      </c>
      <c r="U45" s="706">
        <f t="shared" si="13"/>
        <v>100</v>
      </c>
      <c r="V45" s="705" t="s">
        <v>18</v>
      </c>
      <c r="W45" s="706">
        <f t="shared" si="14"/>
        <v>100</v>
      </c>
      <c r="X45" s="1355"/>
      <c r="Y45" s="37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80"/>
      <c r="Q46" s="1352">
        <f t="shared" si="11"/>
        <v>111</v>
      </c>
      <c r="R46" s="705" t="s">
        <v>17</v>
      </c>
      <c r="S46" s="706">
        <f t="shared" si="12"/>
        <v>100</v>
      </c>
      <c r="T46" s="705" t="s">
        <v>17</v>
      </c>
      <c r="U46" s="706">
        <f t="shared" si="13"/>
        <v>100</v>
      </c>
      <c r="V46" s="705" t="s">
        <v>17</v>
      </c>
      <c r="W46" s="706">
        <f t="shared" si="14"/>
        <v>100</v>
      </c>
      <c r="X46" s="1355"/>
      <c r="Y46" s="37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74" t="str">
        <f>A47</f>
        <v>成交单价（元/平方米）</v>
      </c>
      <c r="Q47" s="3774"/>
      <c r="R47" s="3775">
        <f>E47</f>
        <v>0</v>
      </c>
      <c r="S47" s="3775"/>
      <c r="T47" s="3775">
        <f>G47</f>
        <v>0</v>
      </c>
      <c r="U47" s="3775"/>
      <c r="V47" s="3775">
        <f>I47</f>
        <v>0</v>
      </c>
      <c r="W47" s="3775"/>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71" t="str">
        <f>A49</f>
        <v>估价对象XX用房的比较价值（楼面单价，元/平方米）</v>
      </c>
      <c r="Q49" s="3772"/>
      <c r="R49" s="3773" t="e">
        <f>IF(F1="售价",ROUND(IF(D48="简单平均",AVERAGE(R48:V48),R48*F48+T48*H48+V48*J48),0),ROUND(IF(D48="简单平均",AVERAGE(R48:V48),R48*F48+T48*H48+V48*J48),1))</f>
        <v>#DIV/0!</v>
      </c>
      <c r="S49" s="3773"/>
      <c r="T49" s="3773"/>
      <c r="U49" s="3773"/>
      <c r="V49" s="3773"/>
      <c r="W49" s="377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2022-10</v>
      </c>
      <c r="D58" s="1185">
        <f>EDATE(C58,-1)</f>
        <v>44805</v>
      </c>
      <c r="E58" s="1185">
        <f>EDATE(D58,-1)</f>
        <v>44774</v>
      </c>
      <c r="F58" s="1185">
        <f t="shared" ref="F58:O58" si="19">EDATE(E58,-1)</f>
        <v>44743</v>
      </c>
      <c r="G58" s="1185">
        <f t="shared" si="19"/>
        <v>44713</v>
      </c>
      <c r="H58" s="1185">
        <f t="shared" si="19"/>
        <v>44682</v>
      </c>
      <c r="I58" s="1185">
        <f t="shared" si="19"/>
        <v>44652</v>
      </c>
      <c r="J58" s="1185">
        <f t="shared" si="19"/>
        <v>44621</v>
      </c>
      <c r="K58" s="1185">
        <f t="shared" si="19"/>
        <v>44593</v>
      </c>
      <c r="L58" s="1185">
        <f t="shared" si="19"/>
        <v>44562</v>
      </c>
      <c r="M58" s="1185">
        <f t="shared" si="19"/>
        <v>44531</v>
      </c>
      <c r="N58" s="1185">
        <f t="shared" si="19"/>
        <v>44501</v>
      </c>
      <c r="O58" s="1185">
        <f t="shared" si="19"/>
        <v>44470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29" zoomScale="80" zoomScaleNormal="70" zoomScaleSheetLayoutView="80" workbookViewId="0">
      <selection activeCell="G33" sqref="G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7.125" style="357" customWidth="1"/>
    <col min="6" max="6" width="12.25" style="357" customWidth="1"/>
    <col min="7" max="7" width="2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13.3</v>
      </c>
      <c r="C3" s="354" t="s">
        <v>1768</v>
      </c>
      <c r="D3" s="353">
        <f>IF(D1="",'数据-汇总表'!E3,SUMIF('数据-汇总表'!$C19:$C33,D1,'数据-汇总表'!$E19:$E33))</f>
        <v>188.54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805" t="s">
        <v>1772</v>
      </c>
      <c r="AC4" s="3786" t="s">
        <v>1773</v>
      </c>
    </row>
    <row r="5" spans="1:29" ht="15">
      <c r="A5" s="358"/>
      <c r="B5" s="359"/>
      <c r="C5" s="3808" t="s">
        <v>1673</v>
      </c>
      <c r="D5" s="3809"/>
      <c r="E5" s="3819" t="s">
        <v>3662</v>
      </c>
      <c r="F5" s="3816"/>
      <c r="G5" s="3818" t="s">
        <v>3418</v>
      </c>
      <c r="H5" s="3809"/>
      <c r="I5" s="3808" t="str">
        <f>G5</f>
        <v>前门大街</v>
      </c>
      <c r="J5" s="3809"/>
      <c r="K5" s="559"/>
      <c r="L5" s="2712"/>
      <c r="M5" s="2713"/>
      <c r="N5" s="2713"/>
      <c r="O5" s="2713"/>
      <c r="P5" s="3795"/>
      <c r="Q5" s="3796"/>
      <c r="R5" s="3801"/>
      <c r="S5" s="3802"/>
      <c r="T5" s="3801"/>
      <c r="U5" s="3802"/>
      <c r="V5" s="3805"/>
      <c r="W5" s="3805"/>
      <c r="X5" s="1355"/>
      <c r="Y5" s="3801"/>
      <c r="Z5" s="3802"/>
      <c r="AA5" s="3787"/>
      <c r="AB5" s="3805"/>
      <c r="AC5" s="3787"/>
    </row>
    <row r="6" spans="1:29" ht="15.75" thickBot="1">
      <c r="A6" s="360"/>
      <c r="B6" s="361"/>
      <c r="C6" s="3806" t="s">
        <v>1677</v>
      </c>
      <c r="D6" s="3807"/>
      <c r="E6" s="3813" t="s">
        <v>1677</v>
      </c>
      <c r="F6" s="3814"/>
      <c r="G6" s="3817" t="s">
        <v>3420</v>
      </c>
      <c r="H6" s="3807"/>
      <c r="I6" s="3817" t="s">
        <v>3421</v>
      </c>
      <c r="J6" s="3807"/>
      <c r="K6" s="559" t="s">
        <v>1678</v>
      </c>
      <c r="L6" s="2712"/>
      <c r="M6" s="2713"/>
      <c r="N6" s="2713"/>
      <c r="O6" s="2713"/>
      <c r="P6" s="3797"/>
      <c r="Q6" s="3798"/>
      <c r="R6" s="3801"/>
      <c r="S6" s="3802"/>
      <c r="T6" s="3803"/>
      <c r="U6" s="3804"/>
      <c r="V6" s="3805"/>
      <c r="W6" s="3805"/>
      <c r="X6" s="1355"/>
      <c r="Y6" s="3803"/>
      <c r="Z6" s="3804"/>
      <c r="AA6" s="3788"/>
      <c r="AB6" s="3805"/>
      <c r="AC6" s="3788"/>
    </row>
    <row r="7" spans="1:29" s="108" customFormat="1" ht="15.75" thickBot="1">
      <c r="A7" s="362" t="s">
        <v>1679</v>
      </c>
      <c r="B7" s="363"/>
      <c r="C7" s="364">
        <f>'数据-取费表'!B2</f>
        <v>44853</v>
      </c>
      <c r="D7" s="365">
        <v>100</v>
      </c>
      <c r="E7" s="366">
        <f>C7</f>
        <v>44853</v>
      </c>
      <c r="F7" s="367">
        <f>SUMIF(58:58,YEAR(E7)&amp;"-"&amp;MONTH(E7),59:59)</f>
        <v>100</v>
      </c>
      <c r="G7" s="366">
        <f>C7</f>
        <v>44853</v>
      </c>
      <c r="H7" s="365">
        <f>SUMIF(58:58,YEAR(G7)&amp;"-"&amp;MONTH(G7),59:59)</f>
        <v>100</v>
      </c>
      <c r="I7" s="366">
        <f>C7</f>
        <v>44853</v>
      </c>
      <c r="J7" s="365">
        <f>SUMIF(58:58,YEAR(I7)&amp;"-"&amp;MONTH(I7),59:59)</f>
        <v>100</v>
      </c>
      <c r="K7" s="560"/>
      <c r="L7" s="2714"/>
      <c r="M7" s="2715"/>
      <c r="N7" s="2715"/>
      <c r="O7" s="2715"/>
      <c r="P7" s="3810" t="s">
        <v>1680</v>
      </c>
      <c r="Q7" s="3812"/>
      <c r="R7" s="701" t="s">
        <v>14</v>
      </c>
      <c r="S7" s="702">
        <f t="shared" ref="S7:S15" si="0">F7</f>
        <v>100</v>
      </c>
      <c r="T7" s="701" t="s">
        <v>14</v>
      </c>
      <c r="U7" s="702">
        <f t="shared" ref="U7:U15" si="1">H7</f>
        <v>100</v>
      </c>
      <c r="V7" s="701" t="s">
        <v>14</v>
      </c>
      <c r="W7" s="702">
        <f t="shared" ref="W7:W15" si="2">J7</f>
        <v>100</v>
      </c>
      <c r="X7" s="703"/>
      <c r="Y7" s="3810" t="s">
        <v>1680</v>
      </c>
      <c r="Z7" s="3811"/>
      <c r="AA7" s="704">
        <f>D7/F7</f>
        <v>1</v>
      </c>
      <c r="AB7" s="704">
        <f>D7/H7</f>
        <v>1</v>
      </c>
      <c r="AC7" s="704">
        <f>D7/J7</f>
        <v>1</v>
      </c>
    </row>
    <row r="8" spans="1:29" s="108" customFormat="1" ht="15.75" thickBot="1">
      <c r="A8" s="362" t="s">
        <v>1681</v>
      </c>
      <c r="B8" s="363"/>
      <c r="C8" s="368" t="s">
        <v>3416</v>
      </c>
      <c r="D8" s="365">
        <v>100</v>
      </c>
      <c r="E8" s="368" t="s">
        <v>3416</v>
      </c>
      <c r="F8" s="367">
        <f>SUMIF(61:61,E8,62:62)-SUMIF(61:61,C8,62:62)+100</f>
        <v>100</v>
      </c>
      <c r="G8" s="368" t="s">
        <v>3416</v>
      </c>
      <c r="H8" s="365">
        <f>SUMIF(61:61,G8,62:62)-SUMIF(61:61,C8,62:62)+100</f>
        <v>100</v>
      </c>
      <c r="I8" s="368" t="s">
        <v>3416</v>
      </c>
      <c r="J8" s="365">
        <f>SUMIF(61:61,I8,62:62)-SUMIF(61:61,C8,62:62)+100</f>
        <v>100</v>
      </c>
      <c r="K8" s="560"/>
      <c r="L8" s="2714"/>
      <c r="M8" s="2715"/>
      <c r="N8" s="2715"/>
      <c r="O8" s="2715"/>
      <c r="P8" s="3810" t="s">
        <v>1683</v>
      </c>
      <c r="Q8" s="3811"/>
      <c r="R8" s="701" t="s">
        <v>14</v>
      </c>
      <c r="S8" s="702">
        <f t="shared" si="0"/>
        <v>100</v>
      </c>
      <c r="T8" s="701" t="s">
        <v>14</v>
      </c>
      <c r="U8" s="702">
        <f t="shared" si="1"/>
        <v>100</v>
      </c>
      <c r="V8" s="701" t="s">
        <v>14</v>
      </c>
      <c r="W8" s="702">
        <f t="shared" si="2"/>
        <v>100</v>
      </c>
      <c r="X8" s="703"/>
      <c r="Y8" s="3810" t="s">
        <v>1683</v>
      </c>
      <c r="Z8" s="3811"/>
      <c r="AA8" s="704">
        <f t="shared" ref="AA8:AA46" si="3">D8/F8</f>
        <v>1</v>
      </c>
      <c r="AB8" s="704">
        <f t="shared" ref="AB8:AB46" si="4">D8/H8</f>
        <v>1</v>
      </c>
      <c r="AC8" s="704">
        <f t="shared" ref="AC8:AC46" si="5">D8/J8</f>
        <v>1</v>
      </c>
    </row>
    <row r="9" spans="1:29" s="108" customFormat="1" ht="15" thickBot="1">
      <c r="A9" s="369" t="s">
        <v>1684</v>
      </c>
      <c r="B9" s="63" t="s">
        <v>1685</v>
      </c>
      <c r="C9" s="3452"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8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8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hidden="1">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561"/>
      <c r="L11" s="2718"/>
      <c r="M11" s="2713"/>
      <c r="N11" s="2713"/>
      <c r="O11" s="2713"/>
      <c r="P11" s="3785"/>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85"/>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85"/>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85"/>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99.75">
      <c r="A15" s="391" t="s">
        <v>1690</v>
      </c>
      <c r="B15" s="61" t="s">
        <v>1777</v>
      </c>
      <c r="C15" s="1896" t="str">
        <f>估价对象房地状况!C4</f>
        <v>估价对象周边有庄胜广场、大栅栏商业街、前门大街、北京坊、正阳市场等，商业氛围成熟，商业繁华度好。</v>
      </c>
      <c r="D15" s="392">
        <v>100</v>
      </c>
      <c r="E15" s="393"/>
      <c r="F15" s="394">
        <f>SUMIF(76:76,E16,77:77)-SUMIF(76:76,C16,77:77)+100</f>
        <v>90</v>
      </c>
      <c r="G15" s="395"/>
      <c r="H15" s="392">
        <f>SUMIF(76:76,G16,77:77)-SUMIF(76:76,C16,77:77)+100</f>
        <v>100</v>
      </c>
      <c r="I15" s="393"/>
      <c r="J15" s="392">
        <f>SUMIF(76:76,I16,77:77)-SUMIF(76:76,C16,77:77)+100</f>
        <v>100</v>
      </c>
      <c r="K15" s="563">
        <v>10</v>
      </c>
      <c r="L15" s="2719"/>
      <c r="M15" s="2713"/>
      <c r="N15" s="2713"/>
      <c r="O15" s="2713"/>
      <c r="P15" s="3783" t="s">
        <v>1691</v>
      </c>
      <c r="Q15" s="1352" t="str">
        <f t="shared" si="6"/>
        <v>商业繁华度</v>
      </c>
      <c r="R15" s="705" t="s">
        <v>14</v>
      </c>
      <c r="S15" s="706">
        <f t="shared" si="0"/>
        <v>90</v>
      </c>
      <c r="T15" s="705" t="s">
        <v>14</v>
      </c>
      <c r="U15" s="706">
        <f t="shared" si="1"/>
        <v>100</v>
      </c>
      <c r="V15" s="705" t="s">
        <v>14</v>
      </c>
      <c r="W15" s="706">
        <f t="shared" si="2"/>
        <v>100</v>
      </c>
      <c r="X15" s="1355"/>
      <c r="Y15" s="3776" t="s">
        <v>1691</v>
      </c>
      <c r="Z15" s="1356" t="str">
        <f t="shared" si="7"/>
        <v>商业繁华度</v>
      </c>
      <c r="AA15" s="1353">
        <f t="shared" si="3"/>
        <v>1.1111111111111112</v>
      </c>
      <c r="AB15" s="1353">
        <f t="shared" si="4"/>
        <v>1</v>
      </c>
      <c r="AC15" s="1353">
        <f t="shared" si="5"/>
        <v>1</v>
      </c>
    </row>
    <row r="16" spans="1:29" ht="15">
      <c r="A16" s="379"/>
      <c r="B16" s="397"/>
      <c r="C16" s="398" t="s">
        <v>3402</v>
      </c>
      <c r="D16" s="399"/>
      <c r="E16" s="398" t="s">
        <v>3403</v>
      </c>
      <c r="F16" s="400"/>
      <c r="G16" s="398" t="s">
        <v>3402</v>
      </c>
      <c r="H16" s="401"/>
      <c r="I16" s="398" t="s">
        <v>3402</v>
      </c>
      <c r="J16" s="399"/>
      <c r="K16" s="564"/>
      <c r="L16" s="2719"/>
      <c r="M16" s="2713"/>
      <c r="N16" s="2713"/>
      <c r="O16" s="2713"/>
      <c r="P16" s="3784"/>
      <c r="Q16" s="1352"/>
      <c r="R16" s="705"/>
      <c r="S16" s="706"/>
      <c r="T16" s="705"/>
      <c r="U16" s="706"/>
      <c r="V16" s="705"/>
      <c r="W16" s="706"/>
      <c r="X16" s="1355"/>
      <c r="Y16" s="3777"/>
      <c r="Z16" s="1356"/>
      <c r="AA16" s="1353">
        <v>1</v>
      </c>
      <c r="AB16" s="1353">
        <v>1</v>
      </c>
      <c r="AC16" s="1353">
        <v>1</v>
      </c>
    </row>
    <row r="17" spans="1:29" ht="128.25">
      <c r="A17" s="379"/>
      <c r="B17" s="402" t="s">
        <v>1259</v>
      </c>
      <c r="C17" s="1900" t="str">
        <f>估价对象房地状况!C6</f>
        <v>周边有2路、5路、14路、20路、66路、70路、93路等多条公交线路、地铁2号线（和平门站）及地铁7号线（虎坊桥站），交通较便捷</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84"/>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353">
        <f t="shared" si="5"/>
        <v>1</v>
      </c>
    </row>
    <row r="18" spans="1:29" ht="15">
      <c r="A18" s="379"/>
      <c r="B18" s="407"/>
      <c r="C18" s="1901" t="s">
        <v>3403</v>
      </c>
      <c r="D18" s="401"/>
      <c r="E18" s="1903" t="s">
        <v>3403</v>
      </c>
      <c r="F18" s="404"/>
      <c r="G18" s="1902" t="s">
        <v>3403</v>
      </c>
      <c r="H18" s="399"/>
      <c r="I18" s="1903" t="s">
        <v>3403</v>
      </c>
      <c r="J18" s="399"/>
      <c r="K18" s="564"/>
      <c r="L18" s="2719"/>
      <c r="M18" s="2713"/>
      <c r="N18" s="2713"/>
      <c r="O18" s="2713"/>
      <c r="P18" s="3784"/>
      <c r="Q18" s="1352"/>
      <c r="R18" s="705"/>
      <c r="S18" s="706"/>
      <c r="T18" s="705"/>
      <c r="U18" s="706"/>
      <c r="V18" s="705"/>
      <c r="W18" s="706"/>
      <c r="X18" s="1355"/>
      <c r="Y18" s="37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84"/>
      <c r="Q19" s="1352" t="str">
        <f>B19</f>
        <v>公共配套设施</v>
      </c>
      <c r="R19" s="705" t="s">
        <v>14</v>
      </c>
      <c r="S19" s="706">
        <f>F19</f>
        <v>100</v>
      </c>
      <c r="T19" s="705" t="s">
        <v>14</v>
      </c>
      <c r="U19" s="706">
        <f>H19</f>
        <v>100</v>
      </c>
      <c r="V19" s="705" t="s">
        <v>14</v>
      </c>
      <c r="W19" s="706">
        <f>J19</f>
        <v>100</v>
      </c>
      <c r="X19" s="1355"/>
      <c r="Y19" s="3777"/>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7" t="s">
        <v>3402</v>
      </c>
      <c r="H20" s="399"/>
      <c r="I20" s="1898" t="s">
        <v>3402</v>
      </c>
      <c r="J20" s="399"/>
      <c r="K20" s="564"/>
      <c r="L20" s="2719"/>
      <c r="M20" s="2713"/>
      <c r="N20" s="2713"/>
      <c r="O20" s="2713"/>
      <c r="P20" s="3784"/>
      <c r="Q20" s="1352"/>
      <c r="R20" s="705"/>
      <c r="S20" s="706"/>
      <c r="T20" s="705"/>
      <c r="U20" s="706"/>
      <c r="V20" s="705"/>
      <c r="W20" s="706"/>
      <c r="X20" s="1355"/>
      <c r="Y20" s="37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84"/>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353">
        <f t="shared" ref="AC21" si="10">D21/J21</f>
        <v>1</v>
      </c>
    </row>
    <row r="22" spans="1:29" ht="15">
      <c r="A22" s="379"/>
      <c r="B22" s="1131"/>
      <c r="C22" s="1901" t="s">
        <v>3639</v>
      </c>
      <c r="D22" s="399"/>
      <c r="E22" s="398" t="s">
        <v>3639</v>
      </c>
      <c r="F22" s="400"/>
      <c r="G22" s="398" t="s">
        <v>3639</v>
      </c>
      <c r="H22" s="399"/>
      <c r="I22" s="398" t="s">
        <v>3639</v>
      </c>
      <c r="J22" s="399"/>
      <c r="K22" s="1130"/>
      <c r="L22" s="2719"/>
      <c r="M22" s="2713"/>
      <c r="N22" s="2713"/>
      <c r="O22" s="2713"/>
      <c r="P22" s="3784"/>
      <c r="Q22" s="1352"/>
      <c r="R22" s="705"/>
      <c r="S22" s="706"/>
      <c r="T22" s="705"/>
      <c r="U22" s="706"/>
      <c r="V22" s="705"/>
      <c r="W22" s="706"/>
      <c r="X22" s="1355"/>
      <c r="Y22" s="3777"/>
      <c r="Z22" s="1356"/>
      <c r="AA22" s="1353">
        <v>1</v>
      </c>
      <c r="AB22" s="1353">
        <v>1</v>
      </c>
      <c r="AC22" s="1353">
        <v>1</v>
      </c>
    </row>
    <row r="23" spans="1:29" ht="128.25">
      <c r="A23" s="379"/>
      <c r="B23" s="402" t="s">
        <v>1261</v>
      </c>
      <c r="C23" s="1955" t="str">
        <f>估价对象房地状况!C9</f>
        <v>区域自然环境：后孙公园、月亮湾公园、三里河公园等；人文环境：勅建火神庙、国家大剧院、天安门广场等；综合评价环境状况较好</v>
      </c>
      <c r="D23" s="401">
        <v>100</v>
      </c>
      <c r="E23" s="403"/>
      <c r="F23" s="404">
        <f>SUMIF(84:84,E24,85:85)-SUMIF(84:84,C24,85:85)+100</f>
        <v>100</v>
      </c>
      <c r="G23" s="405"/>
      <c r="H23" s="401">
        <f>SUMIF(84:84,G24,85:85)-SUMIF(84:84,C24,85:85)+100</f>
        <v>105</v>
      </c>
      <c r="I23" s="403"/>
      <c r="J23" s="401">
        <f>SUMIF(84:84,I24,85:85)-SUMIF(84:84,C24,85:85)+100</f>
        <v>105</v>
      </c>
      <c r="K23" s="563">
        <v>5</v>
      </c>
      <c r="L23" s="2719"/>
      <c r="M23" s="2713"/>
      <c r="N23" s="2713"/>
      <c r="O23" s="2713"/>
      <c r="P23" s="3784"/>
      <c r="Q23" s="1352" t="str">
        <f>B23</f>
        <v>自然及人文环境</v>
      </c>
      <c r="R23" s="705" t="s">
        <v>14</v>
      </c>
      <c r="S23" s="706">
        <f>F23</f>
        <v>100</v>
      </c>
      <c r="T23" s="705" t="s">
        <v>14</v>
      </c>
      <c r="U23" s="706">
        <f>H23</f>
        <v>105</v>
      </c>
      <c r="V23" s="705" t="s">
        <v>14</v>
      </c>
      <c r="W23" s="706">
        <f>J23</f>
        <v>105</v>
      </c>
      <c r="X23" s="1355"/>
      <c r="Y23" s="3777"/>
      <c r="Z23" s="1356" t="str">
        <f>Q23</f>
        <v>自然及人文环境</v>
      </c>
      <c r="AA23" s="1353">
        <f t="shared" si="3"/>
        <v>1</v>
      </c>
      <c r="AB23" s="1353">
        <f t="shared" si="4"/>
        <v>0.95238095238095233</v>
      </c>
      <c r="AC23" s="1353">
        <f t="shared" si="5"/>
        <v>0.95238095238095233</v>
      </c>
    </row>
    <row r="24" spans="1:29" ht="15">
      <c r="A24" s="379"/>
      <c r="B24" s="407"/>
      <c r="C24" s="398" t="s">
        <v>3403</v>
      </c>
      <c r="D24" s="399"/>
      <c r="E24" s="1898" t="s">
        <v>3403</v>
      </c>
      <c r="F24" s="400"/>
      <c r="G24" s="1897" t="s">
        <v>3402</v>
      </c>
      <c r="H24" s="399"/>
      <c r="I24" s="1898" t="s">
        <v>3402</v>
      </c>
      <c r="J24" s="399"/>
      <c r="K24" s="564"/>
      <c r="L24" s="2719"/>
      <c r="M24" s="2713"/>
      <c r="N24" s="2713"/>
      <c r="O24" s="2713"/>
      <c r="P24" s="3784"/>
      <c r="Q24" s="1352"/>
      <c r="R24" s="705"/>
      <c r="S24" s="706"/>
      <c r="T24" s="705"/>
      <c r="U24" s="706"/>
      <c r="V24" s="705"/>
      <c r="W24" s="706"/>
      <c r="X24" s="1355"/>
      <c r="Y24" s="3777"/>
      <c r="Z24" s="1356"/>
      <c r="AA24" s="1353">
        <v>1</v>
      </c>
      <c r="AB24" s="1353">
        <v>1</v>
      </c>
      <c r="AC24" s="1353">
        <v>1</v>
      </c>
    </row>
    <row r="25" spans="1:29" ht="15">
      <c r="A25" s="379"/>
      <c r="B25" s="375" t="s">
        <v>1780</v>
      </c>
      <c r="C25" s="565" t="s">
        <v>3642</v>
      </c>
      <c r="D25" s="386">
        <v>100</v>
      </c>
      <c r="E25" s="565" t="s">
        <v>3642</v>
      </c>
      <c r="F25" s="412">
        <f>SUMIF(86:86,E25,87:87)-SUMIF(86:86,C25,87:87)+100</f>
        <v>100</v>
      </c>
      <c r="G25" s="565" t="s">
        <v>3642</v>
      </c>
      <c r="H25" s="386">
        <f>SUMIF(86:86,G25,87:87)-SUMIF(86:86,C25,87:87)+100</f>
        <v>100</v>
      </c>
      <c r="I25" s="565" t="s">
        <v>3642</v>
      </c>
      <c r="J25" s="386">
        <f>SUMIF(86:86,I25,87:87)-SUMIF(86:86,C25,87:87)+100</f>
        <v>100</v>
      </c>
      <c r="K25" s="561">
        <v>2</v>
      </c>
      <c r="L25" s="2719"/>
      <c r="M25" s="2713"/>
      <c r="N25" s="2713"/>
      <c r="O25" s="2713"/>
      <c r="P25" s="3784"/>
      <c r="Q25" s="1352" t="str">
        <f t="shared" ref="Q25:Q46" si="11">B25</f>
        <v>临街状况</v>
      </c>
      <c r="R25" s="705" t="s">
        <v>14</v>
      </c>
      <c r="S25" s="706">
        <f>F25</f>
        <v>100</v>
      </c>
      <c r="T25" s="705" t="s">
        <v>14</v>
      </c>
      <c r="U25" s="706">
        <f>H25</f>
        <v>100</v>
      </c>
      <c r="V25" s="705" t="s">
        <v>14</v>
      </c>
      <c r="W25" s="706">
        <f>J25</f>
        <v>100</v>
      </c>
      <c r="X25" s="1355"/>
      <c r="Y25" s="37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84"/>
      <c r="Q26" s="1352" t="str">
        <f t="shared" si="11"/>
        <v>平面位置/可视性</v>
      </c>
      <c r="R26" s="705" t="s">
        <v>14</v>
      </c>
      <c r="S26" s="706">
        <f>F26</f>
        <v>100</v>
      </c>
      <c r="T26" s="705" t="s">
        <v>14</v>
      </c>
      <c r="U26" s="706">
        <f>H26</f>
        <v>100</v>
      </c>
      <c r="V26" s="705" t="s">
        <v>14</v>
      </c>
      <c r="W26" s="706">
        <f>J26</f>
        <v>100</v>
      </c>
      <c r="X26" s="1355"/>
      <c r="Y26" s="3777"/>
      <c r="Z26" s="1356" t="str">
        <f>Q26</f>
        <v>平面位置/可视性</v>
      </c>
      <c r="AA26" s="1353">
        <f t="shared" si="3"/>
        <v>1</v>
      </c>
      <c r="AB26" s="1353">
        <f t="shared" si="4"/>
        <v>1</v>
      </c>
      <c r="AC26" s="1353">
        <f t="shared" si="5"/>
        <v>1</v>
      </c>
    </row>
    <row r="27" spans="1:29" s="108" customFormat="1" ht="15">
      <c r="A27" s="382"/>
      <c r="B27" s="402" t="s">
        <v>1782</v>
      </c>
      <c r="C27" s="1956" t="s">
        <v>3404</v>
      </c>
      <c r="D27" s="413">
        <v>100</v>
      </c>
      <c r="E27" s="1956" t="s">
        <v>3404</v>
      </c>
      <c r="F27" s="415">
        <f>SUMIF(90:90,E27,91:91)-SUMIF(90:90,C27,91:91)+100</f>
        <v>100</v>
      </c>
      <c r="G27" s="1956" t="s">
        <v>3644</v>
      </c>
      <c r="H27" s="413">
        <f>SUMIF(90:90,G27,91:91)-SUMIF(90:90,C27,91:91)+100</f>
        <v>105</v>
      </c>
      <c r="I27" s="1956" t="s">
        <v>3644</v>
      </c>
      <c r="J27" s="413">
        <f>SUMIF(90:90,I27,91:91)-SUMIF(90:90,C27,91:91)+100</f>
        <v>105</v>
      </c>
      <c r="K27" s="561">
        <v>5</v>
      </c>
      <c r="L27" s="2714"/>
      <c r="M27" s="2715"/>
      <c r="N27" s="2715"/>
      <c r="O27" s="2715"/>
      <c r="P27" s="3784"/>
      <c r="Q27" s="1343" t="str">
        <f t="shared" si="11"/>
        <v>人流量</v>
      </c>
      <c r="R27" s="701" t="s">
        <v>14</v>
      </c>
      <c r="S27" s="702">
        <f>F27</f>
        <v>100</v>
      </c>
      <c r="T27" s="701" t="s">
        <v>14</v>
      </c>
      <c r="U27" s="702">
        <f>H27</f>
        <v>105</v>
      </c>
      <c r="V27" s="701" t="s">
        <v>14</v>
      </c>
      <c r="W27" s="702">
        <f>J27</f>
        <v>105</v>
      </c>
      <c r="X27" s="703"/>
      <c r="Y27" s="3777"/>
      <c r="Z27" s="52" t="str">
        <f>Q27</f>
        <v>人流量</v>
      </c>
      <c r="AA27" s="1353">
        <f>D27/F27</f>
        <v>1</v>
      </c>
      <c r="AB27" s="1353">
        <f>D27/H27</f>
        <v>0.95238095238095233</v>
      </c>
      <c r="AC27" s="1353">
        <f>D27/J27</f>
        <v>0.95238095238095233</v>
      </c>
    </row>
    <row r="28" spans="1:29" ht="15">
      <c r="A28" s="379"/>
      <c r="B28" s="375" t="s">
        <v>1783</v>
      </c>
      <c r="C28" s="565" t="s">
        <v>3423</v>
      </c>
      <c r="D28" s="386">
        <v>100</v>
      </c>
      <c r="E28" s="565" t="s">
        <v>3423</v>
      </c>
      <c r="F28" s="412">
        <f>SUMIF(92:92,E28,93:93)-SUMIF(92:92,C28,93:93)+100</f>
        <v>100</v>
      </c>
      <c r="G28" s="565" t="s">
        <v>3427</v>
      </c>
      <c r="H28" s="386">
        <f>SUMIF(92:92,G28,93:93)-SUMIF(92:92,C28,93:93)+100</f>
        <v>93</v>
      </c>
      <c r="I28" s="565" t="s">
        <v>3428</v>
      </c>
      <c r="J28" s="386">
        <f>SUMIF(92:92,I28,93:93)-SUMIF(92:92,C28,93:93)+100</f>
        <v>93</v>
      </c>
      <c r="K28" s="562"/>
      <c r="L28" s="2719"/>
      <c r="M28" s="2713"/>
      <c r="N28" s="2713"/>
      <c r="O28" s="2713"/>
      <c r="P28" s="3784"/>
      <c r="Q28" s="1352" t="str">
        <f t="shared" si="11"/>
        <v>楼层</v>
      </c>
      <c r="R28" s="705" t="s">
        <v>14</v>
      </c>
      <c r="S28" s="706">
        <f t="shared" ref="S28:S46" si="12">F28</f>
        <v>100</v>
      </c>
      <c r="T28" s="705" t="s">
        <v>14</v>
      </c>
      <c r="U28" s="706">
        <f t="shared" ref="U28:U46" si="13">H28</f>
        <v>93</v>
      </c>
      <c r="V28" s="705" t="s">
        <v>14</v>
      </c>
      <c r="W28" s="706">
        <f t="shared" ref="W28:W46" si="14">J28</f>
        <v>93</v>
      </c>
      <c r="X28" s="1355"/>
      <c r="Y28" s="3777"/>
      <c r="Z28" s="1356" t="str">
        <f t="shared" ref="Z28:Z46" si="15">Q28</f>
        <v>楼层</v>
      </c>
      <c r="AA28" s="1353">
        <f t="shared" si="3"/>
        <v>1</v>
      </c>
      <c r="AB28" s="1353">
        <f t="shared" si="4"/>
        <v>1.075268817204301</v>
      </c>
      <c r="AC28" s="1353">
        <f t="shared" si="5"/>
        <v>1.075268817204301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84"/>
      <c r="Q29" s="1352">
        <f t="shared" si="11"/>
        <v>111</v>
      </c>
      <c r="R29" s="705" t="s">
        <v>14</v>
      </c>
      <c r="S29" s="706">
        <f t="shared" si="12"/>
        <v>100</v>
      </c>
      <c r="T29" s="705" t="s">
        <v>14</v>
      </c>
      <c r="U29" s="706">
        <f t="shared" si="13"/>
        <v>100</v>
      </c>
      <c r="V29" s="705" t="s">
        <v>14</v>
      </c>
      <c r="W29" s="706">
        <f t="shared" si="14"/>
        <v>100</v>
      </c>
      <c r="X29" s="1355"/>
      <c r="Y29" s="37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84"/>
      <c r="Q30" s="1352">
        <f t="shared" si="11"/>
        <v>111</v>
      </c>
      <c r="R30" s="705" t="s">
        <v>14</v>
      </c>
      <c r="S30" s="706">
        <f t="shared" si="12"/>
        <v>100</v>
      </c>
      <c r="T30" s="705" t="s">
        <v>14</v>
      </c>
      <c r="U30" s="706">
        <f t="shared" si="13"/>
        <v>100</v>
      </c>
      <c r="V30" s="705" t="s">
        <v>14</v>
      </c>
      <c r="W30" s="706">
        <f t="shared" si="14"/>
        <v>100</v>
      </c>
      <c r="X30" s="1355"/>
      <c r="Y30" s="37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84"/>
      <c r="Q31" s="1352">
        <f t="shared" si="11"/>
        <v>111</v>
      </c>
      <c r="R31" s="705" t="s">
        <v>14</v>
      </c>
      <c r="S31" s="706">
        <f t="shared" si="12"/>
        <v>100</v>
      </c>
      <c r="T31" s="705" t="s">
        <v>14</v>
      </c>
      <c r="U31" s="706">
        <f t="shared" si="13"/>
        <v>100</v>
      </c>
      <c r="V31" s="705" t="s">
        <v>14</v>
      </c>
      <c r="W31" s="706">
        <f t="shared" si="14"/>
        <v>100</v>
      </c>
      <c r="X31" s="1355"/>
      <c r="Y31" s="3777"/>
      <c r="Z31" s="1356">
        <f t="shared" si="15"/>
        <v>111</v>
      </c>
      <c r="AA31" s="1353">
        <f t="shared" si="3"/>
        <v>1</v>
      </c>
      <c r="AB31" s="1353">
        <f t="shared" si="4"/>
        <v>1</v>
      </c>
      <c r="AC31" s="1353">
        <f t="shared" si="5"/>
        <v>1</v>
      </c>
    </row>
    <row r="32" spans="1:29" ht="15">
      <c r="A32" s="391" t="s">
        <v>1694</v>
      </c>
      <c r="B32" s="63" t="s">
        <v>1784</v>
      </c>
      <c r="C32" s="1910" t="s">
        <v>3667</v>
      </c>
      <c r="D32" s="418">
        <v>100</v>
      </c>
      <c r="E32" s="1910" t="s">
        <v>3646</v>
      </c>
      <c r="F32" s="412">
        <f>SUMIF(100:100,E32,101:101)-SUMIF(100:100,C32,101:101)+100</f>
        <v>102</v>
      </c>
      <c r="G32" s="1910" t="s">
        <v>3646</v>
      </c>
      <c r="H32" s="386">
        <f>SUMIF(100:100,G32,101:101)-SUMIF(100:100,C32,101:101)+100</f>
        <v>102</v>
      </c>
      <c r="I32" s="1910" t="s">
        <v>3646</v>
      </c>
      <c r="J32" s="418">
        <f>SUMIF(100:100,I32,101:101)-SUMIF(100:100,C32,101:101)+100</f>
        <v>102</v>
      </c>
      <c r="K32" s="561">
        <v>2</v>
      </c>
      <c r="L32" s="2719"/>
      <c r="M32" s="2713"/>
      <c r="N32" s="2713"/>
      <c r="O32" s="2713"/>
      <c r="P32" s="3778" t="s">
        <v>1696</v>
      </c>
      <c r="Q32" s="1352" t="str">
        <f t="shared" si="11"/>
        <v>商业类型</v>
      </c>
      <c r="R32" s="705" t="s">
        <v>14</v>
      </c>
      <c r="S32" s="706">
        <f t="shared" si="12"/>
        <v>102</v>
      </c>
      <c r="T32" s="705" t="s">
        <v>14</v>
      </c>
      <c r="U32" s="706">
        <f t="shared" si="13"/>
        <v>102</v>
      </c>
      <c r="V32" s="705" t="s">
        <v>14</v>
      </c>
      <c r="W32" s="706">
        <f t="shared" si="14"/>
        <v>102</v>
      </c>
      <c r="X32" s="1355"/>
      <c r="Y32" s="3781" t="s">
        <v>1696</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1697</v>
      </c>
      <c r="C33" s="420">
        <f>'数据-基础表'!I17</f>
        <v>188.54</v>
      </c>
      <c r="D33" s="127">
        <v>100</v>
      </c>
      <c r="E33" s="3534">
        <v>75</v>
      </c>
      <c r="F33" s="376">
        <f>LOOKUP(E33,103:103,104:104)-LOOKUP(C33,103:103,104:104)+100</f>
        <v>100</v>
      </c>
      <c r="G33" s="380">
        <f>前门!C12</f>
        <v>1796.03</v>
      </c>
      <c r="H33" s="127">
        <f>LOOKUP(G33,103:103,104:104)-LOOKUP(C33,103:103,104:104)+100</f>
        <v>92</v>
      </c>
      <c r="I33" s="380">
        <f>前门!C13</f>
        <v>1410.95</v>
      </c>
      <c r="J33" s="127">
        <f>LOOKUP(I33,103:103,104:104)-LOOKUP(C33,103:103,104:104)+100</f>
        <v>92</v>
      </c>
      <c r="K33" s="562"/>
      <c r="L33" s="2718"/>
      <c r="M33" s="2720"/>
      <c r="N33" s="2720"/>
      <c r="O33" s="2720"/>
      <c r="P33" s="3779"/>
      <c r="Q33" s="707" t="str">
        <f t="shared" si="11"/>
        <v>项目建筑规模</v>
      </c>
      <c r="R33" s="708" t="s">
        <v>14</v>
      </c>
      <c r="S33" s="709">
        <f t="shared" si="12"/>
        <v>100</v>
      </c>
      <c r="T33" s="708" t="s">
        <v>14</v>
      </c>
      <c r="U33" s="709">
        <f t="shared" si="13"/>
        <v>92</v>
      </c>
      <c r="V33" s="708" t="s">
        <v>14</v>
      </c>
      <c r="W33" s="709">
        <f t="shared" si="14"/>
        <v>92</v>
      </c>
      <c r="X33" s="710"/>
      <c r="Y33" s="3781"/>
      <c r="Z33" s="711" t="str">
        <f t="shared" si="15"/>
        <v>项目建筑规模</v>
      </c>
      <c r="AA33" s="1353">
        <f t="shared" si="3"/>
        <v>1</v>
      </c>
      <c r="AB33" s="1353">
        <f t="shared" si="4"/>
        <v>1.0869565217391304</v>
      </c>
      <c r="AC33" s="1353">
        <f t="shared" si="5"/>
        <v>1.0869565217391304</v>
      </c>
    </row>
    <row r="34" spans="1:29" ht="15">
      <c r="A34" s="423"/>
      <c r="B34" s="375" t="s">
        <v>1698</v>
      </c>
      <c r="C34" s="1912" t="s">
        <v>3649</v>
      </c>
      <c r="D34" s="386">
        <v>100</v>
      </c>
      <c r="E34" s="1912" t="s">
        <v>3649</v>
      </c>
      <c r="F34" s="412">
        <f>SUMIF(105:105,E34,106:106)-SUMIF(105:105,C34,106:106)+100</f>
        <v>100</v>
      </c>
      <c r="G34" s="1912" t="s">
        <v>3649</v>
      </c>
      <c r="H34" s="386">
        <f>SUMIF(105:105,G34,106:106)-SUMIF(105:105,C34,106:106)+100</f>
        <v>100</v>
      </c>
      <c r="I34" s="1912" t="s">
        <v>3649</v>
      </c>
      <c r="J34" s="386">
        <f>SUMIF(105:105,I34,106:106)-SUMIF(105:105,C34,106:106)+100</f>
        <v>100</v>
      </c>
      <c r="K34" s="561">
        <v>4</v>
      </c>
      <c r="L34" s="2719"/>
      <c r="M34" s="2713"/>
      <c r="N34" s="2713"/>
      <c r="O34" s="2713"/>
      <c r="P34" s="3779"/>
      <c r="Q34" s="1352" t="str">
        <f t="shared" si="11"/>
        <v>建筑结构</v>
      </c>
      <c r="R34" s="705" t="s">
        <v>14</v>
      </c>
      <c r="S34" s="706">
        <f t="shared" si="12"/>
        <v>100</v>
      </c>
      <c r="T34" s="705" t="s">
        <v>14</v>
      </c>
      <c r="U34" s="706">
        <f t="shared" si="13"/>
        <v>100</v>
      </c>
      <c r="V34" s="705" t="s">
        <v>14</v>
      </c>
      <c r="W34" s="706">
        <f t="shared" si="14"/>
        <v>100</v>
      </c>
      <c r="X34" s="1355"/>
      <c r="Y34" s="3781"/>
      <c r="Z34" s="1356" t="str">
        <f t="shared" si="15"/>
        <v>建筑结构</v>
      </c>
      <c r="AA34" s="1353">
        <f t="shared" si="3"/>
        <v>1</v>
      </c>
      <c r="AB34" s="1353">
        <f t="shared" si="4"/>
        <v>1</v>
      </c>
      <c r="AC34" s="1353">
        <f t="shared" si="5"/>
        <v>1</v>
      </c>
    </row>
    <row r="35" spans="1:29" ht="15">
      <c r="A35" s="423"/>
      <c r="B35" s="375" t="s">
        <v>1785</v>
      </c>
      <c r="C35" s="1906" t="s">
        <v>3654</v>
      </c>
      <c r="D35" s="386">
        <v>100</v>
      </c>
      <c r="E35" s="1906" t="s">
        <v>3654</v>
      </c>
      <c r="F35" s="412">
        <f>SUMIF(107:107,E35,108:108)-SUMIF(107:107,C35,108:108)+100</f>
        <v>100</v>
      </c>
      <c r="G35" s="1906" t="s">
        <v>3654</v>
      </c>
      <c r="H35" s="386">
        <f>SUMIF(107:107,G35,108:108)-SUMIF(107:107,C35,108:108)+100</f>
        <v>100</v>
      </c>
      <c r="I35" s="1906" t="s">
        <v>3654</v>
      </c>
      <c r="J35" s="386">
        <f>SUMIF(107:107,I35,108:108)-SUMIF(107:107,C35,108:108)+100</f>
        <v>100</v>
      </c>
      <c r="K35" s="561">
        <v>2</v>
      </c>
      <c r="L35" s="2719"/>
      <c r="M35" s="2713"/>
      <c r="N35" s="2713"/>
      <c r="O35" s="2713"/>
      <c r="P35" s="3779"/>
      <c r="Q35" s="1352" t="str">
        <f t="shared" si="11"/>
        <v>公共部分装修</v>
      </c>
      <c r="R35" s="705" t="s">
        <v>14</v>
      </c>
      <c r="S35" s="706">
        <f t="shared" si="12"/>
        <v>100</v>
      </c>
      <c r="T35" s="705" t="s">
        <v>14</v>
      </c>
      <c r="U35" s="706">
        <f t="shared" si="13"/>
        <v>100</v>
      </c>
      <c r="V35" s="705" t="s">
        <v>14</v>
      </c>
      <c r="W35" s="706">
        <f t="shared" si="14"/>
        <v>100</v>
      </c>
      <c r="X35" s="1355"/>
      <c r="Y35" s="3781"/>
      <c r="Z35" s="1356" t="str">
        <f t="shared" si="15"/>
        <v>公共部分装修</v>
      </c>
      <c r="AA35" s="1353">
        <f t="shared" si="3"/>
        <v>1</v>
      </c>
      <c r="AB35" s="1353">
        <f t="shared" si="4"/>
        <v>1</v>
      </c>
      <c r="AC35" s="1353">
        <f t="shared" si="5"/>
        <v>1</v>
      </c>
    </row>
    <row r="36" spans="1:29" ht="15">
      <c r="A36" s="423"/>
      <c r="B36" s="375" t="s">
        <v>1786</v>
      </c>
      <c r="C36" s="425">
        <v>0.6</v>
      </c>
      <c r="D36" s="386">
        <v>100</v>
      </c>
      <c r="E36" s="425">
        <v>0.6</v>
      </c>
      <c r="F36" s="412">
        <f>LOOKUP(E36,110:110,111:111)-LOOKUP(C36,110:110,111:111)+100</f>
        <v>100</v>
      </c>
      <c r="G36" s="425">
        <v>0.7</v>
      </c>
      <c r="H36" s="412">
        <f>LOOKUP(G36,110:110,111:111)-LOOKUP(C36,110:110,111:111)+100</f>
        <v>105</v>
      </c>
      <c r="I36" s="425">
        <v>0.7</v>
      </c>
      <c r="J36" s="386">
        <f>LOOKUP(I36,110:110,111:111)-LOOKUP(C36,110:110,111:111)+100</f>
        <v>105</v>
      </c>
      <c r="K36" s="561">
        <v>5</v>
      </c>
      <c r="L36" s="2719"/>
      <c r="M36" s="2713"/>
      <c r="N36" s="2713"/>
      <c r="O36" s="2713"/>
      <c r="P36" s="3779"/>
      <c r="Q36" s="1352" t="str">
        <f t="shared" si="11"/>
        <v>成新度</v>
      </c>
      <c r="R36" s="705" t="s">
        <v>14</v>
      </c>
      <c r="S36" s="706">
        <f t="shared" si="12"/>
        <v>100</v>
      </c>
      <c r="T36" s="705" t="s">
        <v>14</v>
      </c>
      <c r="U36" s="706">
        <f t="shared" si="13"/>
        <v>105</v>
      </c>
      <c r="V36" s="705" t="s">
        <v>14</v>
      </c>
      <c r="W36" s="706">
        <f t="shared" si="14"/>
        <v>105</v>
      </c>
      <c r="X36" s="1355"/>
      <c r="Y36" s="3781"/>
      <c r="Z36" s="1356" t="str">
        <f t="shared" si="15"/>
        <v>成新度</v>
      </c>
      <c r="AA36" s="1353">
        <f t="shared" si="3"/>
        <v>1</v>
      </c>
      <c r="AB36" s="1353">
        <f t="shared" si="4"/>
        <v>0.95238095238095233</v>
      </c>
      <c r="AC36" s="1353">
        <f t="shared" si="5"/>
        <v>0.95238095238095233</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79"/>
      <c r="Q37" s="1343" t="str">
        <f t="shared" si="11"/>
        <v>市政基础设施</v>
      </c>
      <c r="R37" s="701" t="s">
        <v>14</v>
      </c>
      <c r="S37" s="702">
        <f t="shared" si="12"/>
        <v>100</v>
      </c>
      <c r="T37" s="701" t="s">
        <v>14</v>
      </c>
      <c r="U37" s="702">
        <f t="shared" si="13"/>
        <v>100</v>
      </c>
      <c r="V37" s="701" t="s">
        <v>14</v>
      </c>
      <c r="W37" s="702">
        <f t="shared" si="14"/>
        <v>100</v>
      </c>
      <c r="X37" s="703"/>
      <c r="Y37" s="37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79" t="s">
        <v>1696</v>
      </c>
      <c r="Q38" s="1352" t="str">
        <f t="shared" si="11"/>
        <v>业态</v>
      </c>
      <c r="R38" s="705" t="s">
        <v>14</v>
      </c>
      <c r="S38" s="706">
        <f t="shared" si="12"/>
        <v>100</v>
      </c>
      <c r="T38" s="705" t="s">
        <v>14</v>
      </c>
      <c r="U38" s="706">
        <f t="shared" si="13"/>
        <v>100</v>
      </c>
      <c r="V38" s="705" t="s">
        <v>14</v>
      </c>
      <c r="W38" s="706">
        <f t="shared" si="14"/>
        <v>100</v>
      </c>
      <c r="X38" s="1355"/>
      <c r="Y38" s="37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79"/>
      <c r="Q39" s="1352" t="str">
        <f t="shared" si="11"/>
        <v>层高</v>
      </c>
      <c r="R39" s="705" t="s">
        <v>14</v>
      </c>
      <c r="S39" s="706">
        <f t="shared" si="12"/>
        <v>100</v>
      </c>
      <c r="T39" s="705" t="s">
        <v>14</v>
      </c>
      <c r="U39" s="706">
        <f t="shared" si="13"/>
        <v>100</v>
      </c>
      <c r="V39" s="705" t="s">
        <v>14</v>
      </c>
      <c r="W39" s="706">
        <f t="shared" si="14"/>
        <v>100</v>
      </c>
      <c r="X39" s="1355"/>
      <c r="Y39" s="37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9"/>
      <c r="Q40" s="1352" t="str">
        <f t="shared" si="11"/>
        <v>单套建筑面积</v>
      </c>
      <c r="R40" s="705" t="s">
        <v>14</v>
      </c>
      <c r="S40" s="706">
        <f t="shared" si="12"/>
        <v>100</v>
      </c>
      <c r="T40" s="705" t="s">
        <v>14</v>
      </c>
      <c r="U40" s="706">
        <f t="shared" si="13"/>
        <v>100</v>
      </c>
      <c r="V40" s="705" t="s">
        <v>14</v>
      </c>
      <c r="W40" s="706">
        <f t="shared" si="14"/>
        <v>100</v>
      </c>
      <c r="X40" s="1355"/>
      <c r="Y40" s="37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9"/>
      <c r="Q41" s="707" t="str">
        <f t="shared" si="11"/>
        <v>进深比</v>
      </c>
      <c r="R41" s="708" t="s">
        <v>14</v>
      </c>
      <c r="S41" s="709">
        <f t="shared" si="12"/>
        <v>100</v>
      </c>
      <c r="T41" s="708" t="s">
        <v>14</v>
      </c>
      <c r="U41" s="709">
        <f t="shared" si="13"/>
        <v>100</v>
      </c>
      <c r="V41" s="708" t="s">
        <v>14</v>
      </c>
      <c r="W41" s="709">
        <f t="shared" si="14"/>
        <v>100</v>
      </c>
      <c r="X41" s="710"/>
      <c r="Y41" s="37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79"/>
      <c r="Q42" s="1352" t="str">
        <f t="shared" si="11"/>
        <v>内部装修</v>
      </c>
      <c r="R42" s="705" t="s">
        <v>14</v>
      </c>
      <c r="S42" s="706">
        <f t="shared" si="12"/>
        <v>100</v>
      </c>
      <c r="T42" s="705" t="s">
        <v>14</v>
      </c>
      <c r="U42" s="706">
        <f t="shared" si="13"/>
        <v>100</v>
      </c>
      <c r="V42" s="705" t="s">
        <v>14</v>
      </c>
      <c r="W42" s="706">
        <f t="shared" si="14"/>
        <v>100</v>
      </c>
      <c r="X42" s="1355"/>
      <c r="Y42" s="37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79"/>
      <c r="Q43" s="1352" t="str">
        <f t="shared" si="11"/>
        <v>内部装修维护情况</v>
      </c>
      <c r="R43" s="705" t="s">
        <v>14</v>
      </c>
      <c r="S43" s="706">
        <f t="shared" si="12"/>
        <v>100</v>
      </c>
      <c r="T43" s="705" t="s">
        <v>14</v>
      </c>
      <c r="U43" s="706">
        <f t="shared" si="13"/>
        <v>100</v>
      </c>
      <c r="V43" s="705" t="s">
        <v>14</v>
      </c>
      <c r="W43" s="706">
        <f t="shared" si="14"/>
        <v>100</v>
      </c>
      <c r="X43" s="1355"/>
      <c r="Y43" s="37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9"/>
      <c r="Q44" s="1343">
        <f t="shared" si="11"/>
        <v>111</v>
      </c>
      <c r="R44" s="701" t="s">
        <v>14</v>
      </c>
      <c r="S44" s="702">
        <f t="shared" si="12"/>
        <v>100</v>
      </c>
      <c r="T44" s="701" t="s">
        <v>14</v>
      </c>
      <c r="U44" s="702">
        <f t="shared" si="13"/>
        <v>100</v>
      </c>
      <c r="V44" s="701" t="s">
        <v>14</v>
      </c>
      <c r="W44" s="702">
        <f t="shared" si="14"/>
        <v>100</v>
      </c>
      <c r="X44" s="703"/>
      <c r="Y44" s="37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9"/>
      <c r="Q45" s="1352">
        <f t="shared" si="11"/>
        <v>111</v>
      </c>
      <c r="R45" s="705" t="s">
        <v>14</v>
      </c>
      <c r="S45" s="706">
        <f t="shared" si="12"/>
        <v>100</v>
      </c>
      <c r="T45" s="705" t="s">
        <v>14</v>
      </c>
      <c r="U45" s="706">
        <f t="shared" si="13"/>
        <v>100</v>
      </c>
      <c r="V45" s="705" t="s">
        <v>14</v>
      </c>
      <c r="W45" s="706">
        <f t="shared" si="14"/>
        <v>100</v>
      </c>
      <c r="X45" s="1355"/>
      <c r="Y45" s="37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80"/>
      <c r="Q46" s="1352">
        <f t="shared" si="11"/>
        <v>111</v>
      </c>
      <c r="R46" s="705" t="s">
        <v>14</v>
      </c>
      <c r="S46" s="706">
        <f t="shared" si="12"/>
        <v>100</v>
      </c>
      <c r="T46" s="705" t="s">
        <v>14</v>
      </c>
      <c r="U46" s="706">
        <f t="shared" si="13"/>
        <v>100</v>
      </c>
      <c r="V46" s="705" t="s">
        <v>14</v>
      </c>
      <c r="W46" s="706">
        <f t="shared" si="14"/>
        <v>100</v>
      </c>
      <c r="X46" s="1355"/>
      <c r="Y46" s="3782"/>
      <c r="Z46" s="1356">
        <f t="shared" si="15"/>
        <v>111</v>
      </c>
      <c r="AA46" s="1353">
        <f t="shared" si="3"/>
        <v>1</v>
      </c>
      <c r="AB46" s="1353">
        <f t="shared" si="4"/>
        <v>1</v>
      </c>
      <c r="AC46" s="1353">
        <f t="shared" si="5"/>
        <v>1</v>
      </c>
    </row>
    <row r="47" spans="1:29" ht="15">
      <c r="A47" s="430" t="s">
        <v>1708</v>
      </c>
      <c r="B47" s="431"/>
      <c r="C47" s="1154" t="s">
        <v>0</v>
      </c>
      <c r="D47" s="1155"/>
      <c r="E47" s="1156">
        <v>11.11</v>
      </c>
      <c r="F47" s="1157"/>
      <c r="G47" s="1158">
        <v>14.29</v>
      </c>
      <c r="H47" s="1159"/>
      <c r="I47" s="1156">
        <v>13.87</v>
      </c>
      <c r="J47" s="1159"/>
      <c r="K47" s="714"/>
      <c r="L47" s="2721"/>
      <c r="M47" s="2722"/>
      <c r="N47" s="2713"/>
      <c r="O47" s="2722"/>
      <c r="P47" s="3774" t="str">
        <f>A47</f>
        <v>成交单价（元/平方米）</v>
      </c>
      <c r="Q47" s="3774"/>
      <c r="R47" s="3805">
        <f>E47</f>
        <v>11.11</v>
      </c>
      <c r="S47" s="3805"/>
      <c r="T47" s="3805">
        <f>G47</f>
        <v>14.29</v>
      </c>
      <c r="U47" s="3805"/>
      <c r="V47" s="3805">
        <f>I47</f>
        <v>13.87</v>
      </c>
      <c r="W47" s="3805"/>
      <c r="X47" s="690"/>
      <c r="Y47" s="712"/>
      <c r="Z47" s="690"/>
      <c r="AA47" s="690"/>
      <c r="AB47" s="690"/>
      <c r="AC47" s="690"/>
    </row>
    <row r="48" spans="1:29" ht="15.75" thickBot="1">
      <c r="A48" s="437" t="s">
        <v>1793</v>
      </c>
      <c r="B48" s="438"/>
      <c r="C48" s="1160">
        <f>R49</f>
        <v>13.3</v>
      </c>
      <c r="D48" s="2317" t="s">
        <v>2136</v>
      </c>
      <c r="E48" s="1161">
        <f>R48</f>
        <v>12.1</v>
      </c>
      <c r="F48" s="2318"/>
      <c r="G48" s="1160">
        <f>T48</f>
        <v>14.1</v>
      </c>
      <c r="H48" s="2318"/>
      <c r="I48" s="1161">
        <f>V48</f>
        <v>13.7</v>
      </c>
      <c r="J48" s="2318"/>
      <c r="K48" s="2320">
        <f>F48+H48+J48</f>
        <v>0</v>
      </c>
      <c r="L48" s="2721"/>
      <c r="M48" s="2722"/>
      <c r="N48" s="2713"/>
      <c r="O48" s="2722"/>
      <c r="P48" s="3774" t="str">
        <f>A48</f>
        <v>比较价值（元/平方米）</v>
      </c>
      <c r="Q48" s="3774"/>
      <c r="R48" s="3775">
        <f>IF(F1="售价",ROUND(PRODUCT(R47,AA7:AA46),0),ROUND(PRODUCT(R47,AA7:AA46),1))</f>
        <v>12.1</v>
      </c>
      <c r="S48" s="3775"/>
      <c r="T48" s="3775">
        <f>IF(F1="售价",ROUND(PRODUCT(T47,AB7:AB46),0),ROUND(PRODUCT(T47,AB7:AB46),1))</f>
        <v>14.1</v>
      </c>
      <c r="U48" s="3775"/>
      <c r="V48" s="3775">
        <f>IF(F1="售价",ROUND(PRODUCT(V47,AC7:AC46),0),ROUND(PRODUCT(V47,AC7:AC46),1))</f>
        <v>13.7</v>
      </c>
      <c r="W48" s="3775"/>
      <c r="X48" s="690"/>
      <c r="Y48" s="690"/>
      <c r="Z48" s="690"/>
      <c r="AA48" s="690"/>
      <c r="AB48" s="690"/>
      <c r="AC48" s="690"/>
    </row>
    <row r="49" spans="1:29" ht="15.75" thickBot="1">
      <c r="A49" s="441" t="s">
        <v>1794</v>
      </c>
      <c r="B49" s="442"/>
      <c r="C49" s="1163">
        <f>R49</f>
        <v>13.3</v>
      </c>
      <c r="D49" s="1163"/>
      <c r="E49" s="1163"/>
      <c r="F49" s="1163"/>
      <c r="G49" s="1163"/>
      <c r="H49" s="1163"/>
      <c r="I49" s="1163"/>
      <c r="J49" s="1163"/>
      <c r="K49" s="715"/>
      <c r="L49" s="2721"/>
      <c r="M49" s="2722"/>
      <c r="N49" s="2713"/>
      <c r="O49" s="2722"/>
      <c r="P49" s="3771" t="str">
        <f>A49</f>
        <v>估价对象XX用房的比较价值（楼面单价，元/平方米）</v>
      </c>
      <c r="Q49" s="3772"/>
      <c r="R49" s="3773">
        <f>IF(F1="售价",ROUND(IF(D48="简单平均",AVERAGE(R48:V48),R48*F48+T48*H48+V48*J48),0),ROUND(IF(D48="简单平均",AVERAGE(R48:V48),R48*F48+T48*H48+V48*J48),1))</f>
        <v>13.3</v>
      </c>
      <c r="S49" s="3773"/>
      <c r="T49" s="3773"/>
      <c r="U49" s="3773"/>
      <c r="V49" s="3773"/>
      <c r="W49" s="377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8.9108910891089188E-2</v>
      </c>
      <c r="F52" s="449" t="str">
        <f>IF(OR(E52&gt;=0.3,E52&lt;=-0.3),"超过30%","")</f>
        <v/>
      </c>
      <c r="G52" s="448">
        <f>IF(G47&lt;G48,G48/G47-1,G47/G48-1)</f>
        <v>1.3475177304964614E-2</v>
      </c>
      <c r="H52" s="449" t="str">
        <f>IF(OR(G52&gt;=0.3,G52&lt;=-0.3),"超过30%","")</f>
        <v/>
      </c>
      <c r="I52" s="448">
        <f>IF(I47&lt;I48,I48/I47-1,I47/I48-1)</f>
        <v>1.2408759124087565E-2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0.16528925619834722</v>
      </c>
      <c r="F53" s="449" t="str">
        <f>IF(OR(E53&gt;=0.2,E53&lt;=-0.2),"超过20%","")</f>
        <v/>
      </c>
      <c r="G53" s="448">
        <f>IF(G48&lt;I48,I48/G48-1,G48/I48-1)</f>
        <v>2.9197080291970767E-2</v>
      </c>
      <c r="H53" s="449" t="str">
        <f>IF(OR(G53&gt;=0.2,G53&lt;=-0.2),"超过20%","")</f>
        <v/>
      </c>
      <c r="I53" s="448">
        <f>IF(I48&lt;E48,E48/I48-1,I48/E48-1)</f>
        <v>0.13223140495867769</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0.28622862286228612</v>
      </c>
      <c r="F54" s="449" t="str">
        <f>IF(OR(E54&gt;=0.3,E54&lt;=-0.3),"超过30%","")</f>
        <v/>
      </c>
      <c r="G54" s="448">
        <f>IF(G47&lt;I47,I47/G47-1,G47/I47-1)</f>
        <v>3.0281182408074869E-2</v>
      </c>
      <c r="H54" s="449" t="str">
        <f>IF(OR(G54&gt;=0.3,G54&lt;=-0.3),"超过30%","")</f>
        <v/>
      </c>
      <c r="I54" s="448">
        <f>IF(I47&lt;E47,E47/I47-1,I47/E47-1)</f>
        <v>0.24842484248424834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2022-10</v>
      </c>
      <c r="D58" s="1185">
        <f>EDATE(C58,-1)</f>
        <v>44805</v>
      </c>
      <c r="E58" s="1185">
        <f t="shared" ref="E58:N58" si="16">EDATE(D58,-1)</f>
        <v>44774</v>
      </c>
      <c r="F58" s="1185">
        <f t="shared" si="16"/>
        <v>44743</v>
      </c>
      <c r="G58" s="1185">
        <f t="shared" si="16"/>
        <v>44713</v>
      </c>
      <c r="H58" s="1185">
        <f t="shared" si="16"/>
        <v>44682</v>
      </c>
      <c r="I58" s="1185">
        <f t="shared" si="16"/>
        <v>44652</v>
      </c>
      <c r="J58" s="1185">
        <f t="shared" si="16"/>
        <v>44621</v>
      </c>
      <c r="K58" s="1185">
        <f t="shared" si="16"/>
        <v>44593</v>
      </c>
      <c r="L58" s="1185">
        <f t="shared" si="16"/>
        <v>44562</v>
      </c>
      <c r="M58" s="1185">
        <f t="shared" si="16"/>
        <v>44531</v>
      </c>
      <c r="N58" s="1185">
        <f t="shared" si="16"/>
        <v>44501</v>
      </c>
      <c r="O58" s="1185">
        <f>EDATE(N58,-1)</f>
        <v>44470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1（含）-2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1</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90</v>
      </c>
      <c r="E77" s="493">
        <f>D77-$K15</f>
        <v>80</v>
      </c>
      <c r="F77" s="493">
        <f>E77-$K15</f>
        <v>70</v>
      </c>
      <c r="G77" s="493">
        <f>F77-$K15</f>
        <v>60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95</v>
      </c>
      <c r="E85" s="493">
        <f>D85-$K23</f>
        <v>90</v>
      </c>
      <c r="F85" s="493">
        <f>E85-$K23</f>
        <v>85</v>
      </c>
      <c r="G85" s="493">
        <f>F85-$K23</f>
        <v>80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2" t="s">
        <v>3640</v>
      </c>
      <c r="D86" s="3532" t="s">
        <v>3641</v>
      </c>
      <c r="E86" s="3532" t="s">
        <v>3643</v>
      </c>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532" t="s">
        <v>3660</v>
      </c>
      <c r="D90" s="3532" t="s">
        <v>3645</v>
      </c>
      <c r="E90" s="3532" t="s">
        <v>3661</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3" t="s">
        <v>3422</v>
      </c>
      <c r="D92" s="3453" t="s">
        <v>3424</v>
      </c>
      <c r="E92" s="3453" t="s">
        <v>3425</v>
      </c>
      <c r="F92" s="3453" t="s">
        <v>3426</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105</v>
      </c>
      <c r="E93" s="485">
        <v>98</v>
      </c>
      <c r="F93" s="485">
        <f>E93</f>
        <v>98</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3" t="s">
        <v>3647</v>
      </c>
      <c r="D100" s="3533" t="s">
        <v>3668</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0(含)-250</v>
      </c>
      <c r="D102" s="527" t="str">
        <f t="shared" ref="D102:L102" si="23">D103&amp;"(含)"&amp;"-"&amp;E103</f>
        <v>250(含)-500</v>
      </c>
      <c r="E102" s="527" t="str">
        <f t="shared" si="23"/>
        <v>500(含)-750</v>
      </c>
      <c r="F102" s="527" t="str">
        <f t="shared" si="23"/>
        <v>750(含)-1000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250</v>
      </c>
      <c r="E103" s="544">
        <v>500</v>
      </c>
      <c r="F103" s="544">
        <v>750</v>
      </c>
      <c r="G103" s="544">
        <v>1000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98</v>
      </c>
      <c r="E104" s="485">
        <v>96</v>
      </c>
      <c r="F104" s="485">
        <v>94</v>
      </c>
      <c r="G104" s="485">
        <v>92</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2" t="s">
        <v>3648</v>
      </c>
      <c r="D105" s="3532" t="s">
        <v>3650</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96</v>
      </c>
      <c r="E106" s="493">
        <f t="shared" si="24"/>
        <v>92</v>
      </c>
      <c r="F106" s="493">
        <f t="shared" si="24"/>
        <v>88</v>
      </c>
      <c r="G106" s="493">
        <f t="shared" si="24"/>
        <v>84</v>
      </c>
      <c r="H106" s="493">
        <f t="shared" si="24"/>
        <v>80</v>
      </c>
      <c r="I106" s="493">
        <f t="shared" si="24"/>
        <v>76</v>
      </c>
      <c r="J106" s="493">
        <f t="shared" si="24"/>
        <v>72</v>
      </c>
      <c r="K106" s="493">
        <f t="shared" si="24"/>
        <v>68</v>
      </c>
      <c r="L106" s="493">
        <f t="shared" si="24"/>
        <v>64</v>
      </c>
      <c r="M106" s="494">
        <f t="shared" si="24"/>
        <v>60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2" t="s">
        <v>3651</v>
      </c>
      <c r="D107" s="3532" t="s">
        <v>3655</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105</v>
      </c>
      <c r="E111" s="493">
        <f t="shared" ref="E111:M111" si="26">D111+$K36</f>
        <v>110</v>
      </c>
      <c r="F111" s="493">
        <f t="shared" si="26"/>
        <v>115</v>
      </c>
      <c r="G111" s="493">
        <f t="shared" si="26"/>
        <v>120</v>
      </c>
      <c r="H111" s="493">
        <f t="shared" si="26"/>
        <v>125</v>
      </c>
      <c r="I111" s="493">
        <f t="shared" si="26"/>
        <v>130</v>
      </c>
      <c r="J111" s="493">
        <f t="shared" si="26"/>
        <v>135</v>
      </c>
      <c r="K111" s="493">
        <f t="shared" si="26"/>
        <v>140</v>
      </c>
      <c r="L111" s="493">
        <f t="shared" si="26"/>
        <v>145</v>
      </c>
      <c r="M111" s="493">
        <f t="shared" si="26"/>
        <v>150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2" t="s">
        <v>3652</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2" t="s">
        <v>3653</v>
      </c>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188.54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826" t="s">
        <v>1775</v>
      </c>
      <c r="Q4" s="3827"/>
      <c r="R4" s="3830" t="s">
        <v>1771</v>
      </c>
      <c r="S4" s="3831"/>
      <c r="T4" s="3830" t="s">
        <v>1772</v>
      </c>
      <c r="U4" s="3831"/>
      <c r="V4" s="3832" t="s">
        <v>1773</v>
      </c>
      <c r="W4" s="3832"/>
      <c r="X4" s="1958"/>
      <c r="Y4" s="3830" t="s">
        <v>1775</v>
      </c>
      <c r="Z4" s="3831"/>
      <c r="AA4" s="3834" t="s">
        <v>1771</v>
      </c>
      <c r="AB4" s="3834" t="s">
        <v>1772</v>
      </c>
      <c r="AC4" s="3823" t="s">
        <v>1773</v>
      </c>
    </row>
    <row r="5" spans="1:29" ht="15">
      <c r="A5" s="358"/>
      <c r="B5" s="359"/>
      <c r="C5" s="3808" t="s">
        <v>1673</v>
      </c>
      <c r="D5" s="3809"/>
      <c r="E5" s="3815" t="s">
        <v>1674</v>
      </c>
      <c r="F5" s="3816"/>
      <c r="G5" s="3808" t="s">
        <v>1675</v>
      </c>
      <c r="H5" s="3809"/>
      <c r="I5" s="3808" t="s">
        <v>1676</v>
      </c>
      <c r="J5" s="3809"/>
      <c r="K5" s="559"/>
      <c r="L5" s="2712"/>
      <c r="M5" s="2713"/>
      <c r="N5" s="2713"/>
      <c r="O5" s="2713"/>
      <c r="P5" s="3828"/>
      <c r="Q5" s="3796"/>
      <c r="R5" s="3801"/>
      <c r="S5" s="3802"/>
      <c r="T5" s="3801"/>
      <c r="U5" s="3802"/>
      <c r="V5" s="3805"/>
      <c r="W5" s="3805"/>
      <c r="X5" s="1355"/>
      <c r="Y5" s="3801"/>
      <c r="Z5" s="3802"/>
      <c r="AA5" s="3787"/>
      <c r="AB5" s="3787"/>
      <c r="AC5" s="3824"/>
    </row>
    <row r="6" spans="1:29" ht="15.75" thickBot="1">
      <c r="A6" s="360"/>
      <c r="B6" s="361"/>
      <c r="C6" s="3806" t="s">
        <v>1677</v>
      </c>
      <c r="D6" s="3807"/>
      <c r="E6" s="3813" t="s">
        <v>1677</v>
      </c>
      <c r="F6" s="3814"/>
      <c r="G6" s="3806" t="s">
        <v>1677</v>
      </c>
      <c r="H6" s="3807"/>
      <c r="I6" s="3806" t="s">
        <v>1677</v>
      </c>
      <c r="J6" s="3807"/>
      <c r="K6" s="559" t="s">
        <v>1678</v>
      </c>
      <c r="L6" s="2712"/>
      <c r="M6" s="2713"/>
      <c r="N6" s="2713"/>
      <c r="O6" s="2713"/>
      <c r="P6" s="3829"/>
      <c r="Q6" s="3798"/>
      <c r="R6" s="3801"/>
      <c r="S6" s="3802"/>
      <c r="T6" s="3803"/>
      <c r="U6" s="3804"/>
      <c r="V6" s="3805"/>
      <c r="W6" s="3805"/>
      <c r="X6" s="1355"/>
      <c r="Y6" s="3803"/>
      <c r="Z6" s="3804"/>
      <c r="AA6" s="3788"/>
      <c r="AB6" s="3788"/>
      <c r="AC6" s="3825"/>
    </row>
    <row r="7" spans="1:29" s="108" customFormat="1" ht="15.75" thickBot="1">
      <c r="A7" s="362" t="s">
        <v>1679</v>
      </c>
      <c r="B7" s="363"/>
      <c r="C7" s="364">
        <f>'数据-取费表'!B2</f>
        <v>44853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3"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3" t="s">
        <v>1683</v>
      </c>
      <c r="Q8" s="3811"/>
      <c r="R8" s="701" t="s">
        <v>14</v>
      </c>
      <c r="S8" s="702">
        <f t="shared" si="0"/>
        <v>100</v>
      </c>
      <c r="T8" s="701" t="s">
        <v>14</v>
      </c>
      <c r="U8" s="702">
        <f t="shared" si="1"/>
        <v>100</v>
      </c>
      <c r="V8" s="701" t="s">
        <v>14</v>
      </c>
      <c r="W8" s="702">
        <f t="shared" si="2"/>
        <v>100</v>
      </c>
      <c r="X8" s="703"/>
      <c r="Y8" s="3810" t="s">
        <v>1683</v>
      </c>
      <c r="Z8" s="381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8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8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85"/>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85"/>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85"/>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85"/>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83" t="s">
        <v>1691</v>
      </c>
      <c r="Q15" s="1352" t="str">
        <f t="shared" si="6"/>
        <v>办公集聚程度</v>
      </c>
      <c r="R15" s="705" t="s">
        <v>14</v>
      </c>
      <c r="S15" s="706">
        <f t="shared" si="0"/>
        <v>100</v>
      </c>
      <c r="T15" s="705" t="s">
        <v>14</v>
      </c>
      <c r="U15" s="706">
        <f t="shared" si="1"/>
        <v>100</v>
      </c>
      <c r="V15" s="705" t="s">
        <v>14</v>
      </c>
      <c r="W15" s="706">
        <f t="shared" si="2"/>
        <v>100</v>
      </c>
      <c r="X15" s="1355"/>
      <c r="Y15" s="37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84"/>
      <c r="Q16" s="1352"/>
      <c r="R16" s="705"/>
      <c r="S16" s="706"/>
      <c r="T16" s="705"/>
      <c r="U16" s="706"/>
      <c r="V16" s="705"/>
      <c r="W16" s="706"/>
      <c r="X16" s="1355"/>
      <c r="Y16" s="3777"/>
      <c r="Z16" s="1356"/>
      <c r="AA16" s="1353">
        <v>1</v>
      </c>
      <c r="AB16" s="1353">
        <v>1</v>
      </c>
      <c r="AC16" s="1962">
        <v>1</v>
      </c>
    </row>
    <row r="17" spans="1:29" ht="114">
      <c r="A17" s="379"/>
      <c r="B17" s="579" t="s">
        <v>1259</v>
      </c>
      <c r="C17" s="1963" t="str">
        <f>估价对象房地状况!C6</f>
        <v>周边有2路、5路、14路、20路、66路、70路、93路等多条公交线路、地铁2号线（和平门站）及地铁7号线（虎坊桥站），交通较便捷</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84"/>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84"/>
      <c r="Q18" s="1352"/>
      <c r="R18" s="705"/>
      <c r="S18" s="706"/>
      <c r="T18" s="705"/>
      <c r="U18" s="706"/>
      <c r="V18" s="705"/>
      <c r="W18" s="706"/>
      <c r="X18" s="1355"/>
      <c r="Y18" s="37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84"/>
      <c r="Q19" s="1352" t="str">
        <f>B19</f>
        <v>公共配套设施</v>
      </c>
      <c r="R19" s="705" t="s">
        <v>14</v>
      </c>
      <c r="S19" s="706">
        <f>F19</f>
        <v>100</v>
      </c>
      <c r="T19" s="705" t="s">
        <v>14</v>
      </c>
      <c r="U19" s="706">
        <f>H19</f>
        <v>100</v>
      </c>
      <c r="V19" s="705" t="s">
        <v>14</v>
      </c>
      <c r="W19" s="706">
        <f>J19</f>
        <v>100</v>
      </c>
      <c r="X19" s="1355"/>
      <c r="Y19" s="37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84"/>
      <c r="Q20" s="1352"/>
      <c r="R20" s="705"/>
      <c r="S20" s="706"/>
      <c r="T20" s="705"/>
      <c r="U20" s="706"/>
      <c r="V20" s="705"/>
      <c r="W20" s="706"/>
      <c r="X20" s="1355"/>
      <c r="Y20" s="37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84"/>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84"/>
      <c r="Q22" s="1352"/>
      <c r="R22" s="705"/>
      <c r="S22" s="706"/>
      <c r="T22" s="705"/>
      <c r="U22" s="706"/>
      <c r="V22" s="705"/>
      <c r="W22" s="706"/>
      <c r="X22" s="1355"/>
      <c r="Y22" s="3777"/>
      <c r="Z22" s="1356"/>
      <c r="AA22" s="1353">
        <v>1</v>
      </c>
      <c r="AB22" s="1353">
        <v>1</v>
      </c>
      <c r="AC22" s="1962">
        <v>1</v>
      </c>
    </row>
    <row r="23" spans="1:29" ht="114">
      <c r="A23" s="379"/>
      <c r="B23" s="579" t="s">
        <v>1814</v>
      </c>
      <c r="C23" s="1963" t="str">
        <f>估价对象房地状况!C9</f>
        <v>区域自然环境：后孙公园、月亮湾公园、三里河公园等；人文环境：勅建火神庙、国家大剧院、天安门广场等；综合评价环境状况较好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84"/>
      <c r="Q23" s="1352" t="str">
        <f>B23</f>
        <v>环境质量</v>
      </c>
      <c r="R23" s="705" t="s">
        <v>14</v>
      </c>
      <c r="S23" s="706">
        <f>F23</f>
        <v>100</v>
      </c>
      <c r="T23" s="705" t="s">
        <v>14</v>
      </c>
      <c r="U23" s="706">
        <f>H23</f>
        <v>100</v>
      </c>
      <c r="V23" s="705" t="s">
        <v>14</v>
      </c>
      <c r="W23" s="706">
        <f>J23</f>
        <v>100</v>
      </c>
      <c r="X23" s="1355"/>
      <c r="Y23" s="37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84"/>
      <c r="Q24" s="1352"/>
      <c r="R24" s="705"/>
      <c r="S24" s="706"/>
      <c r="T24" s="705"/>
      <c r="U24" s="706"/>
      <c r="V24" s="705"/>
      <c r="W24" s="706"/>
      <c r="X24" s="1355"/>
      <c r="Y24" s="37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84"/>
      <c r="Q25" s="1352" t="str">
        <f>B25</f>
        <v>毗邻道路的类型与等级</v>
      </c>
      <c r="R25" s="705" t="s">
        <v>14</v>
      </c>
      <c r="S25" s="706">
        <f>F25</f>
        <v>100</v>
      </c>
      <c r="T25" s="705" t="s">
        <v>14</v>
      </c>
      <c r="U25" s="706">
        <f>H25</f>
        <v>100</v>
      </c>
      <c r="V25" s="705" t="s">
        <v>14</v>
      </c>
      <c r="W25" s="706">
        <f>J25</f>
        <v>100</v>
      </c>
      <c r="X25" s="1355"/>
      <c r="Y25" s="37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84"/>
      <c r="Q26" s="1352"/>
      <c r="R26" s="705"/>
      <c r="S26" s="706"/>
      <c r="T26" s="705"/>
      <c r="U26" s="706"/>
      <c r="V26" s="705"/>
      <c r="W26" s="706"/>
      <c r="X26" s="1355"/>
      <c r="Y26" s="37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84"/>
      <c r="Q27" s="1352" t="str">
        <f t="shared" ref="Q27:Q47" si="11">B27</f>
        <v>楼层</v>
      </c>
      <c r="R27" s="705" t="s">
        <v>14</v>
      </c>
      <c r="S27" s="706">
        <f>F27</f>
        <v>100</v>
      </c>
      <c r="T27" s="705" t="s">
        <v>14</v>
      </c>
      <c r="U27" s="706">
        <f>H27</f>
        <v>100</v>
      </c>
      <c r="V27" s="705" t="s">
        <v>14</v>
      </c>
      <c r="W27" s="706">
        <f>J27</f>
        <v>100</v>
      </c>
      <c r="X27" s="1355"/>
      <c r="Y27" s="37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84"/>
      <c r="Q28" s="1343" t="str">
        <f t="shared" si="11"/>
        <v>朝向</v>
      </c>
      <c r="R28" s="701" t="s">
        <v>14</v>
      </c>
      <c r="S28" s="702">
        <f>F28</f>
        <v>100</v>
      </c>
      <c r="T28" s="701" t="s">
        <v>14</v>
      </c>
      <c r="U28" s="702">
        <f>H28</f>
        <v>100</v>
      </c>
      <c r="V28" s="701" t="s">
        <v>14</v>
      </c>
      <c r="W28" s="702">
        <f>J28</f>
        <v>100</v>
      </c>
      <c r="X28" s="703"/>
      <c r="Y28" s="37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84"/>
      <c r="Q29" s="1352">
        <f t="shared" si="11"/>
        <v>111</v>
      </c>
      <c r="R29" s="705" t="s">
        <v>14</v>
      </c>
      <c r="S29" s="706">
        <f t="shared" ref="S29:S47" si="12">F29</f>
        <v>100</v>
      </c>
      <c r="T29" s="705" t="s">
        <v>14</v>
      </c>
      <c r="U29" s="706">
        <f t="shared" ref="U29:U47" si="13">H29</f>
        <v>100</v>
      </c>
      <c r="V29" s="705" t="s">
        <v>14</v>
      </c>
      <c r="W29" s="706">
        <f t="shared" ref="W29:W47" si="14">J29</f>
        <v>100</v>
      </c>
      <c r="X29" s="1355"/>
      <c r="Y29" s="37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84"/>
      <c r="Q30" s="1352">
        <f t="shared" si="11"/>
        <v>111</v>
      </c>
      <c r="R30" s="705" t="s">
        <v>14</v>
      </c>
      <c r="S30" s="706">
        <f t="shared" si="12"/>
        <v>100</v>
      </c>
      <c r="T30" s="705" t="s">
        <v>14</v>
      </c>
      <c r="U30" s="706">
        <f t="shared" si="13"/>
        <v>100</v>
      </c>
      <c r="V30" s="705" t="s">
        <v>14</v>
      </c>
      <c r="W30" s="706">
        <f t="shared" si="14"/>
        <v>100</v>
      </c>
      <c r="X30" s="1355"/>
      <c r="Y30" s="37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84"/>
      <c r="Q31" s="1352">
        <f t="shared" si="11"/>
        <v>111</v>
      </c>
      <c r="R31" s="705" t="s">
        <v>14</v>
      </c>
      <c r="S31" s="706">
        <f t="shared" si="12"/>
        <v>100</v>
      </c>
      <c r="T31" s="705" t="s">
        <v>14</v>
      </c>
      <c r="U31" s="706">
        <f t="shared" si="13"/>
        <v>100</v>
      </c>
      <c r="V31" s="705" t="s">
        <v>14</v>
      </c>
      <c r="W31" s="706">
        <f t="shared" si="14"/>
        <v>100</v>
      </c>
      <c r="X31" s="1355"/>
      <c r="Y31" s="37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84"/>
      <c r="Q32" s="1352">
        <f t="shared" si="11"/>
        <v>111</v>
      </c>
      <c r="R32" s="705" t="s">
        <v>14</v>
      </c>
      <c r="S32" s="706">
        <f t="shared" si="12"/>
        <v>100</v>
      </c>
      <c r="T32" s="705" t="s">
        <v>14</v>
      </c>
      <c r="U32" s="706">
        <f t="shared" si="13"/>
        <v>100</v>
      </c>
      <c r="V32" s="705" t="s">
        <v>14</v>
      </c>
      <c r="W32" s="706">
        <f t="shared" si="14"/>
        <v>100</v>
      </c>
      <c r="X32" s="1355"/>
      <c r="Y32" s="37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78" t="s">
        <v>1696</v>
      </c>
      <c r="Q33" s="1352" t="str">
        <f t="shared" si="11"/>
        <v>建筑类型</v>
      </c>
      <c r="R33" s="705" t="s">
        <v>14</v>
      </c>
      <c r="S33" s="706">
        <f t="shared" si="12"/>
        <v>100</v>
      </c>
      <c r="T33" s="705" t="s">
        <v>14</v>
      </c>
      <c r="U33" s="706">
        <f t="shared" si="13"/>
        <v>100</v>
      </c>
      <c r="V33" s="705" t="s">
        <v>14</v>
      </c>
      <c r="W33" s="706">
        <f t="shared" si="14"/>
        <v>100</v>
      </c>
      <c r="X33" s="1355"/>
      <c r="Y33" s="37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9"/>
      <c r="Q34" s="707" t="str">
        <f t="shared" si="11"/>
        <v>项目建筑规模</v>
      </c>
      <c r="R34" s="708" t="s">
        <v>14</v>
      </c>
      <c r="S34" s="709" t="e">
        <f t="shared" si="12"/>
        <v>#N/A</v>
      </c>
      <c r="T34" s="708" t="s">
        <v>14</v>
      </c>
      <c r="U34" s="709" t="e">
        <f t="shared" si="13"/>
        <v>#N/A</v>
      </c>
      <c r="V34" s="708" t="s">
        <v>14</v>
      </c>
      <c r="W34" s="709" t="e">
        <f t="shared" si="14"/>
        <v>#N/A</v>
      </c>
      <c r="X34" s="710"/>
      <c r="Y34" s="37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9"/>
      <c r="Q35" s="1352" t="str">
        <f t="shared" si="11"/>
        <v>建筑结构</v>
      </c>
      <c r="R35" s="705" t="s">
        <v>14</v>
      </c>
      <c r="S35" s="706">
        <f t="shared" si="12"/>
        <v>100</v>
      </c>
      <c r="T35" s="705" t="s">
        <v>14</v>
      </c>
      <c r="U35" s="706">
        <f t="shared" si="13"/>
        <v>100</v>
      </c>
      <c r="V35" s="705" t="s">
        <v>14</v>
      </c>
      <c r="W35" s="706">
        <f t="shared" si="14"/>
        <v>100</v>
      </c>
      <c r="X35" s="1355"/>
      <c r="Y35" s="37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9"/>
      <c r="Q36" s="1352" t="str">
        <f t="shared" si="11"/>
        <v>公共部分装修</v>
      </c>
      <c r="R36" s="705" t="s">
        <v>14</v>
      </c>
      <c r="S36" s="706">
        <f t="shared" si="12"/>
        <v>100</v>
      </c>
      <c r="T36" s="705" t="s">
        <v>14</v>
      </c>
      <c r="U36" s="706">
        <f t="shared" si="13"/>
        <v>100</v>
      </c>
      <c r="V36" s="705" t="s">
        <v>14</v>
      </c>
      <c r="W36" s="706">
        <f t="shared" si="14"/>
        <v>100</v>
      </c>
      <c r="X36" s="1355"/>
      <c r="Y36" s="37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9"/>
      <c r="Q37" s="1352" t="str">
        <f t="shared" si="11"/>
        <v>成新度</v>
      </c>
      <c r="R37" s="705" t="s">
        <v>14</v>
      </c>
      <c r="S37" s="706" t="e">
        <f t="shared" si="12"/>
        <v>#N/A</v>
      </c>
      <c r="T37" s="705" t="s">
        <v>14</v>
      </c>
      <c r="U37" s="706" t="e">
        <f t="shared" si="13"/>
        <v>#N/A</v>
      </c>
      <c r="V37" s="705" t="s">
        <v>14</v>
      </c>
      <c r="W37" s="706" t="e">
        <f t="shared" si="14"/>
        <v>#N/A</v>
      </c>
      <c r="X37" s="1355"/>
      <c r="Y37" s="37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9"/>
      <c r="Q38" s="1343" t="str">
        <f t="shared" si="11"/>
        <v>写字楼等级</v>
      </c>
      <c r="R38" s="701" t="s">
        <v>14</v>
      </c>
      <c r="S38" s="702">
        <f t="shared" si="12"/>
        <v>100</v>
      </c>
      <c r="T38" s="701" t="s">
        <v>14</v>
      </c>
      <c r="U38" s="702">
        <f t="shared" si="13"/>
        <v>100</v>
      </c>
      <c r="V38" s="701" t="s">
        <v>14</v>
      </c>
      <c r="W38" s="702">
        <f t="shared" si="14"/>
        <v>100</v>
      </c>
      <c r="X38" s="703"/>
      <c r="Y38" s="37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9" t="s">
        <v>1696</v>
      </c>
      <c r="Q39" s="1352" t="str">
        <f t="shared" si="11"/>
        <v>物业管理</v>
      </c>
      <c r="R39" s="705" t="s">
        <v>14</v>
      </c>
      <c r="S39" s="706">
        <f t="shared" si="12"/>
        <v>100</v>
      </c>
      <c r="T39" s="705" t="s">
        <v>14</v>
      </c>
      <c r="U39" s="706">
        <f t="shared" si="13"/>
        <v>100</v>
      </c>
      <c r="V39" s="705" t="s">
        <v>14</v>
      </c>
      <c r="W39" s="706">
        <f t="shared" si="14"/>
        <v>100</v>
      </c>
      <c r="X39" s="1355"/>
      <c r="Y39" s="37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9"/>
      <c r="Q40" s="1352" t="str">
        <f t="shared" si="11"/>
        <v>市政基础设施</v>
      </c>
      <c r="R40" s="705" t="s">
        <v>14</v>
      </c>
      <c r="S40" s="706">
        <f t="shared" si="12"/>
        <v>100</v>
      </c>
      <c r="T40" s="705" t="s">
        <v>14</v>
      </c>
      <c r="U40" s="706">
        <f t="shared" si="13"/>
        <v>100</v>
      </c>
      <c r="V40" s="705" t="s">
        <v>14</v>
      </c>
      <c r="W40" s="706">
        <f t="shared" si="14"/>
        <v>100</v>
      </c>
      <c r="X40" s="1355"/>
      <c r="Y40" s="37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9"/>
      <c r="Q41" s="1352" t="str">
        <f t="shared" si="11"/>
        <v>层高</v>
      </c>
      <c r="R41" s="705" t="s">
        <v>14</v>
      </c>
      <c r="S41" s="706">
        <f t="shared" si="12"/>
        <v>100</v>
      </c>
      <c r="T41" s="705" t="s">
        <v>14</v>
      </c>
      <c r="U41" s="706">
        <f t="shared" si="13"/>
        <v>100</v>
      </c>
      <c r="V41" s="705" t="s">
        <v>14</v>
      </c>
      <c r="W41" s="706">
        <f t="shared" si="14"/>
        <v>100</v>
      </c>
      <c r="X41" s="1355"/>
      <c r="Y41" s="37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9"/>
      <c r="Q42" s="707" t="str">
        <f t="shared" si="11"/>
        <v>单套建筑面积</v>
      </c>
      <c r="R42" s="708" t="s">
        <v>14</v>
      </c>
      <c r="S42" s="709">
        <f t="shared" si="12"/>
        <v>100</v>
      </c>
      <c r="T42" s="708" t="s">
        <v>14</v>
      </c>
      <c r="U42" s="709">
        <f t="shared" si="13"/>
        <v>100</v>
      </c>
      <c r="V42" s="708" t="s">
        <v>14</v>
      </c>
      <c r="W42" s="709">
        <f t="shared" si="14"/>
        <v>100</v>
      </c>
      <c r="X42" s="710"/>
      <c r="Y42" s="37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9"/>
      <c r="Q43" s="1352" t="str">
        <f t="shared" si="11"/>
        <v>内部装修</v>
      </c>
      <c r="R43" s="705" t="s">
        <v>14</v>
      </c>
      <c r="S43" s="706">
        <f t="shared" si="12"/>
        <v>100</v>
      </c>
      <c r="T43" s="705" t="s">
        <v>14</v>
      </c>
      <c r="U43" s="706">
        <f t="shared" si="13"/>
        <v>100</v>
      </c>
      <c r="V43" s="705" t="s">
        <v>14</v>
      </c>
      <c r="W43" s="706">
        <f t="shared" si="14"/>
        <v>100</v>
      </c>
      <c r="X43" s="1355"/>
      <c r="Y43" s="37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79"/>
      <c r="Q44" s="1352" t="str">
        <f t="shared" si="11"/>
        <v>内部装修维护情况</v>
      </c>
      <c r="R44" s="705" t="s">
        <v>14</v>
      </c>
      <c r="S44" s="706">
        <f t="shared" si="12"/>
        <v>100</v>
      </c>
      <c r="T44" s="705" t="s">
        <v>14</v>
      </c>
      <c r="U44" s="706">
        <f t="shared" si="13"/>
        <v>100</v>
      </c>
      <c r="V44" s="705" t="s">
        <v>14</v>
      </c>
      <c r="W44" s="706">
        <f t="shared" si="14"/>
        <v>100</v>
      </c>
      <c r="X44" s="1355"/>
      <c r="Y44" s="37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9"/>
      <c r="Q45" s="1343">
        <f t="shared" si="11"/>
        <v>111</v>
      </c>
      <c r="R45" s="701" t="s">
        <v>14</v>
      </c>
      <c r="S45" s="702">
        <f t="shared" si="12"/>
        <v>100</v>
      </c>
      <c r="T45" s="701" t="s">
        <v>14</v>
      </c>
      <c r="U45" s="702">
        <f t="shared" si="13"/>
        <v>100</v>
      </c>
      <c r="V45" s="701" t="s">
        <v>14</v>
      </c>
      <c r="W45" s="702">
        <f t="shared" si="14"/>
        <v>100</v>
      </c>
      <c r="X45" s="703"/>
      <c r="Y45" s="37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9"/>
      <c r="Q46" s="1352">
        <f t="shared" si="11"/>
        <v>111</v>
      </c>
      <c r="R46" s="705" t="s">
        <v>14</v>
      </c>
      <c r="S46" s="706">
        <f t="shared" si="12"/>
        <v>100</v>
      </c>
      <c r="T46" s="705" t="s">
        <v>14</v>
      </c>
      <c r="U46" s="706">
        <f t="shared" si="13"/>
        <v>100</v>
      </c>
      <c r="V46" s="705" t="s">
        <v>14</v>
      </c>
      <c r="W46" s="706">
        <f t="shared" si="14"/>
        <v>100</v>
      </c>
      <c r="X46" s="1355"/>
      <c r="Y46" s="37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80"/>
      <c r="Q47" s="1352">
        <f t="shared" si="11"/>
        <v>111</v>
      </c>
      <c r="R47" s="705" t="s">
        <v>14</v>
      </c>
      <c r="S47" s="706">
        <f t="shared" si="12"/>
        <v>100</v>
      </c>
      <c r="T47" s="705" t="s">
        <v>14</v>
      </c>
      <c r="U47" s="706">
        <f t="shared" si="13"/>
        <v>100</v>
      </c>
      <c r="V47" s="705" t="s">
        <v>14</v>
      </c>
      <c r="W47" s="706">
        <f t="shared" si="14"/>
        <v>100</v>
      </c>
      <c r="X47" s="1355"/>
      <c r="Y47" s="37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85" t="str">
        <f>A48</f>
        <v>成交单价（元/平方米）</v>
      </c>
      <c r="Q48" s="3774"/>
      <c r="R48" s="3775">
        <f>E48</f>
        <v>0</v>
      </c>
      <c r="S48" s="3775"/>
      <c r="T48" s="3775">
        <f>G48</f>
        <v>0</v>
      </c>
      <c r="U48" s="3775"/>
      <c r="V48" s="3775">
        <f>I48</f>
        <v>0</v>
      </c>
      <c r="W48" s="3775"/>
      <c r="X48" s="397"/>
      <c r="Y48" s="712"/>
      <c r="Z48" s="397"/>
      <c r="AA48" s="397"/>
      <c r="AB48" s="397"/>
      <c r="AC48" s="578"/>
    </row>
    <row r="49" spans="1:29" ht="15.75" thickBot="1">
      <c r="A49" s="437" t="s">
        <v>1793</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785" t="str">
        <f>A49</f>
        <v>比较价值（元/平方米）</v>
      </c>
      <c r="Q49" s="3774"/>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2022-10</v>
      </c>
      <c r="D59" s="1185">
        <f>EDATE(C59,-1)</f>
        <v>44805</v>
      </c>
      <c r="E59" s="1185">
        <f>EDATE(D59,-1)</f>
        <v>44774</v>
      </c>
      <c r="F59" s="1185">
        <f t="shared" ref="F59:O59" si="16">EDATE(E59,-1)</f>
        <v>44743</v>
      </c>
      <c r="G59" s="1185">
        <f t="shared" si="16"/>
        <v>44713</v>
      </c>
      <c r="H59" s="1185">
        <f t="shared" si="16"/>
        <v>44682</v>
      </c>
      <c r="I59" s="1185">
        <f t="shared" si="16"/>
        <v>44652</v>
      </c>
      <c r="J59" s="1185">
        <f t="shared" si="16"/>
        <v>44621</v>
      </c>
      <c r="K59" s="1185">
        <f t="shared" si="16"/>
        <v>44593</v>
      </c>
      <c r="L59" s="1185">
        <f t="shared" si="16"/>
        <v>44562</v>
      </c>
      <c r="M59" s="1185">
        <f t="shared" si="16"/>
        <v>44531</v>
      </c>
      <c r="N59" s="1185">
        <f t="shared" si="16"/>
        <v>44501</v>
      </c>
      <c r="O59" s="1185">
        <f t="shared" si="16"/>
        <v>44470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受贵公司委托，我公司对北京市西城区琉璃厂东街22、24号1-5幢房地产市场价值进行了预评估。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估价对象为北京市西城区琉璃厂东街22、24号1-5幢房地产，为所有。根据《国有土地使用证》[]，估价对象（分摊）出让国有建设用地使用权面积为122.87平方米，建筑面积为188.54平方米。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琉璃厂东街22、24号1-5幢房地产,属开发建设的，该项目尚在开发建设中。根据《国有土地使用证》[]，估价对象（分摊）出让国有建设用地使用权面积为122.87平方米，规划建筑面积为188.54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2022年10月19日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188.54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913"/>
      <c r="M4" s="914"/>
      <c r="N4" s="914"/>
      <c r="O4" s="914"/>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913"/>
      <c r="M5" s="914"/>
      <c r="N5" s="914"/>
      <c r="O5" s="914"/>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559" t="s">
        <v>1678</v>
      </c>
      <c r="L6" s="913"/>
      <c r="M6" s="914"/>
      <c r="N6" s="914"/>
      <c r="O6" s="914"/>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SUMIF(52:52,YEAR(E7)&amp;"-"&amp;MONTH(E7),53:53)</f>
        <v>0</v>
      </c>
      <c r="G7" s="366"/>
      <c r="H7" s="365">
        <f>SUMIF(52:52,YEAR(G7)&amp;"-"&amp;MONTH(G7),53:53)</f>
        <v>0</v>
      </c>
      <c r="I7" s="366"/>
      <c r="J7" s="365">
        <f>SUMIF(52:52,YEAR(I7)&amp;"-"&amp;MONTH(I7),53:53)</f>
        <v>0</v>
      </c>
      <c r="K7" s="560"/>
      <c r="L7" s="915"/>
      <c r="M7" s="916"/>
      <c r="N7" s="916"/>
      <c r="O7" s="916"/>
      <c r="P7" s="3810"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0" t="s">
        <v>1683</v>
      </c>
      <c r="Q8" s="3811"/>
      <c r="R8" s="701" t="s">
        <v>14</v>
      </c>
      <c r="S8" s="702">
        <f t="shared" si="0"/>
        <v>100</v>
      </c>
      <c r="T8" s="701" t="s">
        <v>14</v>
      </c>
      <c r="U8" s="702">
        <f t="shared" si="1"/>
        <v>100</v>
      </c>
      <c r="V8" s="701" t="s">
        <v>14</v>
      </c>
      <c r="W8" s="702">
        <f t="shared" si="2"/>
        <v>100</v>
      </c>
      <c r="X8" s="703"/>
      <c r="Y8" s="3810" t="s">
        <v>1683</v>
      </c>
      <c r="Z8" s="38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4"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74"/>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4"/>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4"/>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6" t="s">
        <v>1691</v>
      </c>
      <c r="Q15" s="1352" t="str">
        <f t="shared" si="6"/>
        <v>产业集聚程度</v>
      </c>
      <c r="R15" s="705" t="s">
        <v>14</v>
      </c>
      <c r="S15" s="706">
        <f t="shared" si="0"/>
        <v>100</v>
      </c>
      <c r="T15" s="705" t="s">
        <v>14</v>
      </c>
      <c r="U15" s="706">
        <f t="shared" si="1"/>
        <v>100</v>
      </c>
      <c r="V15" s="705" t="s">
        <v>14</v>
      </c>
      <c r="W15" s="706">
        <f t="shared" si="2"/>
        <v>100</v>
      </c>
      <c r="X15" s="1355"/>
      <c r="Y15" s="37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7"/>
      <c r="Q16" s="1352"/>
      <c r="R16" s="705"/>
      <c r="S16" s="706"/>
      <c r="T16" s="705"/>
      <c r="U16" s="706"/>
      <c r="V16" s="705"/>
      <c r="W16" s="706"/>
      <c r="X16" s="1355"/>
      <c r="Y16" s="37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7"/>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7"/>
      <c r="Q18" s="1352"/>
      <c r="R18" s="705"/>
      <c r="S18" s="706"/>
      <c r="T18" s="705"/>
      <c r="U18" s="706"/>
      <c r="V18" s="705"/>
      <c r="W18" s="706"/>
      <c r="X18" s="1355"/>
      <c r="Y18" s="37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7"/>
      <c r="Q19" s="1352" t="str">
        <f>B19</f>
        <v>公共配套设施</v>
      </c>
      <c r="R19" s="705" t="s">
        <v>14</v>
      </c>
      <c r="S19" s="706">
        <f>F19</f>
        <v>100</v>
      </c>
      <c r="T19" s="705" t="s">
        <v>14</v>
      </c>
      <c r="U19" s="706">
        <f>H19</f>
        <v>100</v>
      </c>
      <c r="V19" s="705" t="s">
        <v>14</v>
      </c>
      <c r="W19" s="706">
        <f>J19</f>
        <v>100</v>
      </c>
      <c r="X19" s="1355"/>
      <c r="Y19" s="37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7"/>
      <c r="Q20" s="1352"/>
      <c r="R20" s="705"/>
      <c r="S20" s="706"/>
      <c r="T20" s="705"/>
      <c r="U20" s="706"/>
      <c r="V20" s="705"/>
      <c r="W20" s="706"/>
      <c r="X20" s="1355"/>
      <c r="Y20" s="37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7"/>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7"/>
      <c r="Q22" s="1352"/>
      <c r="R22" s="705"/>
      <c r="S22" s="706"/>
      <c r="T22" s="705"/>
      <c r="U22" s="706"/>
      <c r="V22" s="705"/>
      <c r="W22" s="706"/>
      <c r="X22" s="1355"/>
      <c r="Y22" s="37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7"/>
      <c r="Q23" s="1352" t="str">
        <f>B23</f>
        <v>环境质量</v>
      </c>
      <c r="R23" s="705" t="s">
        <v>14</v>
      </c>
      <c r="S23" s="706">
        <f>F23</f>
        <v>100</v>
      </c>
      <c r="T23" s="705" t="s">
        <v>14</v>
      </c>
      <c r="U23" s="706">
        <f>H23</f>
        <v>100</v>
      </c>
      <c r="V23" s="705" t="s">
        <v>14</v>
      </c>
      <c r="W23" s="706">
        <f>J23</f>
        <v>100</v>
      </c>
      <c r="X23" s="1355"/>
      <c r="Y23" s="37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7"/>
      <c r="Q24" s="1352"/>
      <c r="R24" s="705"/>
      <c r="S24" s="706"/>
      <c r="T24" s="705"/>
      <c r="U24" s="706"/>
      <c r="V24" s="705"/>
      <c r="W24" s="706"/>
      <c r="X24" s="1355"/>
      <c r="Y24" s="37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7"/>
      <c r="Q25" s="1352">
        <f>B25</f>
        <v>111</v>
      </c>
      <c r="R25" s="705" t="s">
        <v>14</v>
      </c>
      <c r="S25" s="706">
        <f>F25</f>
        <v>100</v>
      </c>
      <c r="T25" s="705" t="s">
        <v>14</v>
      </c>
      <c r="U25" s="706">
        <f>H25</f>
        <v>100</v>
      </c>
      <c r="V25" s="705" t="s">
        <v>14</v>
      </c>
      <c r="W25" s="706">
        <f>J25</f>
        <v>100</v>
      </c>
      <c r="X25" s="1355"/>
      <c r="Y25" s="37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7"/>
      <c r="Q26" s="1352">
        <f t="shared" ref="Q26:Q40" si="11">B26</f>
        <v>111</v>
      </c>
      <c r="R26" s="705" t="s">
        <v>14</v>
      </c>
      <c r="S26" s="706">
        <f>F26</f>
        <v>100</v>
      </c>
      <c r="T26" s="705" t="s">
        <v>14</v>
      </c>
      <c r="U26" s="706">
        <f>H26</f>
        <v>100</v>
      </c>
      <c r="V26" s="705" t="s">
        <v>14</v>
      </c>
      <c r="W26" s="706">
        <f>J26</f>
        <v>100</v>
      </c>
      <c r="X26" s="1355"/>
      <c r="Y26" s="37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7"/>
      <c r="Q27" s="1343">
        <f t="shared" si="11"/>
        <v>111</v>
      </c>
      <c r="R27" s="701" t="s">
        <v>14</v>
      </c>
      <c r="S27" s="702">
        <f>F27</f>
        <v>100</v>
      </c>
      <c r="T27" s="701" t="s">
        <v>14</v>
      </c>
      <c r="U27" s="702">
        <f>H27</f>
        <v>100</v>
      </c>
      <c r="V27" s="701" t="s">
        <v>14</v>
      </c>
      <c r="W27" s="702">
        <f>J27</f>
        <v>100</v>
      </c>
      <c r="X27" s="703"/>
      <c r="Y27" s="37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7"/>
      <c r="Q28" s="1352">
        <f t="shared" si="11"/>
        <v>111</v>
      </c>
      <c r="R28" s="705" t="s">
        <v>14</v>
      </c>
      <c r="S28" s="706">
        <f t="shared" ref="S28:S40" si="12">F28</f>
        <v>100</v>
      </c>
      <c r="T28" s="705" t="s">
        <v>14</v>
      </c>
      <c r="U28" s="706">
        <f t="shared" ref="U28:U40" si="13">H28</f>
        <v>100</v>
      </c>
      <c r="V28" s="705" t="s">
        <v>14</v>
      </c>
      <c r="W28" s="706">
        <f t="shared" ref="W28:W40" si="14">J28</f>
        <v>100</v>
      </c>
      <c r="X28" s="1355"/>
      <c r="Y28" s="3777"/>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5" t="s">
        <v>1696</v>
      </c>
      <c r="Q29" s="1352" t="str">
        <f t="shared" si="11"/>
        <v>建筑类型</v>
      </c>
      <c r="R29" s="705" t="s">
        <v>14</v>
      </c>
      <c r="S29" s="706">
        <f t="shared" si="12"/>
        <v>100</v>
      </c>
      <c r="T29" s="705" t="s">
        <v>14</v>
      </c>
      <c r="U29" s="706">
        <f t="shared" si="13"/>
        <v>100</v>
      </c>
      <c r="V29" s="705" t="s">
        <v>14</v>
      </c>
      <c r="W29" s="706">
        <f t="shared" si="14"/>
        <v>100</v>
      </c>
      <c r="X29" s="1355"/>
      <c r="Y29" s="37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1"/>
      <c r="Q30" s="707" t="str">
        <f t="shared" si="11"/>
        <v>项目建筑规模</v>
      </c>
      <c r="R30" s="708" t="s">
        <v>14</v>
      </c>
      <c r="S30" s="709" t="e">
        <f t="shared" si="12"/>
        <v>#N/A</v>
      </c>
      <c r="T30" s="708" t="s">
        <v>14</v>
      </c>
      <c r="U30" s="709" t="e">
        <f t="shared" si="13"/>
        <v>#N/A</v>
      </c>
      <c r="V30" s="708" t="s">
        <v>14</v>
      </c>
      <c r="W30" s="709" t="e">
        <f t="shared" si="14"/>
        <v>#N/A</v>
      </c>
      <c r="X30" s="710"/>
      <c r="Y30" s="37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1"/>
      <c r="Q31" s="1352" t="str">
        <f t="shared" si="11"/>
        <v>建筑结构</v>
      </c>
      <c r="R31" s="705" t="s">
        <v>14</v>
      </c>
      <c r="S31" s="706">
        <f t="shared" si="12"/>
        <v>100</v>
      </c>
      <c r="T31" s="705" t="s">
        <v>14</v>
      </c>
      <c r="U31" s="706">
        <f t="shared" si="13"/>
        <v>100</v>
      </c>
      <c r="V31" s="705" t="s">
        <v>14</v>
      </c>
      <c r="W31" s="706">
        <f t="shared" si="14"/>
        <v>100</v>
      </c>
      <c r="X31" s="1355"/>
      <c r="Y31" s="37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1"/>
      <c r="Q32" s="1352" t="str">
        <f t="shared" si="11"/>
        <v>公共部分装修</v>
      </c>
      <c r="R32" s="705" t="s">
        <v>14</v>
      </c>
      <c r="S32" s="706">
        <f t="shared" si="12"/>
        <v>100</v>
      </c>
      <c r="T32" s="705" t="s">
        <v>14</v>
      </c>
      <c r="U32" s="706">
        <f t="shared" si="13"/>
        <v>100</v>
      </c>
      <c r="V32" s="705" t="s">
        <v>14</v>
      </c>
      <c r="W32" s="706">
        <f t="shared" si="14"/>
        <v>100</v>
      </c>
      <c r="X32" s="1355"/>
      <c r="Y32" s="37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1"/>
      <c r="Q33" s="1352" t="str">
        <f t="shared" si="11"/>
        <v>成新度</v>
      </c>
      <c r="R33" s="705" t="s">
        <v>14</v>
      </c>
      <c r="S33" s="706" t="e">
        <f t="shared" si="12"/>
        <v>#N/A</v>
      </c>
      <c r="T33" s="705" t="s">
        <v>14</v>
      </c>
      <c r="U33" s="706" t="e">
        <f t="shared" si="13"/>
        <v>#N/A</v>
      </c>
      <c r="V33" s="705" t="s">
        <v>14</v>
      </c>
      <c r="W33" s="706" t="e">
        <f t="shared" si="14"/>
        <v>#N/A</v>
      </c>
      <c r="X33" s="1355"/>
      <c r="Y33" s="37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1"/>
      <c r="Q34" s="1343" t="str">
        <f t="shared" si="11"/>
        <v>物业管理</v>
      </c>
      <c r="R34" s="701" t="s">
        <v>14</v>
      </c>
      <c r="S34" s="702">
        <f t="shared" si="12"/>
        <v>100</v>
      </c>
      <c r="T34" s="701" t="s">
        <v>14</v>
      </c>
      <c r="U34" s="702">
        <f t="shared" si="13"/>
        <v>100</v>
      </c>
      <c r="V34" s="701" t="s">
        <v>14</v>
      </c>
      <c r="W34" s="702">
        <f t="shared" si="14"/>
        <v>100</v>
      </c>
      <c r="X34" s="703"/>
      <c r="Y34" s="37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1" t="s">
        <v>1696</v>
      </c>
      <c r="Q35" s="1352" t="str">
        <f t="shared" si="11"/>
        <v>市政基础设施</v>
      </c>
      <c r="R35" s="705" t="s">
        <v>14</v>
      </c>
      <c r="S35" s="706">
        <f t="shared" si="12"/>
        <v>100</v>
      </c>
      <c r="T35" s="705" t="s">
        <v>14</v>
      </c>
      <c r="U35" s="706">
        <f t="shared" si="13"/>
        <v>100</v>
      </c>
      <c r="V35" s="705" t="s">
        <v>14</v>
      </c>
      <c r="W35" s="706">
        <f t="shared" si="14"/>
        <v>100</v>
      </c>
      <c r="X35" s="1355"/>
      <c r="Y35" s="37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1"/>
      <c r="Q36" s="1352" t="str">
        <f t="shared" si="11"/>
        <v>内部装修</v>
      </c>
      <c r="R36" s="705" t="s">
        <v>14</v>
      </c>
      <c r="S36" s="706">
        <f t="shared" si="12"/>
        <v>100</v>
      </c>
      <c r="T36" s="705" t="s">
        <v>14</v>
      </c>
      <c r="U36" s="706">
        <f t="shared" si="13"/>
        <v>100</v>
      </c>
      <c r="V36" s="705" t="s">
        <v>14</v>
      </c>
      <c r="W36" s="706">
        <f t="shared" si="14"/>
        <v>100</v>
      </c>
      <c r="X36" s="1355"/>
      <c r="Y36" s="37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1"/>
      <c r="Q37" s="1352" t="str">
        <f t="shared" si="11"/>
        <v>内部装修状况</v>
      </c>
      <c r="R37" s="705" t="s">
        <v>14</v>
      </c>
      <c r="S37" s="706">
        <f t="shared" si="12"/>
        <v>100</v>
      </c>
      <c r="T37" s="705" t="s">
        <v>14</v>
      </c>
      <c r="U37" s="706">
        <f t="shared" si="13"/>
        <v>100</v>
      </c>
      <c r="V37" s="705" t="s">
        <v>14</v>
      </c>
      <c r="W37" s="706">
        <f t="shared" si="14"/>
        <v>100</v>
      </c>
      <c r="X37" s="1355"/>
      <c r="Y37" s="37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1"/>
      <c r="Q38" s="707">
        <f t="shared" si="11"/>
        <v>111</v>
      </c>
      <c r="R38" s="708" t="s">
        <v>14</v>
      </c>
      <c r="S38" s="709">
        <f t="shared" si="12"/>
        <v>100</v>
      </c>
      <c r="T38" s="708" t="s">
        <v>14</v>
      </c>
      <c r="U38" s="709">
        <f t="shared" si="13"/>
        <v>100</v>
      </c>
      <c r="V38" s="708" t="s">
        <v>14</v>
      </c>
      <c r="W38" s="709">
        <f t="shared" si="14"/>
        <v>100</v>
      </c>
      <c r="X38" s="710"/>
      <c r="Y38" s="37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1"/>
      <c r="Q39" s="1352">
        <f t="shared" si="11"/>
        <v>111</v>
      </c>
      <c r="R39" s="705" t="s">
        <v>14</v>
      </c>
      <c r="S39" s="706">
        <f t="shared" si="12"/>
        <v>100</v>
      </c>
      <c r="T39" s="705" t="s">
        <v>14</v>
      </c>
      <c r="U39" s="706">
        <f t="shared" si="13"/>
        <v>100</v>
      </c>
      <c r="V39" s="705" t="s">
        <v>14</v>
      </c>
      <c r="W39" s="706">
        <f t="shared" si="14"/>
        <v>100</v>
      </c>
      <c r="X39" s="1355"/>
      <c r="Y39" s="37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2"/>
      <c r="Q40" s="1352">
        <f t="shared" si="11"/>
        <v>111</v>
      </c>
      <c r="R40" s="705" t="s">
        <v>14</v>
      </c>
      <c r="S40" s="706">
        <f t="shared" si="12"/>
        <v>100</v>
      </c>
      <c r="T40" s="705" t="s">
        <v>14</v>
      </c>
      <c r="U40" s="706">
        <f t="shared" si="13"/>
        <v>100</v>
      </c>
      <c r="V40" s="705" t="s">
        <v>14</v>
      </c>
      <c r="W40" s="706">
        <f t="shared" si="14"/>
        <v>100</v>
      </c>
      <c r="X40" s="1355"/>
      <c r="Y40" s="37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74" t="str">
        <f>A41</f>
        <v>成交单价（元/平方米）</v>
      </c>
      <c r="Q41" s="3774"/>
      <c r="R41" s="3775">
        <f>E41</f>
        <v>0</v>
      </c>
      <c r="S41" s="3775"/>
      <c r="T41" s="3775">
        <f>G41</f>
        <v>0</v>
      </c>
      <c r="U41" s="3775"/>
      <c r="V41" s="3775">
        <f>I41</f>
        <v>0</v>
      </c>
      <c r="W41" s="3775"/>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1" t="str">
        <f>A43</f>
        <v>估价对象XX用房的比较价值（楼面单价，元/平方米）</v>
      </c>
      <c r="Q43" s="3772"/>
      <c r="R43" s="3773" t="e">
        <f>IF(F1="售价",ROUND(IF(D42="简单平均",AVERAGE(R42:V42),R42*F42+T42*H42+V42*J42),0),ROUND(IF(D42="简单平均",AVERAGE(R42:V42),R42*F42+T42*H42+V42*J42),1))</f>
        <v>#DIV/0!</v>
      </c>
      <c r="S43" s="3773"/>
      <c r="T43" s="3773"/>
      <c r="U43" s="3773"/>
      <c r="V43" s="3773"/>
      <c r="W43" s="377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2022-10</v>
      </c>
      <c r="D52" s="1185">
        <f>EDATE(C52,-1)</f>
        <v>44805</v>
      </c>
      <c r="E52" s="1185">
        <f t="shared" ref="E52:O52" si="16">EDATE(D52,-1)</f>
        <v>44774</v>
      </c>
      <c r="F52" s="1185">
        <f t="shared" si="16"/>
        <v>44743</v>
      </c>
      <c r="G52" s="1185">
        <f t="shared" si="16"/>
        <v>44713</v>
      </c>
      <c r="H52" s="1185">
        <f t="shared" si="16"/>
        <v>44682</v>
      </c>
      <c r="I52" s="1185">
        <f t="shared" si="16"/>
        <v>44652</v>
      </c>
      <c r="J52" s="1185">
        <f t="shared" si="16"/>
        <v>44621</v>
      </c>
      <c r="K52" s="1185">
        <f t="shared" si="16"/>
        <v>44593</v>
      </c>
      <c r="L52" s="1185">
        <f t="shared" si="16"/>
        <v>44562</v>
      </c>
      <c r="M52" s="1185">
        <f t="shared" si="16"/>
        <v>44531</v>
      </c>
      <c r="N52" s="1185">
        <f t="shared" si="16"/>
        <v>44501</v>
      </c>
      <c r="O52" s="1185">
        <f t="shared" si="16"/>
        <v>44470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559"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10" t="s">
        <v>1680</v>
      </c>
      <c r="Q7" s="3812"/>
      <c r="R7" s="701" t="s">
        <v>14</v>
      </c>
      <c r="S7" s="702">
        <f t="shared" ref="S7:S14" si="0">F7</f>
        <v>0</v>
      </c>
      <c r="T7" s="701" t="s">
        <v>14</v>
      </c>
      <c r="U7" s="702">
        <f t="shared" ref="U7:U14" si="1">H7</f>
        <v>0</v>
      </c>
      <c r="V7" s="701" t="s">
        <v>14</v>
      </c>
      <c r="W7" s="702">
        <f t="shared" ref="W7:W14"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10" t="s">
        <v>1683</v>
      </c>
      <c r="Q8" s="3811"/>
      <c r="R8" s="701" t="s">
        <v>14</v>
      </c>
      <c r="S8" s="702">
        <f t="shared" si="0"/>
        <v>100</v>
      </c>
      <c r="T8" s="701" t="s">
        <v>14</v>
      </c>
      <c r="U8" s="702">
        <f t="shared" si="1"/>
        <v>100</v>
      </c>
      <c r="V8" s="701" t="s">
        <v>14</v>
      </c>
      <c r="W8" s="702">
        <f t="shared" si="2"/>
        <v>100</v>
      </c>
      <c r="X8" s="703"/>
      <c r="Y8" s="3810" t="s">
        <v>1683</v>
      </c>
      <c r="Z8" s="38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74"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74"/>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74"/>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76" t="s">
        <v>1691</v>
      </c>
      <c r="Q14" s="1352" t="str">
        <f t="shared" si="6"/>
        <v>交通便捷度</v>
      </c>
      <c r="R14" s="705" t="s">
        <v>14</v>
      </c>
      <c r="S14" s="706">
        <f t="shared" si="0"/>
        <v>100</v>
      </c>
      <c r="T14" s="705" t="s">
        <v>14</v>
      </c>
      <c r="U14" s="706">
        <f t="shared" si="1"/>
        <v>100</v>
      </c>
      <c r="V14" s="705" t="s">
        <v>14</v>
      </c>
      <c r="W14" s="706">
        <f t="shared" si="2"/>
        <v>100</v>
      </c>
      <c r="X14" s="1355"/>
      <c r="Y14" s="37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77"/>
      <c r="Q15" s="1352"/>
      <c r="R15" s="705"/>
      <c r="S15" s="706"/>
      <c r="T15" s="705"/>
      <c r="U15" s="706"/>
      <c r="V15" s="705"/>
      <c r="W15" s="706"/>
      <c r="X15" s="1355"/>
      <c r="Y15" s="37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77"/>
      <c r="Q16" s="1352" t="str">
        <f>B16</f>
        <v>公共配套设施</v>
      </c>
      <c r="R16" s="705" t="s">
        <v>14</v>
      </c>
      <c r="S16" s="706">
        <f>F16</f>
        <v>100</v>
      </c>
      <c r="T16" s="705" t="s">
        <v>14</v>
      </c>
      <c r="U16" s="706">
        <f>H16</f>
        <v>100</v>
      </c>
      <c r="V16" s="705" t="s">
        <v>14</v>
      </c>
      <c r="W16" s="706">
        <f>J16</f>
        <v>100</v>
      </c>
      <c r="X16" s="1355"/>
      <c r="Y16" s="37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77"/>
      <c r="Q17" s="1352"/>
      <c r="R17" s="705"/>
      <c r="S17" s="706"/>
      <c r="T17" s="705"/>
      <c r="U17" s="706"/>
      <c r="V17" s="705"/>
      <c r="W17" s="706"/>
      <c r="X17" s="1355"/>
      <c r="Y17" s="37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77"/>
      <c r="Q18" s="1352" t="str">
        <f>B18</f>
        <v>基础设施水平</v>
      </c>
      <c r="R18" s="705" t="s">
        <v>14</v>
      </c>
      <c r="S18" s="706">
        <f>F18</f>
        <v>100</v>
      </c>
      <c r="T18" s="705" t="s">
        <v>14</v>
      </c>
      <c r="U18" s="706">
        <f>H18</f>
        <v>100</v>
      </c>
      <c r="V18" s="705" t="s">
        <v>14</v>
      </c>
      <c r="W18" s="706">
        <f>J18</f>
        <v>100</v>
      </c>
      <c r="X18" s="1355"/>
      <c r="Y18" s="37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77"/>
      <c r="Q19" s="1352"/>
      <c r="R19" s="705"/>
      <c r="S19" s="706"/>
      <c r="T19" s="705"/>
      <c r="U19" s="706"/>
      <c r="V19" s="705"/>
      <c r="W19" s="706"/>
      <c r="X19" s="1355"/>
      <c r="Y19" s="3777"/>
      <c r="Z19" s="1356"/>
      <c r="AA19" s="1353">
        <v>1</v>
      </c>
      <c r="AB19" s="1353">
        <v>1</v>
      </c>
      <c r="AC19" s="1353">
        <v>1</v>
      </c>
    </row>
    <row r="20" spans="1:29" ht="128.25">
      <c r="A20" s="358"/>
      <c r="B20" s="579"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77"/>
      <c r="Q20" s="1352" t="str">
        <f>B20</f>
        <v>自然及人文环境</v>
      </c>
      <c r="R20" s="705" t="s">
        <v>14</v>
      </c>
      <c r="S20" s="706">
        <f>F20</f>
        <v>100</v>
      </c>
      <c r="T20" s="705" t="s">
        <v>14</v>
      </c>
      <c r="U20" s="706">
        <f>H20</f>
        <v>100</v>
      </c>
      <c r="V20" s="705" t="s">
        <v>14</v>
      </c>
      <c r="W20" s="706">
        <f>J20</f>
        <v>100</v>
      </c>
      <c r="X20" s="1355"/>
      <c r="Y20" s="37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77"/>
      <c r="Q21" s="1352"/>
      <c r="R21" s="705"/>
      <c r="S21" s="706"/>
      <c r="T21" s="705"/>
      <c r="U21" s="706"/>
      <c r="V21" s="705"/>
      <c r="W21" s="706"/>
      <c r="X21" s="1355"/>
      <c r="Y21" s="37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77"/>
      <c r="Q22" s="1352" t="str">
        <f>B22</f>
        <v>楼层</v>
      </c>
      <c r="R22" s="705" t="s">
        <v>14</v>
      </c>
      <c r="S22" s="706">
        <f>F22</f>
        <v>100</v>
      </c>
      <c r="T22" s="705" t="s">
        <v>14</v>
      </c>
      <c r="U22" s="706">
        <f>H22</f>
        <v>100</v>
      </c>
      <c r="V22" s="705" t="s">
        <v>14</v>
      </c>
      <c r="W22" s="706">
        <f>J22</f>
        <v>100</v>
      </c>
      <c r="X22" s="1355"/>
      <c r="Y22" s="37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77"/>
      <c r="Q23" s="1352">
        <f>B23</f>
        <v>111</v>
      </c>
      <c r="R23" s="705" t="s">
        <v>14</v>
      </c>
      <c r="S23" s="706">
        <f>F23</f>
        <v>100</v>
      </c>
      <c r="T23" s="705" t="s">
        <v>14</v>
      </c>
      <c r="U23" s="706">
        <f>H23</f>
        <v>100</v>
      </c>
      <c r="V23" s="705" t="s">
        <v>14</v>
      </c>
      <c r="W23" s="706">
        <f>J23</f>
        <v>100</v>
      </c>
      <c r="X23" s="1355"/>
      <c r="Y23" s="37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77"/>
      <c r="Q24" s="1352">
        <f t="shared" ref="Q24:Q36" si="11">B24</f>
        <v>111</v>
      </c>
      <c r="R24" s="705" t="s">
        <v>14</v>
      </c>
      <c r="S24" s="706">
        <f>F24</f>
        <v>100</v>
      </c>
      <c r="T24" s="705" t="s">
        <v>14</v>
      </c>
      <c r="U24" s="706">
        <f>H24</f>
        <v>100</v>
      </c>
      <c r="V24" s="705" t="s">
        <v>14</v>
      </c>
      <c r="W24" s="706">
        <f>J24</f>
        <v>100</v>
      </c>
      <c r="X24" s="1355"/>
      <c r="Y24" s="37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77"/>
      <c r="Q25" s="1343">
        <f t="shared" si="11"/>
        <v>111</v>
      </c>
      <c r="R25" s="701" t="s">
        <v>14</v>
      </c>
      <c r="S25" s="702">
        <f>F25</f>
        <v>100</v>
      </c>
      <c r="T25" s="701" t="s">
        <v>14</v>
      </c>
      <c r="U25" s="702">
        <f>H25</f>
        <v>100</v>
      </c>
      <c r="V25" s="701" t="s">
        <v>14</v>
      </c>
      <c r="W25" s="702">
        <f>J25</f>
        <v>100</v>
      </c>
      <c r="X25" s="703"/>
      <c r="Y25" s="3777"/>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81"/>
      <c r="Q27" s="707" t="str">
        <f t="shared" si="11"/>
        <v>项目停车位配比</v>
      </c>
      <c r="R27" s="708" t="s">
        <v>14</v>
      </c>
      <c r="S27" s="709">
        <f t="shared" si="12"/>
        <v>100</v>
      </c>
      <c r="T27" s="708" t="s">
        <v>14</v>
      </c>
      <c r="U27" s="709">
        <f t="shared" si="13"/>
        <v>100</v>
      </c>
      <c r="V27" s="708" t="s">
        <v>14</v>
      </c>
      <c r="W27" s="709">
        <f t="shared" si="14"/>
        <v>100</v>
      </c>
      <c r="X27" s="710"/>
      <c r="Y27" s="37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81"/>
      <c r="Q28" s="1352" t="str">
        <f t="shared" si="11"/>
        <v>公共部分装修</v>
      </c>
      <c r="R28" s="705" t="s">
        <v>14</v>
      </c>
      <c r="S28" s="706">
        <f t="shared" si="12"/>
        <v>100</v>
      </c>
      <c r="T28" s="705" t="s">
        <v>14</v>
      </c>
      <c r="U28" s="706">
        <f t="shared" si="13"/>
        <v>100</v>
      </c>
      <c r="V28" s="705" t="s">
        <v>14</v>
      </c>
      <c r="W28" s="706">
        <f t="shared" si="14"/>
        <v>100</v>
      </c>
      <c r="X28" s="1355"/>
      <c r="Y28" s="37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81"/>
      <c r="Q29" s="1352" t="str">
        <f t="shared" si="11"/>
        <v>成新率</v>
      </c>
      <c r="R29" s="705" t="s">
        <v>14</v>
      </c>
      <c r="S29" s="706" t="e">
        <f t="shared" si="12"/>
        <v>#N/A</v>
      </c>
      <c r="T29" s="705" t="s">
        <v>14</v>
      </c>
      <c r="U29" s="706" t="e">
        <f t="shared" si="13"/>
        <v>#N/A</v>
      </c>
      <c r="V29" s="705" t="s">
        <v>14</v>
      </c>
      <c r="W29" s="706" t="e">
        <f t="shared" si="14"/>
        <v>#N/A</v>
      </c>
      <c r="X29" s="1355"/>
      <c r="Y29" s="37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81"/>
      <c r="Q30" s="1352" t="str">
        <f t="shared" si="11"/>
        <v>物业等级</v>
      </c>
      <c r="R30" s="705" t="s">
        <v>14</v>
      </c>
      <c r="S30" s="706">
        <f t="shared" si="12"/>
        <v>100</v>
      </c>
      <c r="T30" s="705" t="s">
        <v>14</v>
      </c>
      <c r="U30" s="706">
        <f t="shared" si="13"/>
        <v>100</v>
      </c>
      <c r="V30" s="705" t="s">
        <v>14</v>
      </c>
      <c r="W30" s="706">
        <f t="shared" si="14"/>
        <v>100</v>
      </c>
      <c r="X30" s="1355"/>
      <c r="Y30" s="37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81"/>
      <c r="Q31" s="1343" t="str">
        <f t="shared" si="11"/>
        <v>停车位面积</v>
      </c>
      <c r="R31" s="701" t="s">
        <v>14</v>
      </c>
      <c r="S31" s="702" t="e">
        <f t="shared" si="12"/>
        <v>#N/A</v>
      </c>
      <c r="T31" s="701" t="s">
        <v>14</v>
      </c>
      <c r="U31" s="702" t="e">
        <f t="shared" si="13"/>
        <v>#N/A</v>
      </c>
      <c r="V31" s="701" t="s">
        <v>14</v>
      </c>
      <c r="W31" s="702" t="e">
        <f t="shared" si="14"/>
        <v>#N/A</v>
      </c>
      <c r="X31" s="703"/>
      <c r="Y31" s="37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81" t="s">
        <v>1696</v>
      </c>
      <c r="Q32" s="1352" t="str">
        <f t="shared" si="11"/>
        <v>车位类型</v>
      </c>
      <c r="R32" s="705" t="s">
        <v>14</v>
      </c>
      <c r="S32" s="706">
        <f t="shared" si="12"/>
        <v>100</v>
      </c>
      <c r="T32" s="705" t="s">
        <v>14</v>
      </c>
      <c r="U32" s="706">
        <f t="shared" si="13"/>
        <v>100</v>
      </c>
      <c r="V32" s="705" t="s">
        <v>14</v>
      </c>
      <c r="W32" s="706">
        <f t="shared" si="14"/>
        <v>100</v>
      </c>
      <c r="X32" s="1355"/>
      <c r="Y32" s="37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81"/>
      <c r="Q33" s="1352" t="str">
        <f t="shared" si="11"/>
        <v>是否直接入户</v>
      </c>
      <c r="R33" s="705" t="s">
        <v>14</v>
      </c>
      <c r="S33" s="706">
        <f t="shared" si="12"/>
        <v>100</v>
      </c>
      <c r="T33" s="705" t="s">
        <v>14</v>
      </c>
      <c r="U33" s="706">
        <f t="shared" si="13"/>
        <v>100</v>
      </c>
      <c r="V33" s="705" t="s">
        <v>14</v>
      </c>
      <c r="W33" s="706">
        <f t="shared" si="14"/>
        <v>100</v>
      </c>
      <c r="X33" s="1355"/>
      <c r="Y33" s="37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81"/>
      <c r="Q34" s="1352">
        <f t="shared" si="11"/>
        <v>111</v>
      </c>
      <c r="R34" s="705" t="s">
        <v>14</v>
      </c>
      <c r="S34" s="706">
        <f t="shared" si="12"/>
        <v>100</v>
      </c>
      <c r="T34" s="705" t="s">
        <v>14</v>
      </c>
      <c r="U34" s="706">
        <f t="shared" si="13"/>
        <v>100</v>
      </c>
      <c r="V34" s="705" t="s">
        <v>14</v>
      </c>
      <c r="W34" s="706">
        <f t="shared" si="14"/>
        <v>100</v>
      </c>
      <c r="X34" s="1355"/>
      <c r="Y34" s="37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81"/>
      <c r="Q35" s="707">
        <f t="shared" si="11"/>
        <v>111</v>
      </c>
      <c r="R35" s="708" t="s">
        <v>14</v>
      </c>
      <c r="S35" s="709">
        <f t="shared" si="12"/>
        <v>100</v>
      </c>
      <c r="T35" s="708" t="s">
        <v>14</v>
      </c>
      <c r="U35" s="709">
        <f t="shared" si="13"/>
        <v>100</v>
      </c>
      <c r="V35" s="708" t="s">
        <v>14</v>
      </c>
      <c r="W35" s="709">
        <f t="shared" si="14"/>
        <v>100</v>
      </c>
      <c r="X35" s="710"/>
      <c r="Y35" s="37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81"/>
      <c r="Q36" s="1352">
        <f t="shared" si="11"/>
        <v>111</v>
      </c>
      <c r="R36" s="705" t="s">
        <v>14</v>
      </c>
      <c r="S36" s="706">
        <f t="shared" si="12"/>
        <v>100</v>
      </c>
      <c r="T36" s="705" t="s">
        <v>14</v>
      </c>
      <c r="U36" s="706">
        <f t="shared" si="13"/>
        <v>100</v>
      </c>
      <c r="V36" s="705" t="s">
        <v>14</v>
      </c>
      <c r="W36" s="706">
        <f t="shared" si="14"/>
        <v>100</v>
      </c>
      <c r="X36" s="1355"/>
      <c r="Y36" s="378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774" t="str">
        <f>A37</f>
        <v>成交单价</v>
      </c>
      <c r="Q37" s="3774"/>
      <c r="R37" s="3775">
        <f>E37</f>
        <v>0</v>
      </c>
      <c r="S37" s="3775"/>
      <c r="T37" s="3775">
        <f>G37</f>
        <v>0</v>
      </c>
      <c r="U37" s="3775"/>
      <c r="V37" s="3775">
        <f>I37</f>
        <v>0</v>
      </c>
      <c r="W37" s="3775"/>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71" t="str">
        <f>A39</f>
        <v>估价对象XX用房的比较价值（楼面单价，元/平方米）</v>
      </c>
      <c r="Q39" s="3772"/>
      <c r="R39" s="3836" t="e">
        <f>IF(F1="售价",ROUND(IF(D38="简单平均",AVERAGE(R38:W38),R38*F38+T38*H38+V38*J38),0),ROUND(IF(D38="简单平均",AVERAGE(R38:V38),R38*F38+T38*H38+V38*J38),1))</f>
        <v>#DIV/0!</v>
      </c>
      <c r="S39" s="3836"/>
      <c r="T39" s="3836"/>
      <c r="U39" s="3836"/>
      <c r="V39" s="3836"/>
      <c r="W39" s="383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2022-10</v>
      </c>
      <c r="D48" s="1185">
        <f>EDATE(C48,-1)</f>
        <v>44805</v>
      </c>
      <c r="E48" s="1185">
        <f t="shared" ref="E48:O48" si="16">EDATE(D48,-1)</f>
        <v>44774</v>
      </c>
      <c r="F48" s="1185">
        <f t="shared" si="16"/>
        <v>44743</v>
      </c>
      <c r="G48" s="1185">
        <f t="shared" si="16"/>
        <v>44713</v>
      </c>
      <c r="H48" s="1185">
        <f t="shared" si="16"/>
        <v>44682</v>
      </c>
      <c r="I48" s="1185">
        <f t="shared" si="16"/>
        <v>44652</v>
      </c>
      <c r="J48" s="1185">
        <f t="shared" si="16"/>
        <v>44621</v>
      </c>
      <c r="K48" s="1185">
        <f t="shared" si="16"/>
        <v>44593</v>
      </c>
      <c r="L48" s="1185">
        <f t="shared" si="16"/>
        <v>44562</v>
      </c>
      <c r="M48" s="1185">
        <f t="shared" si="16"/>
        <v>44531</v>
      </c>
      <c r="N48" s="1185">
        <f t="shared" si="16"/>
        <v>44501</v>
      </c>
      <c r="O48" s="1185">
        <f t="shared" si="16"/>
        <v>44470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559"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10" t="s">
        <v>1680</v>
      </c>
      <c r="Q7" s="3812"/>
      <c r="R7" s="701" t="s">
        <v>14</v>
      </c>
      <c r="S7" s="702">
        <f t="shared" ref="S7:S14" si="0">F7</f>
        <v>0</v>
      </c>
      <c r="T7" s="701" t="s">
        <v>14</v>
      </c>
      <c r="U7" s="702">
        <f t="shared" ref="U7:U14" si="1">H7</f>
        <v>0</v>
      </c>
      <c r="V7" s="701" t="s">
        <v>14</v>
      </c>
      <c r="W7" s="702">
        <f t="shared" ref="W7:W14"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10" t="s">
        <v>1683</v>
      </c>
      <c r="Q8" s="3811"/>
      <c r="R8" s="701" t="s">
        <v>14</v>
      </c>
      <c r="S8" s="702">
        <f t="shared" si="0"/>
        <v>100</v>
      </c>
      <c r="T8" s="701" t="s">
        <v>14</v>
      </c>
      <c r="U8" s="702">
        <f t="shared" si="1"/>
        <v>100</v>
      </c>
      <c r="V8" s="701" t="s">
        <v>14</v>
      </c>
      <c r="W8" s="702">
        <f t="shared" si="2"/>
        <v>100</v>
      </c>
      <c r="X8" s="703"/>
      <c r="Y8" s="3810" t="s">
        <v>1683</v>
      </c>
      <c r="Z8" s="38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74"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74"/>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74"/>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76" t="s">
        <v>1691</v>
      </c>
      <c r="Q14" s="1352" t="str">
        <f t="shared" si="6"/>
        <v>交通便捷度</v>
      </c>
      <c r="R14" s="705" t="s">
        <v>14</v>
      </c>
      <c r="S14" s="706">
        <f t="shared" si="0"/>
        <v>100</v>
      </c>
      <c r="T14" s="705" t="s">
        <v>14</v>
      </c>
      <c r="U14" s="706">
        <f t="shared" si="1"/>
        <v>100</v>
      </c>
      <c r="V14" s="705" t="s">
        <v>14</v>
      </c>
      <c r="W14" s="706">
        <f t="shared" si="2"/>
        <v>100</v>
      </c>
      <c r="X14" s="1355"/>
      <c r="Y14" s="37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77"/>
      <c r="Q15" s="1352"/>
      <c r="R15" s="705"/>
      <c r="S15" s="706"/>
      <c r="T15" s="705"/>
      <c r="U15" s="706"/>
      <c r="V15" s="705"/>
      <c r="W15" s="706"/>
      <c r="X15" s="1355"/>
      <c r="Y15" s="37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77"/>
      <c r="Q16" s="1352" t="str">
        <f>B16</f>
        <v>公共配套设施</v>
      </c>
      <c r="R16" s="705" t="s">
        <v>14</v>
      </c>
      <c r="S16" s="706">
        <f>F16</f>
        <v>100</v>
      </c>
      <c r="T16" s="705" t="s">
        <v>14</v>
      </c>
      <c r="U16" s="706">
        <f>H16</f>
        <v>100</v>
      </c>
      <c r="V16" s="705" t="s">
        <v>14</v>
      </c>
      <c r="W16" s="706">
        <f>J16</f>
        <v>100</v>
      </c>
      <c r="X16" s="1355"/>
      <c r="Y16" s="37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77"/>
      <c r="Q17" s="1352"/>
      <c r="R17" s="705"/>
      <c r="S17" s="706"/>
      <c r="T17" s="705"/>
      <c r="U17" s="706"/>
      <c r="V17" s="705"/>
      <c r="W17" s="706"/>
      <c r="X17" s="1355"/>
      <c r="Y17" s="37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77"/>
      <c r="Q18" s="1352" t="str">
        <f>B18</f>
        <v>基础设施水平</v>
      </c>
      <c r="R18" s="705" t="s">
        <v>14</v>
      </c>
      <c r="S18" s="706">
        <f>F18</f>
        <v>100</v>
      </c>
      <c r="T18" s="705" t="s">
        <v>14</v>
      </c>
      <c r="U18" s="706">
        <f>H18</f>
        <v>100</v>
      </c>
      <c r="V18" s="705" t="s">
        <v>14</v>
      </c>
      <c r="W18" s="706">
        <f>J18</f>
        <v>100</v>
      </c>
      <c r="X18" s="1355"/>
      <c r="Y18" s="37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77"/>
      <c r="Q19" s="1352"/>
      <c r="R19" s="705"/>
      <c r="S19" s="706"/>
      <c r="T19" s="705"/>
      <c r="U19" s="706"/>
      <c r="V19" s="705"/>
      <c r="W19" s="706"/>
      <c r="X19" s="1355"/>
      <c r="Y19" s="3777"/>
      <c r="Z19" s="1356"/>
      <c r="AA19" s="1353">
        <v>1</v>
      </c>
      <c r="AB19" s="1353">
        <v>1</v>
      </c>
      <c r="AC19" s="1353">
        <v>1</v>
      </c>
    </row>
    <row r="20" spans="1:29" ht="128.25">
      <c r="A20" s="379"/>
      <c r="B20" s="402"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77"/>
      <c r="Q20" s="1352" t="str">
        <f>B20</f>
        <v>自然及人文环境</v>
      </c>
      <c r="R20" s="705" t="s">
        <v>14</v>
      </c>
      <c r="S20" s="706">
        <f>F20</f>
        <v>100</v>
      </c>
      <c r="T20" s="705" t="s">
        <v>14</v>
      </c>
      <c r="U20" s="706">
        <f>H20</f>
        <v>100</v>
      </c>
      <c r="V20" s="705" t="s">
        <v>14</v>
      </c>
      <c r="W20" s="706">
        <f>J20</f>
        <v>100</v>
      </c>
      <c r="X20" s="1355"/>
      <c r="Y20" s="37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77"/>
      <c r="Q21" s="1352"/>
      <c r="R21" s="705"/>
      <c r="S21" s="706"/>
      <c r="T21" s="705"/>
      <c r="U21" s="706"/>
      <c r="V21" s="705"/>
      <c r="W21" s="706"/>
      <c r="X21" s="1355"/>
      <c r="Y21" s="37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77"/>
      <c r="Q22" s="1352" t="str">
        <f>B22</f>
        <v>楼层</v>
      </c>
      <c r="R22" s="705" t="s">
        <v>14</v>
      </c>
      <c r="S22" s="706">
        <f>F22</f>
        <v>100</v>
      </c>
      <c r="T22" s="705" t="s">
        <v>14</v>
      </c>
      <c r="U22" s="706">
        <f>H22</f>
        <v>100</v>
      </c>
      <c r="V22" s="705" t="s">
        <v>14</v>
      </c>
      <c r="W22" s="706">
        <f>J22</f>
        <v>100</v>
      </c>
      <c r="X22" s="1355"/>
      <c r="Y22" s="37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77"/>
      <c r="Q23" s="1352">
        <f>B23</f>
        <v>111</v>
      </c>
      <c r="R23" s="705" t="s">
        <v>14</v>
      </c>
      <c r="S23" s="706">
        <f>F23</f>
        <v>100</v>
      </c>
      <c r="T23" s="705" t="s">
        <v>14</v>
      </c>
      <c r="U23" s="706">
        <f>H23</f>
        <v>100</v>
      </c>
      <c r="V23" s="705" t="s">
        <v>14</v>
      </c>
      <c r="W23" s="706">
        <f>J23</f>
        <v>100</v>
      </c>
      <c r="X23" s="1355"/>
      <c r="Y23" s="37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77"/>
      <c r="Q24" s="1352">
        <f t="shared" ref="Q24:Q34" si="11">B24</f>
        <v>111</v>
      </c>
      <c r="R24" s="705" t="s">
        <v>14</v>
      </c>
      <c r="S24" s="706">
        <f>F24</f>
        <v>100</v>
      </c>
      <c r="T24" s="705" t="s">
        <v>14</v>
      </c>
      <c r="U24" s="706">
        <f>H24</f>
        <v>100</v>
      </c>
      <c r="V24" s="705" t="s">
        <v>14</v>
      </c>
      <c r="W24" s="706">
        <f>J24</f>
        <v>100</v>
      </c>
      <c r="X24" s="1355"/>
      <c r="Y24" s="37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77"/>
      <c r="Q25" s="1343">
        <f t="shared" si="11"/>
        <v>111</v>
      </c>
      <c r="R25" s="701" t="s">
        <v>14</v>
      </c>
      <c r="S25" s="702">
        <f>F25</f>
        <v>100</v>
      </c>
      <c r="T25" s="701" t="s">
        <v>14</v>
      </c>
      <c r="U25" s="702">
        <f>H25</f>
        <v>100</v>
      </c>
      <c r="V25" s="701" t="s">
        <v>14</v>
      </c>
      <c r="W25" s="702">
        <f>J25</f>
        <v>100</v>
      </c>
      <c r="X25" s="703"/>
      <c r="Y25" s="3777"/>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81"/>
      <c r="Q27" s="707" t="str">
        <f t="shared" si="11"/>
        <v>成新率</v>
      </c>
      <c r="R27" s="708" t="s">
        <v>14</v>
      </c>
      <c r="S27" s="709" t="e">
        <f t="shared" si="12"/>
        <v>#N/A</v>
      </c>
      <c r="T27" s="708" t="s">
        <v>14</v>
      </c>
      <c r="U27" s="709" t="e">
        <f t="shared" si="13"/>
        <v>#N/A</v>
      </c>
      <c r="V27" s="708" t="s">
        <v>14</v>
      </c>
      <c r="W27" s="709" t="e">
        <f t="shared" si="14"/>
        <v>#N/A</v>
      </c>
      <c r="X27" s="710"/>
      <c r="Y27" s="37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81"/>
      <c r="Q28" s="1352" t="str">
        <f t="shared" si="11"/>
        <v>物业等级</v>
      </c>
      <c r="R28" s="705" t="s">
        <v>14</v>
      </c>
      <c r="S28" s="706">
        <f t="shared" si="12"/>
        <v>100</v>
      </c>
      <c r="T28" s="705" t="s">
        <v>14</v>
      </c>
      <c r="U28" s="706">
        <f t="shared" si="13"/>
        <v>100</v>
      </c>
      <c r="V28" s="705" t="s">
        <v>14</v>
      </c>
      <c r="W28" s="706">
        <f t="shared" si="14"/>
        <v>100</v>
      </c>
      <c r="X28" s="1355"/>
      <c r="Y28" s="37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81"/>
      <c r="Q29" s="1352" t="str">
        <f t="shared" si="11"/>
        <v>有无电梯</v>
      </c>
      <c r="R29" s="705" t="s">
        <v>14</v>
      </c>
      <c r="S29" s="706">
        <f t="shared" si="12"/>
        <v>100</v>
      </c>
      <c r="T29" s="705" t="s">
        <v>14</v>
      </c>
      <c r="U29" s="706">
        <f t="shared" si="13"/>
        <v>100</v>
      </c>
      <c r="V29" s="705" t="s">
        <v>14</v>
      </c>
      <c r="W29" s="706">
        <f t="shared" si="14"/>
        <v>100</v>
      </c>
      <c r="X29" s="1355"/>
      <c r="Y29" s="37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81"/>
      <c r="Q30" s="1352" t="str">
        <f t="shared" si="11"/>
        <v>建筑面积</v>
      </c>
      <c r="R30" s="705" t="s">
        <v>14</v>
      </c>
      <c r="S30" s="706" t="e">
        <f t="shared" si="12"/>
        <v>#N/A</v>
      </c>
      <c r="T30" s="705" t="s">
        <v>14</v>
      </c>
      <c r="U30" s="706" t="e">
        <f t="shared" si="13"/>
        <v>#N/A</v>
      </c>
      <c r="V30" s="705" t="s">
        <v>14</v>
      </c>
      <c r="W30" s="706" t="e">
        <f t="shared" si="14"/>
        <v>#N/A</v>
      </c>
      <c r="X30" s="1355"/>
      <c r="Y30" s="37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81"/>
      <c r="Q31" s="1343" t="str">
        <f t="shared" si="11"/>
        <v>是否封闭</v>
      </c>
      <c r="R31" s="701" t="s">
        <v>14</v>
      </c>
      <c r="S31" s="702">
        <f t="shared" si="12"/>
        <v>100</v>
      </c>
      <c r="T31" s="701" t="s">
        <v>14</v>
      </c>
      <c r="U31" s="702">
        <f t="shared" si="13"/>
        <v>100</v>
      </c>
      <c r="V31" s="701" t="s">
        <v>14</v>
      </c>
      <c r="W31" s="702">
        <f t="shared" si="14"/>
        <v>100</v>
      </c>
      <c r="X31" s="703"/>
      <c r="Y31" s="37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81" t="s">
        <v>1696</v>
      </c>
      <c r="Q32" s="1352">
        <f t="shared" si="11"/>
        <v>111</v>
      </c>
      <c r="R32" s="705" t="s">
        <v>14</v>
      </c>
      <c r="S32" s="706">
        <f t="shared" si="12"/>
        <v>100</v>
      </c>
      <c r="T32" s="705" t="s">
        <v>14</v>
      </c>
      <c r="U32" s="706">
        <f t="shared" si="13"/>
        <v>100</v>
      </c>
      <c r="V32" s="705" t="s">
        <v>14</v>
      </c>
      <c r="W32" s="706">
        <f t="shared" si="14"/>
        <v>100</v>
      </c>
      <c r="X32" s="1355"/>
      <c r="Y32" s="37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81"/>
      <c r="Q33" s="1352">
        <f t="shared" si="11"/>
        <v>111</v>
      </c>
      <c r="R33" s="705" t="s">
        <v>14</v>
      </c>
      <c r="S33" s="706">
        <f t="shared" si="12"/>
        <v>100</v>
      </c>
      <c r="T33" s="705" t="s">
        <v>14</v>
      </c>
      <c r="U33" s="706">
        <f t="shared" si="13"/>
        <v>100</v>
      </c>
      <c r="V33" s="705" t="s">
        <v>14</v>
      </c>
      <c r="W33" s="706">
        <f t="shared" si="14"/>
        <v>100</v>
      </c>
      <c r="X33" s="1355"/>
      <c r="Y33" s="37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81"/>
      <c r="Q34" s="1352">
        <f t="shared" si="11"/>
        <v>111</v>
      </c>
      <c r="R34" s="705" t="s">
        <v>14</v>
      </c>
      <c r="S34" s="706">
        <f t="shared" si="12"/>
        <v>100</v>
      </c>
      <c r="T34" s="705" t="s">
        <v>14</v>
      </c>
      <c r="U34" s="706">
        <f t="shared" si="13"/>
        <v>100</v>
      </c>
      <c r="V34" s="705" t="s">
        <v>14</v>
      </c>
      <c r="W34" s="706">
        <f t="shared" si="14"/>
        <v>100</v>
      </c>
      <c r="X34" s="1355"/>
      <c r="Y34" s="37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74" t="str">
        <f>A35</f>
        <v>成交单价（元/平方米）</v>
      </c>
      <c r="Q35" s="3774"/>
      <c r="R35" s="3775">
        <f>E35</f>
        <v>0</v>
      </c>
      <c r="S35" s="3775"/>
      <c r="T35" s="3775">
        <f>G35</f>
        <v>0</v>
      </c>
      <c r="U35" s="3775"/>
      <c r="V35" s="3775">
        <f>I35</f>
        <v>0</v>
      </c>
      <c r="W35" s="3775"/>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71" t="str">
        <f>A37</f>
        <v>估价对象XX用房的比较价值（楼面单价，元/平方米）</v>
      </c>
      <c r="Q37" s="3772"/>
      <c r="R37" s="3836" t="e">
        <f>IF(F1="售价",ROUND(IF(D36="简单平均",AVERAGE(R36:W36),R36*F36+T36*H36+V36*J36),0),ROUND(IF(D36="简单平均",AVERAGE(R36:V36),R36*F36+T36*H36+V36*J36),1))</f>
        <v>#DIV/0!</v>
      </c>
      <c r="S37" s="3836"/>
      <c r="T37" s="3836"/>
      <c r="U37" s="3836"/>
      <c r="V37" s="3836"/>
      <c r="W37" s="383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2022-10</v>
      </c>
      <c r="D46" s="1185">
        <f>EDATE(C46,-1)</f>
        <v>44805</v>
      </c>
      <c r="E46" s="1185">
        <f t="shared" ref="E46:O46" si="16">EDATE(D46,-1)</f>
        <v>44774</v>
      </c>
      <c r="F46" s="1185">
        <f t="shared" si="16"/>
        <v>44743</v>
      </c>
      <c r="G46" s="1185">
        <f t="shared" si="16"/>
        <v>44713</v>
      </c>
      <c r="H46" s="1185">
        <f t="shared" si="16"/>
        <v>44682</v>
      </c>
      <c r="I46" s="1185">
        <f t="shared" si="16"/>
        <v>44652</v>
      </c>
      <c r="J46" s="1185">
        <f t="shared" si="16"/>
        <v>44621</v>
      </c>
      <c r="K46" s="1185">
        <f t="shared" si="16"/>
        <v>44593</v>
      </c>
      <c r="L46" s="1185">
        <f t="shared" si="16"/>
        <v>44562</v>
      </c>
      <c r="M46" s="1185">
        <f t="shared" si="16"/>
        <v>44531</v>
      </c>
      <c r="N46" s="1185">
        <f t="shared" si="16"/>
        <v>44501</v>
      </c>
      <c r="O46" s="1185">
        <f t="shared" si="16"/>
        <v>44470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30"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30" ht="15.75" thickBot="1">
      <c r="A6" s="360"/>
      <c r="B6" s="361"/>
      <c r="C6" s="3806" t="s">
        <v>1677</v>
      </c>
      <c r="D6" s="3807"/>
      <c r="E6" s="3813" t="s">
        <v>1677</v>
      </c>
      <c r="F6" s="3814"/>
      <c r="G6" s="3806" t="s">
        <v>1677</v>
      </c>
      <c r="H6" s="3807"/>
      <c r="I6" s="3806" t="s">
        <v>1677</v>
      </c>
      <c r="J6" s="3807"/>
      <c r="K6" s="559" t="s">
        <v>1678</v>
      </c>
      <c r="L6" s="2712"/>
      <c r="M6" s="2713"/>
      <c r="N6" s="2713"/>
      <c r="O6" s="2713"/>
      <c r="P6" s="3797"/>
      <c r="Q6" s="3798"/>
      <c r="R6" s="3801"/>
      <c r="S6" s="3802"/>
      <c r="T6" s="3803"/>
      <c r="U6" s="3804"/>
      <c r="V6" s="3805"/>
      <c r="W6" s="3805"/>
      <c r="X6" s="1355"/>
      <c r="Y6" s="3803"/>
      <c r="Z6" s="3804"/>
      <c r="AA6" s="3788"/>
      <c r="AB6" s="3788"/>
      <c r="AC6" s="3788"/>
    </row>
    <row r="7" spans="1:30" s="108" customFormat="1" ht="15.75" thickBot="1">
      <c r="A7" s="362" t="s">
        <v>1679</v>
      </c>
      <c r="B7" s="363"/>
      <c r="C7" s="364">
        <f>'数据-取费表'!B2</f>
        <v>44853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10"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10" t="s">
        <v>1683</v>
      </c>
      <c r="Q8" s="3811"/>
      <c r="R8" s="701" t="s">
        <v>14</v>
      </c>
      <c r="S8" s="702">
        <f t="shared" si="0"/>
        <v>0</v>
      </c>
      <c r="T8" s="701" t="s">
        <v>14</v>
      </c>
      <c r="U8" s="702">
        <f t="shared" si="1"/>
        <v>0</v>
      </c>
      <c r="V8" s="701" t="s">
        <v>14</v>
      </c>
      <c r="W8" s="702">
        <f t="shared" si="2"/>
        <v>0</v>
      </c>
      <c r="X8" s="703"/>
      <c r="Y8" s="3810" t="s">
        <v>1683</v>
      </c>
      <c r="Z8" s="38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74"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774"/>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74"/>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74"/>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74"/>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76" t="s">
        <v>1691</v>
      </c>
      <c r="Q15" s="1352" t="str">
        <f t="shared" si="6"/>
        <v>居住社区成熟度</v>
      </c>
      <c r="R15" s="705" t="s">
        <v>14</v>
      </c>
      <c r="S15" s="706">
        <f t="shared" si="0"/>
        <v>100</v>
      </c>
      <c r="T15" s="705" t="s">
        <v>14</v>
      </c>
      <c r="U15" s="706">
        <f t="shared" si="1"/>
        <v>100</v>
      </c>
      <c r="V15" s="705" t="s">
        <v>14</v>
      </c>
      <c r="W15" s="706">
        <f t="shared" si="2"/>
        <v>100</v>
      </c>
      <c r="X15" s="1355"/>
      <c r="Y15" s="37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77"/>
      <c r="Q16" s="1352"/>
      <c r="R16" s="705"/>
      <c r="S16" s="706"/>
      <c r="T16" s="705"/>
      <c r="U16" s="706"/>
      <c r="V16" s="705"/>
      <c r="W16" s="706"/>
      <c r="X16" s="1355"/>
      <c r="Y16" s="3777"/>
      <c r="Z16" s="1356"/>
      <c r="AA16" s="1353">
        <v>1</v>
      </c>
      <c r="AB16" s="1353">
        <v>1</v>
      </c>
      <c r="AC16" s="1353">
        <v>1</v>
      </c>
    </row>
    <row r="17" spans="1:29" ht="99.75">
      <c r="A17" s="379"/>
      <c r="B17" s="402" t="s">
        <v>1777</v>
      </c>
      <c r="C17" s="1955" t="str">
        <f>估价对象房地状况!C16</f>
        <v>估价对象周边有庄胜广场、大栅栏商业街、前门大街、北京坊、正阳市场等，商业氛围成熟，商业繁华度好。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77"/>
      <c r="Q17" s="1352" t="str">
        <f>B17</f>
        <v>商业繁华度</v>
      </c>
      <c r="R17" s="705" t="s">
        <v>14</v>
      </c>
      <c r="S17" s="706">
        <f>F17</f>
        <v>100</v>
      </c>
      <c r="T17" s="705" t="s">
        <v>14</v>
      </c>
      <c r="U17" s="706">
        <f>H17</f>
        <v>100</v>
      </c>
      <c r="V17" s="705" t="s">
        <v>14</v>
      </c>
      <c r="W17" s="706">
        <f>J17</f>
        <v>100</v>
      </c>
      <c r="X17" s="1355"/>
      <c r="Y17" s="37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77"/>
      <c r="Q18" s="1352"/>
      <c r="R18" s="705"/>
      <c r="S18" s="706"/>
      <c r="T18" s="705"/>
      <c r="U18" s="706"/>
      <c r="V18" s="705"/>
      <c r="W18" s="706"/>
      <c r="X18" s="1355"/>
      <c r="Y18" s="37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77"/>
      <c r="Q19" s="1352" t="str">
        <f>B19</f>
        <v>办公集聚程度</v>
      </c>
      <c r="R19" s="705" t="s">
        <v>14</v>
      </c>
      <c r="S19" s="706">
        <f>F19</f>
        <v>100</v>
      </c>
      <c r="T19" s="705" t="s">
        <v>14</v>
      </c>
      <c r="U19" s="706">
        <f>H19</f>
        <v>100</v>
      </c>
      <c r="V19" s="705" t="s">
        <v>14</v>
      </c>
      <c r="W19" s="706">
        <f>J19</f>
        <v>100</v>
      </c>
      <c r="X19" s="1355"/>
      <c r="Y19" s="37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77"/>
      <c r="Q20" s="1352"/>
      <c r="R20" s="705"/>
      <c r="S20" s="706"/>
      <c r="T20" s="705"/>
      <c r="U20" s="706"/>
      <c r="V20" s="705"/>
      <c r="W20" s="706"/>
      <c r="X20" s="1355"/>
      <c r="Y20" s="3777"/>
      <c r="Z20" s="1356"/>
      <c r="AA20" s="1353">
        <v>1</v>
      </c>
      <c r="AB20" s="1353">
        <v>1</v>
      </c>
      <c r="AC20" s="1353">
        <v>1</v>
      </c>
    </row>
    <row r="21" spans="1:29" ht="128.25">
      <c r="A21" s="379"/>
      <c r="B21" s="402" t="s">
        <v>1833</v>
      </c>
      <c r="C21" s="1900" t="str">
        <f>估价对象房地状况!C18</f>
        <v>周边有2路、5路、14路、20路、66路、70路、93路等多条公交线路、地铁2号线（和平门站）及地铁7号线（虎坊桥站），交通较便捷</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77"/>
      <c r="Q21" s="1352" t="str">
        <f>B21</f>
        <v>交通便捷度</v>
      </c>
      <c r="R21" s="705" t="s">
        <v>14</v>
      </c>
      <c r="S21" s="706">
        <f>F21</f>
        <v>100</v>
      </c>
      <c r="T21" s="705" t="s">
        <v>14</v>
      </c>
      <c r="U21" s="706">
        <f>H21</f>
        <v>100</v>
      </c>
      <c r="V21" s="705" t="s">
        <v>14</v>
      </c>
      <c r="W21" s="706">
        <f>J21</f>
        <v>100</v>
      </c>
      <c r="X21" s="1355"/>
      <c r="Y21" s="37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77"/>
      <c r="Q22" s="1352"/>
      <c r="R22" s="705"/>
      <c r="S22" s="706"/>
      <c r="T22" s="705"/>
      <c r="U22" s="706"/>
      <c r="V22" s="705"/>
      <c r="W22" s="706"/>
      <c r="X22" s="1355"/>
      <c r="Y22" s="37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77"/>
      <c r="Q23" s="1352" t="str">
        <f t="shared" ref="Q23:Q37" si="8">B23</f>
        <v>区域土地利用方向</v>
      </c>
      <c r="R23" s="705" t="s">
        <v>14</v>
      </c>
      <c r="S23" s="706">
        <f>F23</f>
        <v>100</v>
      </c>
      <c r="T23" s="705" t="s">
        <v>14</v>
      </c>
      <c r="U23" s="706">
        <f>H23</f>
        <v>100</v>
      </c>
      <c r="V23" s="705" t="s">
        <v>14</v>
      </c>
      <c r="W23" s="706">
        <f>J23</f>
        <v>100</v>
      </c>
      <c r="X23" s="1355"/>
      <c r="Y23" s="37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77"/>
      <c r="Q24" s="1352"/>
      <c r="R24" s="705"/>
      <c r="S24" s="706"/>
      <c r="T24" s="705"/>
      <c r="U24" s="706"/>
      <c r="V24" s="705"/>
      <c r="W24" s="706"/>
      <c r="X24" s="1355"/>
      <c r="Y24" s="3777"/>
      <c r="Z24" s="1356"/>
      <c r="AA24" s="1353"/>
      <c r="AB24" s="1353"/>
      <c r="AC24" s="1353"/>
    </row>
    <row r="25" spans="1:29" ht="128.25">
      <c r="A25" s="358"/>
      <c r="B25" s="1131" t="s">
        <v>1872</v>
      </c>
      <c r="C25" s="1955" t="str">
        <f>估价对象房地状况!C20</f>
        <v>区域自然环境：后孙公园、月亮湾公园、三里河公园等；人文环境：勅建火神庙、国家大剧院、天安门广场等；综合评价环境状况较好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77"/>
      <c r="Q25" s="1352" t="str">
        <f t="shared" si="8"/>
        <v>自然及人文环境状况</v>
      </c>
      <c r="R25" s="705" t="s">
        <v>14</v>
      </c>
      <c r="S25" s="706">
        <f>F25</f>
        <v>100</v>
      </c>
      <c r="T25" s="705" t="s">
        <v>14</v>
      </c>
      <c r="U25" s="706">
        <f>H25</f>
        <v>100</v>
      </c>
      <c r="V25" s="705" t="s">
        <v>14</v>
      </c>
      <c r="W25" s="706">
        <f>J25</f>
        <v>100</v>
      </c>
      <c r="X25" s="1355"/>
      <c r="Y25" s="37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77"/>
      <c r="Q26" s="1352"/>
      <c r="R26" s="705"/>
      <c r="S26" s="706"/>
      <c r="T26" s="705"/>
      <c r="U26" s="706"/>
      <c r="V26" s="705"/>
      <c r="W26" s="706"/>
      <c r="X26" s="1355"/>
      <c r="Y26" s="37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77"/>
      <c r="Q27" s="1343" t="str">
        <f t="shared" si="8"/>
        <v>公共配套设施</v>
      </c>
      <c r="R27" s="701" t="s">
        <v>14</v>
      </c>
      <c r="S27" s="702">
        <f>F27</f>
        <v>100</v>
      </c>
      <c r="T27" s="701" t="s">
        <v>14</v>
      </c>
      <c r="U27" s="702">
        <f>H27</f>
        <v>100</v>
      </c>
      <c r="V27" s="701" t="s">
        <v>14</v>
      </c>
      <c r="W27" s="702">
        <f>J27</f>
        <v>100</v>
      </c>
      <c r="X27" s="703"/>
      <c r="Y27" s="37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77"/>
      <c r="Q28" s="1343"/>
      <c r="R28" s="701"/>
      <c r="S28" s="702"/>
      <c r="T28" s="701"/>
      <c r="U28" s="702"/>
      <c r="V28" s="701"/>
      <c r="W28" s="702"/>
      <c r="X28" s="703"/>
      <c r="Y28" s="37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77"/>
      <c r="Q29" s="1343" t="str">
        <f t="shared" ref="Q29" si="9">B29</f>
        <v>基础设施水平</v>
      </c>
      <c r="R29" s="701" t="s">
        <v>14</v>
      </c>
      <c r="S29" s="702">
        <f>F29</f>
        <v>100</v>
      </c>
      <c r="T29" s="701" t="s">
        <v>14</v>
      </c>
      <c r="U29" s="702">
        <f>H29</f>
        <v>100</v>
      </c>
      <c r="V29" s="701" t="s">
        <v>14</v>
      </c>
      <c r="W29" s="702">
        <f>J29</f>
        <v>100</v>
      </c>
      <c r="X29" s="703"/>
      <c r="Y29" s="37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77"/>
      <c r="Q30" s="1343"/>
      <c r="R30" s="701"/>
      <c r="S30" s="702"/>
      <c r="T30" s="701"/>
      <c r="U30" s="702"/>
      <c r="V30" s="701"/>
      <c r="W30" s="702"/>
      <c r="X30" s="703"/>
      <c r="Y30" s="37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77"/>
      <c r="Q32" s="1352" t="str">
        <f t="shared" si="8"/>
        <v>毗邻道路的类型与等级</v>
      </c>
      <c r="R32" s="705" t="s">
        <v>14</v>
      </c>
      <c r="S32" s="706">
        <f t="shared" si="10"/>
        <v>100</v>
      </c>
      <c r="T32" s="705" t="s">
        <v>14</v>
      </c>
      <c r="U32" s="706">
        <f t="shared" si="11"/>
        <v>100</v>
      </c>
      <c r="V32" s="705" t="s">
        <v>14</v>
      </c>
      <c r="W32" s="706">
        <f t="shared" si="12"/>
        <v>100</v>
      </c>
      <c r="X32" s="1355"/>
      <c r="Y32" s="37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77"/>
      <c r="Q33" s="1352"/>
      <c r="R33" s="705"/>
      <c r="S33" s="706"/>
      <c r="T33" s="705"/>
      <c r="U33" s="706"/>
      <c r="V33" s="705"/>
      <c r="W33" s="706"/>
      <c r="X33" s="1355"/>
      <c r="Y33" s="37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77"/>
      <c r="Q34" s="1352" t="str">
        <f t="shared" si="8"/>
        <v>土地级别</v>
      </c>
      <c r="R34" s="705" t="s">
        <v>14</v>
      </c>
      <c r="S34" s="706">
        <f t="shared" si="10"/>
        <v>100</v>
      </c>
      <c r="T34" s="705" t="s">
        <v>14</v>
      </c>
      <c r="U34" s="706">
        <f t="shared" si="11"/>
        <v>100</v>
      </c>
      <c r="V34" s="705" t="s">
        <v>14</v>
      </c>
      <c r="W34" s="706">
        <f t="shared" si="12"/>
        <v>100</v>
      </c>
      <c r="X34" s="1355"/>
      <c r="Y34" s="37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77"/>
      <c r="Q35" s="1352">
        <f t="shared" si="8"/>
        <v>111</v>
      </c>
      <c r="R35" s="705" t="s">
        <v>14</v>
      </c>
      <c r="S35" s="706">
        <f t="shared" si="10"/>
        <v>100</v>
      </c>
      <c r="T35" s="705" t="s">
        <v>14</v>
      </c>
      <c r="U35" s="706">
        <f t="shared" si="11"/>
        <v>100</v>
      </c>
      <c r="V35" s="705" t="s">
        <v>14</v>
      </c>
      <c r="W35" s="706">
        <f t="shared" si="12"/>
        <v>100</v>
      </c>
      <c r="X35" s="1355"/>
      <c r="Y35" s="37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5" t="s">
        <v>1696</v>
      </c>
      <c r="Q36" s="1352">
        <f t="shared" si="8"/>
        <v>111</v>
      </c>
      <c r="R36" s="705" t="s">
        <v>14</v>
      </c>
      <c r="S36" s="706">
        <f t="shared" si="10"/>
        <v>100</v>
      </c>
      <c r="T36" s="705" t="s">
        <v>14</v>
      </c>
      <c r="U36" s="706">
        <f t="shared" si="11"/>
        <v>100</v>
      </c>
      <c r="V36" s="705" t="s">
        <v>14</v>
      </c>
      <c r="W36" s="706">
        <f t="shared" si="12"/>
        <v>100</v>
      </c>
      <c r="X36" s="1355"/>
      <c r="Y36" s="37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81"/>
      <c r="Q37" s="1352">
        <f t="shared" si="8"/>
        <v>111</v>
      </c>
      <c r="R37" s="708" t="s">
        <v>14</v>
      </c>
      <c r="S37" s="709">
        <f t="shared" si="10"/>
        <v>100</v>
      </c>
      <c r="T37" s="708" t="s">
        <v>14</v>
      </c>
      <c r="U37" s="709">
        <f t="shared" si="11"/>
        <v>100</v>
      </c>
      <c r="V37" s="708" t="s">
        <v>14</v>
      </c>
      <c r="W37" s="709">
        <f t="shared" si="12"/>
        <v>100</v>
      </c>
      <c r="X37" s="710"/>
      <c r="Y37" s="37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81"/>
      <c r="Q38" s="1352" t="str">
        <f>B38</f>
        <v>宗地面积</v>
      </c>
      <c r="R38" s="705" t="s">
        <v>14</v>
      </c>
      <c r="S38" s="706" t="e">
        <f t="shared" si="10"/>
        <v>#N/A</v>
      </c>
      <c r="T38" s="705" t="s">
        <v>14</v>
      </c>
      <c r="U38" s="706" t="e">
        <f t="shared" si="11"/>
        <v>#N/A</v>
      </c>
      <c r="V38" s="705" t="s">
        <v>14</v>
      </c>
      <c r="W38" s="706" t="e">
        <f t="shared" si="12"/>
        <v>#N/A</v>
      </c>
      <c r="X38" s="1355"/>
      <c r="Y38" s="37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81"/>
      <c r="Q39" s="1352" t="str">
        <f t="shared" ref="Q39:Q45" si="14">B39</f>
        <v>宗地形状</v>
      </c>
      <c r="R39" s="705" t="s">
        <v>14</v>
      </c>
      <c r="S39" s="706">
        <f t="shared" si="10"/>
        <v>100</v>
      </c>
      <c r="T39" s="705" t="s">
        <v>14</v>
      </c>
      <c r="U39" s="706">
        <f t="shared" si="11"/>
        <v>100</v>
      </c>
      <c r="V39" s="705" t="s">
        <v>14</v>
      </c>
      <c r="W39" s="706">
        <f t="shared" si="12"/>
        <v>100</v>
      </c>
      <c r="X39" s="1355"/>
      <c r="Y39" s="37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81"/>
      <c r="Q40" s="1352" t="str">
        <f t="shared" si="14"/>
        <v>临街宽度及深度</v>
      </c>
      <c r="R40" s="705" t="s">
        <v>14</v>
      </c>
      <c r="S40" s="706">
        <f t="shared" si="10"/>
        <v>100</v>
      </c>
      <c r="T40" s="705" t="s">
        <v>14</v>
      </c>
      <c r="U40" s="706">
        <f t="shared" si="11"/>
        <v>100</v>
      </c>
      <c r="V40" s="705" t="s">
        <v>14</v>
      </c>
      <c r="W40" s="706">
        <f t="shared" si="12"/>
        <v>100</v>
      </c>
      <c r="X40" s="1355"/>
      <c r="Y40" s="37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81"/>
      <c r="Q41" s="1352" t="str">
        <f t="shared" si="14"/>
        <v>宗地开发程度</v>
      </c>
      <c r="R41" s="701" t="s">
        <v>14</v>
      </c>
      <c r="S41" s="702">
        <f t="shared" si="10"/>
        <v>100</v>
      </c>
      <c r="T41" s="701" t="s">
        <v>14</v>
      </c>
      <c r="U41" s="702">
        <f t="shared" si="11"/>
        <v>100</v>
      </c>
      <c r="V41" s="701" t="s">
        <v>14</v>
      </c>
      <c r="W41" s="702">
        <f t="shared" si="12"/>
        <v>100</v>
      </c>
      <c r="X41" s="703"/>
      <c r="Y41" s="37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81" t="s">
        <v>1696</v>
      </c>
      <c r="Q42" s="1352" t="str">
        <f t="shared" si="14"/>
        <v>工程地质条件</v>
      </c>
      <c r="R42" s="705" t="s">
        <v>14</v>
      </c>
      <c r="S42" s="706">
        <f t="shared" si="10"/>
        <v>100</v>
      </c>
      <c r="T42" s="705" t="s">
        <v>14</v>
      </c>
      <c r="U42" s="706">
        <f t="shared" si="11"/>
        <v>100</v>
      </c>
      <c r="V42" s="705" t="s">
        <v>14</v>
      </c>
      <c r="W42" s="706">
        <f t="shared" si="12"/>
        <v>100</v>
      </c>
      <c r="X42" s="1355"/>
      <c r="Y42" s="37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81"/>
      <c r="Q43" s="1352">
        <f t="shared" si="14"/>
        <v>111</v>
      </c>
      <c r="R43" s="705" t="s">
        <v>14</v>
      </c>
      <c r="S43" s="706">
        <f t="shared" si="10"/>
        <v>100</v>
      </c>
      <c r="T43" s="705" t="s">
        <v>14</v>
      </c>
      <c r="U43" s="706">
        <f t="shared" si="11"/>
        <v>100</v>
      </c>
      <c r="V43" s="705" t="s">
        <v>14</v>
      </c>
      <c r="W43" s="706">
        <f t="shared" si="12"/>
        <v>100</v>
      </c>
      <c r="X43" s="1355"/>
      <c r="Y43" s="37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81"/>
      <c r="Q44" s="1352">
        <f t="shared" si="14"/>
        <v>111</v>
      </c>
      <c r="R44" s="705" t="s">
        <v>14</v>
      </c>
      <c r="S44" s="706">
        <f t="shared" si="10"/>
        <v>100</v>
      </c>
      <c r="T44" s="705" t="s">
        <v>14</v>
      </c>
      <c r="U44" s="706">
        <f t="shared" si="11"/>
        <v>100</v>
      </c>
      <c r="V44" s="705" t="s">
        <v>14</v>
      </c>
      <c r="W44" s="706">
        <f t="shared" si="12"/>
        <v>100</v>
      </c>
      <c r="X44" s="1355"/>
      <c r="Y44" s="37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81"/>
      <c r="Q45" s="1352">
        <f t="shared" si="14"/>
        <v>111</v>
      </c>
      <c r="R45" s="708" t="s">
        <v>14</v>
      </c>
      <c r="S45" s="709">
        <f t="shared" si="10"/>
        <v>100</v>
      </c>
      <c r="T45" s="708" t="s">
        <v>14</v>
      </c>
      <c r="U45" s="709">
        <f t="shared" si="11"/>
        <v>100</v>
      </c>
      <c r="V45" s="708" t="s">
        <v>14</v>
      </c>
      <c r="W45" s="709">
        <f t="shared" si="12"/>
        <v>100</v>
      </c>
      <c r="X45" s="710"/>
      <c r="Y45" s="37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74" t="str">
        <f>A46</f>
        <v>成交单价</v>
      </c>
      <c r="Q46" s="3774"/>
      <c r="R46" s="3805">
        <f>E46</f>
        <v>0</v>
      </c>
      <c r="S46" s="3805"/>
      <c r="T46" s="3805">
        <f>G46</f>
        <v>0</v>
      </c>
      <c r="U46" s="3805"/>
      <c r="V46" s="3805">
        <f>I46</f>
        <v>0</v>
      </c>
      <c r="W46" s="3805"/>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774" t="str">
        <f>A47</f>
        <v>比较价值（元/平方米）</v>
      </c>
      <c r="Q47" s="3774"/>
      <c r="R47" s="3837" t="e">
        <f>ROUND(PRODUCT(R46,AA7:AA45),0)</f>
        <v>#DIV/0!</v>
      </c>
      <c r="S47" s="3837"/>
      <c r="T47" s="3837" t="e">
        <f>ROUND(PRODUCT(T46,AB7:AB45),0)</f>
        <v>#DIV/0!</v>
      </c>
      <c r="U47" s="3837"/>
      <c r="V47" s="3837" t="e">
        <f>ROUND(PRODUCT(V46,AC7:AC45),0)</f>
        <v>#DIV/0!</v>
      </c>
      <c r="W47" s="38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71" t="str">
        <f>A48</f>
        <v>估价对象XX用房的比较价值（楼面单价，元/平方米）</v>
      </c>
      <c r="Q48" s="3772"/>
      <c r="R48" s="3838" t="e">
        <f>ROUND(IF(D47="简单平均",AVERAGE(R47:W47),R47*F47+T47*H47+V47*J47),0)</f>
        <v>#DIV/0!</v>
      </c>
      <c r="S48" s="3838"/>
      <c r="T48" s="3838"/>
      <c r="U48" s="3838"/>
      <c r="V48" s="3838"/>
      <c r="W48" s="383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89" t="s">
        <v>1887</v>
      </c>
      <c r="H55" s="383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188.54</v>
      </c>
      <c r="F56" s="886" t="e">
        <f t="shared" ref="F56:F64" si="15">ROUND(B56*E56/10000,0)</f>
        <v>#DIV/0!</v>
      </c>
      <c r="G56" s="3785"/>
      <c r="H56" s="377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188.54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40" t="s">
        <v>1919</v>
      </c>
      <c r="D6" s="3841"/>
      <c r="E6" s="3842" t="s">
        <v>1919</v>
      </c>
      <c r="F6" s="3843"/>
      <c r="G6" s="3840" t="s">
        <v>1919</v>
      </c>
      <c r="H6" s="3841"/>
      <c r="I6" s="3840" t="s">
        <v>1919</v>
      </c>
      <c r="J6" s="3841"/>
      <c r="K6" s="559"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10"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10" t="s">
        <v>1683</v>
      </c>
      <c r="Q8" s="3811"/>
      <c r="R8" s="701" t="s">
        <v>14</v>
      </c>
      <c r="S8" s="702">
        <f t="shared" si="0"/>
        <v>0</v>
      </c>
      <c r="T8" s="701" t="s">
        <v>14</v>
      </c>
      <c r="U8" s="702">
        <f t="shared" si="1"/>
        <v>0</v>
      </c>
      <c r="V8" s="701" t="s">
        <v>14</v>
      </c>
      <c r="W8" s="702">
        <f t="shared" si="2"/>
        <v>0</v>
      </c>
      <c r="X8" s="703"/>
      <c r="Y8" s="3810" t="s">
        <v>1683</v>
      </c>
      <c r="Z8" s="38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74"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774"/>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74"/>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74"/>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76" t="s">
        <v>1691</v>
      </c>
      <c r="Q15" s="1352" t="str">
        <f t="shared" si="6"/>
        <v>产业集聚程度</v>
      </c>
      <c r="R15" s="705" t="s">
        <v>14</v>
      </c>
      <c r="S15" s="706">
        <f t="shared" si="0"/>
        <v>100</v>
      </c>
      <c r="T15" s="705" t="s">
        <v>14</v>
      </c>
      <c r="U15" s="706">
        <f t="shared" si="1"/>
        <v>100</v>
      </c>
      <c r="V15" s="705" t="s">
        <v>14</v>
      </c>
      <c r="W15" s="706">
        <f t="shared" si="2"/>
        <v>100</v>
      </c>
      <c r="X15" s="1355"/>
      <c r="Y15" s="37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77"/>
      <c r="Q16" s="1352"/>
      <c r="R16" s="705"/>
      <c r="S16" s="706"/>
      <c r="T16" s="705"/>
      <c r="U16" s="706"/>
      <c r="V16" s="705"/>
      <c r="W16" s="706"/>
      <c r="X16" s="1355"/>
      <c r="Y16" s="37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77"/>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77"/>
      <c r="Q18" s="1352"/>
      <c r="R18" s="705"/>
      <c r="S18" s="706"/>
      <c r="T18" s="705"/>
      <c r="U18" s="706"/>
      <c r="V18" s="705"/>
      <c r="W18" s="706"/>
      <c r="X18" s="1355"/>
      <c r="Y18" s="37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77"/>
      <c r="Q19" s="1352" t="str">
        <f t="shared" ref="Q19:Q33" si="8">B19</f>
        <v>区域土地利用方向</v>
      </c>
      <c r="R19" s="705" t="s">
        <v>14</v>
      </c>
      <c r="S19" s="706">
        <f>F19</f>
        <v>100</v>
      </c>
      <c r="T19" s="705" t="s">
        <v>14</v>
      </c>
      <c r="U19" s="706">
        <f>H19</f>
        <v>100</v>
      </c>
      <c r="V19" s="705" t="s">
        <v>14</v>
      </c>
      <c r="W19" s="706">
        <f>J19</f>
        <v>100</v>
      </c>
      <c r="X19" s="1355"/>
      <c r="Y19" s="37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77"/>
      <c r="Q20" s="1352"/>
      <c r="R20" s="705"/>
      <c r="S20" s="706"/>
      <c r="T20" s="705"/>
      <c r="U20" s="706"/>
      <c r="V20" s="705"/>
      <c r="W20" s="706"/>
      <c r="X20" s="1355"/>
      <c r="Y20" s="37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77"/>
      <c r="Q21" s="1352" t="str">
        <f t="shared" si="8"/>
        <v>环境状况</v>
      </c>
      <c r="R21" s="705" t="s">
        <v>14</v>
      </c>
      <c r="S21" s="706">
        <f>F21</f>
        <v>100</v>
      </c>
      <c r="T21" s="705" t="s">
        <v>14</v>
      </c>
      <c r="U21" s="706">
        <f>H21</f>
        <v>100</v>
      </c>
      <c r="V21" s="705" t="s">
        <v>14</v>
      </c>
      <c r="W21" s="706">
        <f>J21</f>
        <v>100</v>
      </c>
      <c r="X21" s="1355"/>
      <c r="Y21" s="37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77"/>
      <c r="Q22" s="1352"/>
      <c r="R22" s="705"/>
      <c r="S22" s="706"/>
      <c r="T22" s="705"/>
      <c r="U22" s="706"/>
      <c r="V22" s="705"/>
      <c r="W22" s="706"/>
      <c r="X22" s="1355"/>
      <c r="Y22" s="37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77"/>
      <c r="Q23" s="1343" t="str">
        <f t="shared" si="8"/>
        <v>公共配套设施</v>
      </c>
      <c r="R23" s="701" t="s">
        <v>14</v>
      </c>
      <c r="S23" s="702">
        <f>F23</f>
        <v>100</v>
      </c>
      <c r="T23" s="701" t="s">
        <v>14</v>
      </c>
      <c r="U23" s="702">
        <f>H23</f>
        <v>100</v>
      </c>
      <c r="V23" s="701" t="s">
        <v>14</v>
      </c>
      <c r="W23" s="702">
        <f>J23</f>
        <v>100</v>
      </c>
      <c r="X23" s="703"/>
      <c r="Y23" s="37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77"/>
      <c r="Q24" s="1343"/>
      <c r="R24" s="701"/>
      <c r="S24" s="702"/>
      <c r="T24" s="701"/>
      <c r="U24" s="702"/>
      <c r="V24" s="701"/>
      <c r="W24" s="702"/>
      <c r="X24" s="703"/>
      <c r="Y24" s="37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77"/>
      <c r="Q25" s="1343" t="str">
        <f t="shared" ref="Q25" si="9">B25</f>
        <v>基础设施水平</v>
      </c>
      <c r="R25" s="701" t="s">
        <v>14</v>
      </c>
      <c r="S25" s="702">
        <f>F25</f>
        <v>100</v>
      </c>
      <c r="T25" s="701" t="s">
        <v>14</v>
      </c>
      <c r="U25" s="702">
        <f>H25</f>
        <v>100</v>
      </c>
      <c r="V25" s="701" t="s">
        <v>14</v>
      </c>
      <c r="W25" s="702">
        <f>J25</f>
        <v>100</v>
      </c>
      <c r="X25" s="703"/>
      <c r="Y25" s="37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77"/>
      <c r="Q26" s="1343"/>
      <c r="R26" s="701"/>
      <c r="S26" s="702"/>
      <c r="T26" s="701"/>
      <c r="U26" s="702"/>
      <c r="V26" s="701"/>
      <c r="W26" s="702"/>
      <c r="X26" s="703"/>
      <c r="Y26" s="37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77"/>
      <c r="Q28" s="1352" t="str">
        <f t="shared" si="8"/>
        <v>毗邻道路的类型与等级</v>
      </c>
      <c r="R28" s="705" t="s">
        <v>14</v>
      </c>
      <c r="S28" s="706">
        <f t="shared" si="10"/>
        <v>100</v>
      </c>
      <c r="T28" s="705" t="s">
        <v>14</v>
      </c>
      <c r="U28" s="706">
        <f t="shared" si="11"/>
        <v>100</v>
      </c>
      <c r="V28" s="705" t="s">
        <v>14</v>
      </c>
      <c r="W28" s="706">
        <f t="shared" si="12"/>
        <v>100</v>
      </c>
      <c r="X28" s="1355"/>
      <c r="Y28" s="37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77"/>
      <c r="Q29" s="1352"/>
      <c r="R29" s="705"/>
      <c r="S29" s="706"/>
      <c r="T29" s="705"/>
      <c r="U29" s="706"/>
      <c r="V29" s="705"/>
      <c r="W29" s="706"/>
      <c r="X29" s="1355"/>
      <c r="Y29" s="37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77"/>
      <c r="Q30" s="1352" t="str">
        <f t="shared" si="8"/>
        <v>土地级别</v>
      </c>
      <c r="R30" s="705" t="s">
        <v>14</v>
      </c>
      <c r="S30" s="706">
        <f t="shared" si="10"/>
        <v>100</v>
      </c>
      <c r="T30" s="705" t="s">
        <v>14</v>
      </c>
      <c r="U30" s="706">
        <f t="shared" si="11"/>
        <v>100</v>
      </c>
      <c r="V30" s="705" t="s">
        <v>14</v>
      </c>
      <c r="W30" s="706">
        <f t="shared" si="12"/>
        <v>100</v>
      </c>
      <c r="X30" s="1355"/>
      <c r="Y30" s="37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77"/>
      <c r="Q31" s="1352">
        <f t="shared" si="8"/>
        <v>111</v>
      </c>
      <c r="R31" s="705" t="s">
        <v>14</v>
      </c>
      <c r="S31" s="706">
        <f t="shared" si="10"/>
        <v>100</v>
      </c>
      <c r="T31" s="705" t="s">
        <v>14</v>
      </c>
      <c r="U31" s="706">
        <f t="shared" si="11"/>
        <v>100</v>
      </c>
      <c r="V31" s="705" t="s">
        <v>14</v>
      </c>
      <c r="W31" s="706">
        <f t="shared" si="12"/>
        <v>100</v>
      </c>
      <c r="X31" s="1355"/>
      <c r="Y31" s="37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5" t="s">
        <v>1696</v>
      </c>
      <c r="Q32" s="1352">
        <f t="shared" si="8"/>
        <v>111</v>
      </c>
      <c r="R32" s="705" t="s">
        <v>14</v>
      </c>
      <c r="S32" s="706">
        <f t="shared" si="10"/>
        <v>100</v>
      </c>
      <c r="T32" s="705" t="s">
        <v>14</v>
      </c>
      <c r="U32" s="706">
        <f t="shared" si="11"/>
        <v>100</v>
      </c>
      <c r="V32" s="705" t="s">
        <v>14</v>
      </c>
      <c r="W32" s="706">
        <f t="shared" si="12"/>
        <v>100</v>
      </c>
      <c r="X32" s="1355"/>
      <c r="Y32" s="37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81"/>
      <c r="Q33" s="1352">
        <f t="shared" si="8"/>
        <v>111</v>
      </c>
      <c r="R33" s="708" t="s">
        <v>14</v>
      </c>
      <c r="S33" s="709">
        <f t="shared" si="10"/>
        <v>100</v>
      </c>
      <c r="T33" s="708" t="s">
        <v>14</v>
      </c>
      <c r="U33" s="709">
        <f t="shared" si="11"/>
        <v>100</v>
      </c>
      <c r="V33" s="708" t="s">
        <v>14</v>
      </c>
      <c r="W33" s="709">
        <f t="shared" si="12"/>
        <v>100</v>
      </c>
      <c r="X33" s="710"/>
      <c r="Y33" s="37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81"/>
      <c r="Q34" s="1352" t="str">
        <f>B34</f>
        <v>宗地面积</v>
      </c>
      <c r="R34" s="705" t="s">
        <v>14</v>
      </c>
      <c r="S34" s="706" t="e">
        <f t="shared" si="10"/>
        <v>#N/A</v>
      </c>
      <c r="T34" s="705" t="s">
        <v>14</v>
      </c>
      <c r="U34" s="706" t="e">
        <f t="shared" si="11"/>
        <v>#N/A</v>
      </c>
      <c r="V34" s="705" t="s">
        <v>14</v>
      </c>
      <c r="W34" s="706" t="e">
        <f t="shared" si="12"/>
        <v>#N/A</v>
      </c>
      <c r="X34" s="1355"/>
      <c r="Y34" s="37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81"/>
      <c r="Q35" s="1352" t="str">
        <f t="shared" ref="Q35:Q40" si="14">B35</f>
        <v>宗地形状</v>
      </c>
      <c r="R35" s="705" t="s">
        <v>14</v>
      </c>
      <c r="S35" s="706">
        <f t="shared" si="10"/>
        <v>100</v>
      </c>
      <c r="T35" s="705" t="s">
        <v>14</v>
      </c>
      <c r="U35" s="706">
        <f t="shared" si="11"/>
        <v>100</v>
      </c>
      <c r="V35" s="705" t="s">
        <v>14</v>
      </c>
      <c r="W35" s="706">
        <f t="shared" si="12"/>
        <v>100</v>
      </c>
      <c r="X35" s="1355"/>
      <c r="Y35" s="37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81"/>
      <c r="Q36" s="1352" t="str">
        <f t="shared" si="14"/>
        <v>宗地开发程度</v>
      </c>
      <c r="R36" s="701" t="s">
        <v>14</v>
      </c>
      <c r="S36" s="702">
        <f t="shared" si="10"/>
        <v>100</v>
      </c>
      <c r="T36" s="701" t="s">
        <v>14</v>
      </c>
      <c r="U36" s="702">
        <f t="shared" si="11"/>
        <v>100</v>
      </c>
      <c r="V36" s="701" t="s">
        <v>14</v>
      </c>
      <c r="W36" s="702">
        <f t="shared" si="12"/>
        <v>100</v>
      </c>
      <c r="X36" s="703"/>
      <c r="Y36" s="37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81" t="s">
        <v>1696</v>
      </c>
      <c r="Q37" s="1352" t="str">
        <f t="shared" si="14"/>
        <v>工程地质条件</v>
      </c>
      <c r="R37" s="705" t="s">
        <v>14</v>
      </c>
      <c r="S37" s="706">
        <f t="shared" si="10"/>
        <v>100</v>
      </c>
      <c r="T37" s="705" t="s">
        <v>14</v>
      </c>
      <c r="U37" s="706">
        <f t="shared" si="11"/>
        <v>100</v>
      </c>
      <c r="V37" s="705" t="s">
        <v>14</v>
      </c>
      <c r="W37" s="706">
        <f t="shared" si="12"/>
        <v>100</v>
      </c>
      <c r="X37" s="1355"/>
      <c r="Y37" s="37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81"/>
      <c r="Q38" s="1352">
        <f t="shared" si="14"/>
        <v>111</v>
      </c>
      <c r="R38" s="705" t="s">
        <v>14</v>
      </c>
      <c r="S38" s="706">
        <f t="shared" si="10"/>
        <v>100</v>
      </c>
      <c r="T38" s="705" t="s">
        <v>14</v>
      </c>
      <c r="U38" s="706">
        <f t="shared" si="11"/>
        <v>100</v>
      </c>
      <c r="V38" s="705" t="s">
        <v>14</v>
      </c>
      <c r="W38" s="706">
        <f t="shared" si="12"/>
        <v>100</v>
      </c>
      <c r="X38" s="1355"/>
      <c r="Y38" s="37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81"/>
      <c r="Q39" s="1352">
        <f t="shared" si="14"/>
        <v>111</v>
      </c>
      <c r="R39" s="705" t="s">
        <v>14</v>
      </c>
      <c r="S39" s="706">
        <f t="shared" si="10"/>
        <v>100</v>
      </c>
      <c r="T39" s="705" t="s">
        <v>14</v>
      </c>
      <c r="U39" s="706">
        <f t="shared" si="11"/>
        <v>100</v>
      </c>
      <c r="V39" s="705" t="s">
        <v>14</v>
      </c>
      <c r="W39" s="706">
        <f t="shared" si="12"/>
        <v>100</v>
      </c>
      <c r="X39" s="1355"/>
      <c r="Y39" s="37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81"/>
      <c r="Q40" s="1352">
        <f t="shared" si="14"/>
        <v>111</v>
      </c>
      <c r="R40" s="708" t="s">
        <v>14</v>
      </c>
      <c r="S40" s="709">
        <f t="shared" si="10"/>
        <v>100</v>
      </c>
      <c r="T40" s="708" t="s">
        <v>14</v>
      </c>
      <c r="U40" s="709">
        <f t="shared" si="11"/>
        <v>100</v>
      </c>
      <c r="V40" s="708" t="s">
        <v>14</v>
      </c>
      <c r="W40" s="709">
        <f t="shared" si="12"/>
        <v>100</v>
      </c>
      <c r="X40" s="710"/>
      <c r="Y40" s="37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74" t="str">
        <f>A41</f>
        <v>成交单价</v>
      </c>
      <c r="Q41" s="3774"/>
      <c r="R41" s="3805">
        <f>E41</f>
        <v>0</v>
      </c>
      <c r="S41" s="3805"/>
      <c r="T41" s="3805">
        <f>G41</f>
        <v>0</v>
      </c>
      <c r="U41" s="3805"/>
      <c r="V41" s="3805">
        <f>I41</f>
        <v>0</v>
      </c>
      <c r="W41" s="3805"/>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774" t="str">
        <f>A42</f>
        <v>比较价值（元/平方米）</v>
      </c>
      <c r="Q42" s="3774"/>
      <c r="R42" s="3837" t="e">
        <f>ROUND(PRODUCT(R41,AA7:AA40),0)</f>
        <v>#DIV/0!</v>
      </c>
      <c r="S42" s="3837"/>
      <c r="T42" s="3837" t="e">
        <f>ROUND(PRODUCT(T41,AB7:AB40),0)</f>
        <v>#DIV/0!</v>
      </c>
      <c r="U42" s="3837"/>
      <c r="V42" s="3837" t="e">
        <f>ROUND(PRODUCT(V41,AC7:AC40),0)</f>
        <v>#DIV/0!</v>
      </c>
      <c r="W42" s="38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71" t="str">
        <f>A43</f>
        <v>估价对象XX用房的比较价值（楼面单价，元/平方米）</v>
      </c>
      <c r="Q43" s="3772"/>
      <c r="R43" s="3838" t="e">
        <f>ROUND(IF(D42="简单平均",AVERAGE(R42:W42),R42*F42+T42*H42+V42*J42),0)</f>
        <v>#DIV/0!</v>
      </c>
      <c r="S43" s="3838"/>
      <c r="T43" s="3838"/>
      <c r="U43" s="3838"/>
      <c r="V43" s="3838"/>
      <c r="W43" s="383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89" t="s">
        <v>1887</v>
      </c>
      <c r="H50" s="383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188.54</v>
      </c>
      <c r="F51" s="639" t="e">
        <f t="shared" ref="F51:F60" si="15">ROUND(B51*E51/10000,0)</f>
        <v>#DIV/0!</v>
      </c>
      <c r="G51" s="3785"/>
      <c r="H51" s="377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122.87</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M5" sqref="M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7" t="s">
        <v>2084</v>
      </c>
      <c r="D1" s="3848"/>
      <c r="E1" s="3848"/>
      <c r="F1" s="3848"/>
      <c r="G1" s="3848"/>
      <c r="H1" s="3848"/>
      <c r="I1" s="3848"/>
      <c r="J1" s="3848"/>
      <c r="K1" s="3848"/>
      <c r="L1" s="3848"/>
      <c r="M1" s="3848"/>
      <c r="N1" s="3848"/>
      <c r="O1" s="3848"/>
      <c r="P1" s="3848"/>
      <c r="Q1" s="3848"/>
      <c r="R1" s="3848"/>
      <c r="S1" s="3849"/>
      <c r="T1" s="983" t="s">
        <v>2085</v>
      </c>
    </row>
    <row r="2" spans="1:45" s="655" customFormat="1" ht="38.25">
      <c r="A2" s="984"/>
      <c r="B2" s="651" t="s">
        <v>2086</v>
      </c>
      <c r="C2" s="652" t="str">
        <f t="shared" ref="C2:L2" si="0">C3&amp;"(含)"&amp;"-"&amp;D3</f>
        <v>0(含)-250</v>
      </c>
      <c r="D2" s="653" t="str">
        <f t="shared" si="0"/>
        <v>250(含)-500</v>
      </c>
      <c r="E2" s="653" t="str">
        <f t="shared" si="0"/>
        <v>500(含)-750</v>
      </c>
      <c r="F2" s="653" t="str">
        <f t="shared" si="0"/>
        <v>750(含)-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250</v>
      </c>
      <c r="E3" s="658">
        <v>500</v>
      </c>
      <c r="F3" s="1305">
        <v>750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100</v>
      </c>
      <c r="D4" s="990">
        <f>'比较法-商业'!D104</f>
        <v>98</v>
      </c>
      <c r="E4" s="990">
        <f>'比较法-商业'!E104</f>
        <v>96</v>
      </c>
      <c r="F4" s="1309">
        <f>'比较法-商业'!F104</f>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35" t="s">
        <v>3657</v>
      </c>
      <c r="C5" s="995">
        <v>1</v>
      </c>
      <c r="D5" s="3536" t="s">
        <v>3658</v>
      </c>
      <c r="E5" s="996"/>
      <c r="F5" s="1312"/>
      <c r="G5" s="1312"/>
      <c r="H5" s="1312"/>
      <c r="I5" s="1312"/>
      <c r="J5" s="1312"/>
      <c r="K5" s="1312"/>
      <c r="L5" s="1313"/>
      <c r="M5" s="1314"/>
      <c r="N5" s="1314"/>
      <c r="O5" s="1312"/>
      <c r="P5" s="1312"/>
      <c r="Q5" s="1312"/>
      <c r="R5" s="1312"/>
      <c r="S5" s="1315"/>
      <c r="T5" s="998">
        <v>10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90</v>
      </c>
      <c r="E6" s="902">
        <f t="shared" ref="E6:S6" si="7">D6-$T5</f>
        <v>80</v>
      </c>
      <c r="F6" s="1316">
        <f t="shared" si="7"/>
        <v>70</v>
      </c>
      <c r="G6" s="1316">
        <f t="shared" si="7"/>
        <v>60</v>
      </c>
      <c r="H6" s="1316">
        <f t="shared" si="7"/>
        <v>50</v>
      </c>
      <c r="I6" s="1316">
        <f t="shared" si="7"/>
        <v>40</v>
      </c>
      <c r="J6" s="1316">
        <f t="shared" si="7"/>
        <v>30</v>
      </c>
      <c r="K6" s="1316">
        <f t="shared" si="7"/>
        <v>20</v>
      </c>
      <c r="L6" s="1316">
        <f t="shared" si="7"/>
        <v>10</v>
      </c>
      <c r="M6" s="1316">
        <f t="shared" si="7"/>
        <v>0</v>
      </c>
      <c r="N6" s="1316">
        <f t="shared" si="7"/>
        <v>-10</v>
      </c>
      <c r="O6" s="1316">
        <f t="shared" si="7"/>
        <v>-20</v>
      </c>
      <c r="P6" s="1316">
        <f t="shared" si="7"/>
        <v>-30</v>
      </c>
      <c r="Q6" s="1316">
        <f t="shared" si="7"/>
        <v>-40</v>
      </c>
      <c r="R6" s="1316">
        <f t="shared" si="7"/>
        <v>-50</v>
      </c>
      <c r="S6" s="1316">
        <f t="shared" si="7"/>
        <v>-60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idden="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hidden="1"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6235</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59078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1055.3799999999999</v>
      </c>
      <c r="C22" s="3844" t="s">
        <v>27</v>
      </c>
      <c r="D22" s="3845"/>
      <c r="E22" s="3845"/>
      <c r="F22" s="3845"/>
      <c r="G22" s="3845"/>
      <c r="H22" s="3845"/>
      <c r="I22" s="3845"/>
      <c r="J22" s="3845"/>
      <c r="K22" s="3845"/>
      <c r="L22" s="3845"/>
      <c r="M22" s="3845"/>
      <c r="N22" s="3845"/>
      <c r="O22" s="3845"/>
      <c r="P22" s="3845"/>
      <c r="Q22" s="3846"/>
      <c r="R22" s="663">
        <f ca="1">ROUND(S22*10000/B22,0)</f>
        <v>59078</v>
      </c>
      <c r="S22" s="21">
        <f ca="1">SUM(S24:S10000)</f>
        <v>6235</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5</v>
      </c>
      <c r="B24" s="665">
        <f>'数据-基础表'!H17</f>
        <v>188.54</v>
      </c>
      <c r="C24" s="2807">
        <v>1</v>
      </c>
      <c r="D24" s="2808">
        <v>1</v>
      </c>
      <c r="E24" s="2807">
        <v>1</v>
      </c>
      <c r="F24" s="2808"/>
      <c r="G24" s="2807">
        <v>1</v>
      </c>
      <c r="H24" s="2808"/>
      <c r="I24" s="2807">
        <v>1</v>
      </c>
      <c r="J24" s="2808"/>
      <c r="K24" s="2807">
        <v>1</v>
      </c>
      <c r="L24" s="2808"/>
      <c r="M24" s="2807">
        <v>1</v>
      </c>
      <c r="N24" s="2808"/>
      <c r="O24" s="2807">
        <v>1</v>
      </c>
      <c r="P24" s="2808"/>
      <c r="Q24" s="2807">
        <v>1</v>
      </c>
      <c r="R24" s="668">
        <f ca="1">结果表!G20</f>
        <v>65914</v>
      </c>
      <c r="S24" s="666">
        <f t="shared" ref="S24:S54" ca="1" si="11">ROUND(R24*B24/10000,0)</f>
        <v>1243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v>
      </c>
      <c r="B25" s="54">
        <f>'数据-基础表'!H13</f>
        <v>68.540000000000006</v>
      </c>
      <c r="C25" s="21">
        <f>IF(B25="",1,(LOOKUP(B25,$3:$3,$4:$4)-LOOKUP($B$24,$3:$3,$4:$4)+100)/100)</f>
        <v>1</v>
      </c>
      <c r="D25" s="667" t="s">
        <v>3659</v>
      </c>
      <c r="E25" s="21">
        <f>(SUMIF($5:$5,D25,$6:$6)-SUMIF($5:$5,$D$24,$6:$6)+100)/100</f>
        <v>0.9</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59323</v>
      </c>
      <c r="S25" s="316">
        <f t="shared" ca="1" si="11"/>
        <v>407</v>
      </c>
    </row>
    <row r="26" spans="1:45">
      <c r="A26" s="150">
        <v>2</v>
      </c>
      <c r="B26" s="54">
        <f>'数据-基础表'!H14</f>
        <v>271.22000000000003</v>
      </c>
      <c r="C26" s="21">
        <f t="shared" ref="C26:C89" si="12">IF(B26="",1,(LOOKUP(B26,$3:$3,$4:$4)-LOOKUP($B$24,$3:$3,$4:$4)+100)/100)</f>
        <v>0.98</v>
      </c>
      <c r="D26" s="667" t="s">
        <v>3659</v>
      </c>
      <c r="E26" s="21">
        <f t="shared" ref="E26:E89" si="13">(SUMIF($5:$5,D26,$6:$6)-SUMIF($5:$5,$D$24,$6:$6)+100)/100</f>
        <v>0.9</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58136</v>
      </c>
      <c r="S26" s="316">
        <f t="shared" ca="1" si="11"/>
        <v>1577</v>
      </c>
    </row>
    <row r="27" spans="1:45">
      <c r="A27" s="150">
        <v>3</v>
      </c>
      <c r="B27" s="54">
        <f>'数据-基础表'!H15</f>
        <v>23.04</v>
      </c>
      <c r="C27" s="21">
        <f t="shared" si="12"/>
        <v>1</v>
      </c>
      <c r="D27" s="667" t="s">
        <v>3659</v>
      </c>
      <c r="E27" s="21">
        <f t="shared" si="13"/>
        <v>0.9</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59323</v>
      </c>
      <c r="S27" s="316">
        <f t="shared" ca="1" si="11"/>
        <v>137</v>
      </c>
    </row>
    <row r="28" spans="1:45">
      <c r="A28" s="150">
        <v>4</v>
      </c>
      <c r="B28" s="54">
        <f>'数据-基础表'!H16</f>
        <v>504.04</v>
      </c>
      <c r="C28" s="21">
        <f t="shared" si="12"/>
        <v>0.96</v>
      </c>
      <c r="D28" s="667" t="s">
        <v>3659</v>
      </c>
      <c r="E28" s="21">
        <f t="shared" si="13"/>
        <v>0.9</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56950</v>
      </c>
      <c r="S28" s="316">
        <f t="shared" ca="1" si="11"/>
        <v>2871</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0</v>
      </c>
      <c r="C2" s="2145" t="s">
        <v>2074</v>
      </c>
      <c r="D2" s="2145" t="s">
        <v>2075</v>
      </c>
      <c r="E2" s="2610">
        <f ca="1">SUMIF(E6:E13,"&lt;&gt;#ref!",E6:E13)</f>
        <v>0</v>
      </c>
      <c r="F2" s="2790"/>
      <c r="G2" s="2790"/>
      <c r="H2" s="2790"/>
      <c r="I2" s="2790"/>
      <c r="J2" s="2790"/>
      <c r="K2" s="2790"/>
      <c r="L2" s="2790"/>
      <c r="M2" s="2790"/>
      <c r="N2" s="2790"/>
      <c r="O2" s="2790"/>
      <c r="P2" s="2790"/>
    </row>
    <row r="3" spans="1:16" ht="15.75">
      <c r="A3" s="2145" t="s">
        <v>2076</v>
      </c>
      <c r="B3" s="2600"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0</v>
      </c>
      <c r="C6" s="2145"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208"/>
  <sheetViews>
    <sheetView topLeftCell="A220" workbookViewId="0">
      <selection activeCell="I16" sqref="I16"/>
    </sheetView>
  </sheetViews>
  <sheetFormatPr defaultRowHeight="13.5"/>
  <cols>
    <col min="1" max="1" width="5.625" style="3516" customWidth="1"/>
    <col min="2" max="2" width="31.375" style="3516" customWidth="1"/>
    <col min="3" max="3" width="29" style="3516" customWidth="1"/>
    <col min="4" max="10" width="9" style="3516"/>
    <col min="11" max="11" width="16.5" style="3516" customWidth="1"/>
    <col min="12" max="16384" width="9" style="3516"/>
  </cols>
  <sheetData>
    <row r="1" spans="1:30">
      <c r="A1" s="3516" t="s">
        <v>3582</v>
      </c>
    </row>
    <row r="2" spans="1:30" s="3522" customFormat="1" ht="25.5">
      <c r="A2" s="3517" t="s">
        <v>3583</v>
      </c>
      <c r="B2" s="3517" t="s">
        <v>3584</v>
      </c>
      <c r="C2" s="3517" t="s">
        <v>3585</v>
      </c>
      <c r="D2" s="3517" t="s">
        <v>3586</v>
      </c>
      <c r="E2" s="3518" t="s">
        <v>3587</v>
      </c>
      <c r="F2" s="3518" t="s">
        <v>3588</v>
      </c>
      <c r="G2" s="3519" t="s">
        <v>3589</v>
      </c>
      <c r="H2" s="3520" t="s">
        <v>3590</v>
      </c>
      <c r="I2" s="3517" t="s">
        <v>3591</v>
      </c>
      <c r="J2" s="3517" t="s">
        <v>3592</v>
      </c>
      <c r="K2" s="3517" t="s">
        <v>3593</v>
      </c>
      <c r="L2" s="3519" t="s">
        <v>3594</v>
      </c>
      <c r="M2" s="3517" t="s">
        <v>3595</v>
      </c>
      <c r="N2" s="3517" t="s">
        <v>3596</v>
      </c>
      <c r="O2" s="3521" t="s">
        <v>3597</v>
      </c>
      <c r="P2" s="3517" t="s">
        <v>3598</v>
      </c>
      <c r="Q2" s="3517" t="s">
        <v>3599</v>
      </c>
      <c r="R2" s="3517" t="s">
        <v>3600</v>
      </c>
      <c r="S2" s="3517" t="s">
        <v>3601</v>
      </c>
      <c r="T2" s="3517" t="s">
        <v>3602</v>
      </c>
      <c r="U2" s="3517" t="s">
        <v>3603</v>
      </c>
      <c r="V2" s="3517" t="s">
        <v>3604</v>
      </c>
      <c r="W2" s="3517" t="s">
        <v>3602</v>
      </c>
    </row>
    <row r="3" spans="1:30" s="3522" customFormat="1" ht="12.75">
      <c r="A3" s="3850">
        <v>8</v>
      </c>
      <c r="B3" s="3850" t="s">
        <v>3605</v>
      </c>
      <c r="C3" s="3523" t="s">
        <v>3606</v>
      </c>
      <c r="D3" s="3517">
        <v>1</v>
      </c>
      <c r="E3" s="3518" t="s">
        <v>438</v>
      </c>
      <c r="F3" s="3518" t="s">
        <v>3607</v>
      </c>
      <c r="G3" s="3519">
        <v>297</v>
      </c>
      <c r="H3" s="3519">
        <v>390</v>
      </c>
      <c r="I3" s="3519">
        <f t="shared" ref="I3:I4" si="0">H3*12/365</f>
        <v>12.821917808219178</v>
      </c>
      <c r="J3" s="3524">
        <f>I3*G3</f>
        <v>3808.1095890410957</v>
      </c>
      <c r="K3" s="3517" t="s">
        <v>3608</v>
      </c>
      <c r="L3" s="3519">
        <f t="shared" ref="L3:L4" si="1">H3*G3</f>
        <v>115830</v>
      </c>
      <c r="M3" s="3517" t="s">
        <v>3609</v>
      </c>
      <c r="N3" s="3525" t="s">
        <v>3610</v>
      </c>
      <c r="O3" s="3525"/>
      <c r="P3" s="3525"/>
      <c r="Q3" s="3525" t="s">
        <v>3246</v>
      </c>
      <c r="R3" s="3517" t="s">
        <v>3611</v>
      </c>
      <c r="S3" s="3517" t="s">
        <v>3612</v>
      </c>
      <c r="T3" s="3517" t="s">
        <v>3613</v>
      </c>
      <c r="U3" s="3517" t="s">
        <v>3614</v>
      </c>
      <c r="V3" s="3517" t="s">
        <v>3615</v>
      </c>
      <c r="W3" s="3517"/>
      <c r="X3" s="3526"/>
      <c r="Y3" s="3526"/>
      <c r="AA3" s="3526"/>
      <c r="AB3" s="3526"/>
      <c r="AC3" s="3526"/>
      <c r="AD3" s="3526"/>
    </row>
    <row r="4" spans="1:30" s="3522" customFormat="1" ht="12.75">
      <c r="A4" s="3851"/>
      <c r="B4" s="3851"/>
      <c r="C4" s="3523" t="s">
        <v>3606</v>
      </c>
      <c r="D4" s="3517">
        <v>1</v>
      </c>
      <c r="E4" s="3518" t="s">
        <v>438</v>
      </c>
      <c r="F4" s="3518" t="s">
        <v>3616</v>
      </c>
      <c r="G4" s="3519">
        <v>673.52</v>
      </c>
      <c r="H4" s="3519">
        <v>450</v>
      </c>
      <c r="I4" s="3519">
        <f t="shared" si="0"/>
        <v>14.794520547945206</v>
      </c>
      <c r="J4" s="3524">
        <f>I4*G4</f>
        <v>9964.4054794520544</v>
      </c>
      <c r="K4" s="3517" t="s">
        <v>3608</v>
      </c>
      <c r="L4" s="3519">
        <f t="shared" si="1"/>
        <v>303084</v>
      </c>
      <c r="M4" s="3517" t="s">
        <v>3609</v>
      </c>
      <c r="N4" s="3525" t="s">
        <v>3610</v>
      </c>
      <c r="O4" s="3525"/>
      <c r="P4" s="3525"/>
      <c r="Q4" s="3525" t="s">
        <v>3246</v>
      </c>
      <c r="R4" s="3517" t="s">
        <v>3611</v>
      </c>
      <c r="S4" s="3517" t="s">
        <v>3612</v>
      </c>
      <c r="T4" s="3517" t="s">
        <v>3613</v>
      </c>
      <c r="U4" s="3517" t="s">
        <v>3614</v>
      </c>
      <c r="V4" s="3517" t="s">
        <v>3615</v>
      </c>
      <c r="W4" s="3517"/>
      <c r="X4" s="3526"/>
      <c r="Y4" s="3526"/>
      <c r="AA4" s="3526"/>
      <c r="AB4" s="3526"/>
      <c r="AC4" s="3526"/>
      <c r="AD4" s="3526"/>
    </row>
    <row r="5" spans="1:30" s="3522" customFormat="1" ht="12.75">
      <c r="A5" s="3850"/>
      <c r="B5" s="3850" t="s">
        <v>3617</v>
      </c>
      <c r="C5" s="3523" t="s">
        <v>3606</v>
      </c>
      <c r="D5" s="3517">
        <v>1</v>
      </c>
      <c r="E5" s="3518" t="s">
        <v>438</v>
      </c>
      <c r="F5" s="3518" t="s">
        <v>3607</v>
      </c>
      <c r="G5" s="3519">
        <v>297</v>
      </c>
      <c r="H5" s="3519">
        <v>448</v>
      </c>
      <c r="I5" s="3527">
        <f>H5*12/365</f>
        <v>14.728767123287671</v>
      </c>
      <c r="J5" s="3524">
        <f>I5*G5</f>
        <v>4374.4438356164383</v>
      </c>
      <c r="K5" s="3517" t="s">
        <v>3618</v>
      </c>
      <c r="L5" s="3519">
        <f>H5*G5</f>
        <v>133056</v>
      </c>
      <c r="M5" s="3517"/>
      <c r="N5" s="3525"/>
      <c r="O5" s="3525"/>
      <c r="P5" s="3525" t="s">
        <v>3619</v>
      </c>
      <c r="Q5" s="3525" t="s">
        <v>3246</v>
      </c>
      <c r="R5" s="3517" t="s">
        <v>3620</v>
      </c>
      <c r="S5" s="3517" t="s">
        <v>3612</v>
      </c>
      <c r="T5" s="3517" t="s">
        <v>3613</v>
      </c>
      <c r="U5" s="3517" t="s">
        <v>3614</v>
      </c>
      <c r="V5" s="3517" t="s">
        <v>3615</v>
      </c>
      <c r="W5" s="3517"/>
      <c r="X5" s="3526"/>
      <c r="Y5" s="3526"/>
      <c r="AA5" s="3526"/>
      <c r="AB5" s="3526"/>
      <c r="AC5" s="3526"/>
      <c r="AD5" s="3526"/>
    </row>
    <row r="6" spans="1:30" s="3522" customFormat="1" ht="12.75">
      <c r="A6" s="3851"/>
      <c r="B6" s="3851"/>
      <c r="C6" s="3523" t="s">
        <v>3606</v>
      </c>
      <c r="D6" s="3517">
        <v>1</v>
      </c>
      <c r="E6" s="3518" t="s">
        <v>438</v>
      </c>
      <c r="F6" s="3518" t="s">
        <v>3616</v>
      </c>
      <c r="G6" s="3519">
        <v>673.52</v>
      </c>
      <c r="H6" s="3519">
        <v>517</v>
      </c>
      <c r="I6" s="3528">
        <f>H6*12/365</f>
        <v>16.997260273972604</v>
      </c>
      <c r="J6" s="3524">
        <f>I6*G6</f>
        <v>11447.994739726028</v>
      </c>
      <c r="K6" s="3517" t="s">
        <v>3618</v>
      </c>
      <c r="L6" s="3519">
        <f>H6*G6</f>
        <v>348209.83999999997</v>
      </c>
      <c r="M6" s="3517"/>
      <c r="N6" s="3525"/>
      <c r="O6" s="3525"/>
      <c r="P6" s="3525"/>
      <c r="Q6" s="3525" t="s">
        <v>3246</v>
      </c>
      <c r="R6" s="3517"/>
      <c r="S6" s="3517" t="s">
        <v>3612</v>
      </c>
      <c r="T6" s="3517" t="s">
        <v>3613</v>
      </c>
      <c r="U6" s="3517" t="s">
        <v>3614</v>
      </c>
      <c r="V6" s="3517" t="s">
        <v>3615</v>
      </c>
      <c r="W6" s="3517"/>
      <c r="X6" s="3526"/>
      <c r="Y6" s="3526"/>
      <c r="AA6" s="3526"/>
      <c r="AB6" s="3526"/>
      <c r="AC6" s="3526"/>
      <c r="AD6" s="3526"/>
    </row>
    <row r="7" spans="1:30" s="3522" customFormat="1" ht="12.75">
      <c r="A7" s="3529">
        <v>11</v>
      </c>
      <c r="B7" s="3517" t="s">
        <v>3621</v>
      </c>
      <c r="C7" s="3523" t="s">
        <v>3622</v>
      </c>
      <c r="D7" s="3530" t="s">
        <v>3623</v>
      </c>
      <c r="E7" s="3518" t="s">
        <v>3623</v>
      </c>
      <c r="F7" s="3518" t="s">
        <v>3624</v>
      </c>
      <c r="G7" s="3519">
        <v>149.84</v>
      </c>
      <c r="H7" s="3519">
        <f>L7/G7</f>
        <v>270.28830752802992</v>
      </c>
      <c r="I7" s="3519">
        <f>H7*12/365</f>
        <v>8.8861909324283808</v>
      </c>
      <c r="J7" s="3524"/>
      <c r="K7" s="3517" t="s">
        <v>3625</v>
      </c>
      <c r="L7" s="3519">
        <v>40500</v>
      </c>
      <c r="M7" s="3517" t="s">
        <v>3626</v>
      </c>
      <c r="N7" s="3525"/>
      <c r="O7" s="3525"/>
      <c r="P7" s="3517" t="s">
        <v>3625</v>
      </c>
      <c r="Q7" s="3531" t="s">
        <v>3627</v>
      </c>
      <c r="R7" s="3521" t="s">
        <v>3628</v>
      </c>
      <c r="S7" s="3517"/>
      <c r="T7" s="3517" t="s">
        <v>3629</v>
      </c>
      <c r="U7" s="3517" t="s">
        <v>3630</v>
      </c>
      <c r="V7" s="3517"/>
      <c r="W7" s="3517"/>
    </row>
    <row r="8" spans="1:30">
      <c r="B8" s="3516" t="s">
        <v>3631</v>
      </c>
    </row>
    <row r="15" spans="1:30">
      <c r="H15" s="3516">
        <f>ROUND(150000/6/30/75,2)</f>
        <v>11.11</v>
      </c>
    </row>
    <row r="42" spans="2:2">
      <c r="B42" s="3516" t="s">
        <v>3632</v>
      </c>
    </row>
    <row r="60" spans="11:11">
      <c r="K60" s="3516">
        <f>30000/30/150</f>
        <v>6.666666666666667</v>
      </c>
    </row>
    <row r="85" spans="7:7">
      <c r="G85" s="3516">
        <f>30833/30/341.25</f>
        <v>3.0117704517704516</v>
      </c>
    </row>
    <row r="103" spans="2:2">
      <c r="B103" s="3516" t="s">
        <v>3633</v>
      </c>
    </row>
    <row r="138" spans="2:2">
      <c r="B138" s="3516" t="s">
        <v>3634</v>
      </c>
    </row>
    <row r="155" spans="2:2">
      <c r="B155" s="3516" t="s">
        <v>3635</v>
      </c>
    </row>
    <row r="181" spans="2:2">
      <c r="B181" s="3516" t="s">
        <v>3636</v>
      </c>
    </row>
    <row r="190" spans="2:2">
      <c r="B190" s="3516" t="s">
        <v>3637</v>
      </c>
    </row>
    <row r="208" spans="2:2">
      <c r="B208" s="3516" t="s">
        <v>3638</v>
      </c>
    </row>
  </sheetData>
  <mergeCells count="4">
    <mergeCell ref="A3:A4"/>
    <mergeCell ref="B3:B4"/>
    <mergeCell ref="A5:A6"/>
    <mergeCell ref="B5:B6"/>
  </mergeCells>
  <phoneticPr fontId="135"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23"/>
  <sheetViews>
    <sheetView topLeftCell="A7" zoomScale="85" zoomScaleSheetLayoutView="100" workbookViewId="0">
      <selection activeCell="Q10" sqref="Q10"/>
    </sheetView>
  </sheetViews>
  <sheetFormatPr defaultColWidth="9" defaultRowHeight="14.25"/>
  <cols>
    <col min="1" max="2" width="9" style="3461"/>
    <col min="3" max="3" width="10.375" style="3461" bestFit="1" customWidth="1"/>
    <col min="4" max="10" width="9" style="3461"/>
    <col min="11" max="11" width="11.5" style="3461" hidden="1" customWidth="1"/>
    <col min="12" max="13" width="0" style="3461" hidden="1" customWidth="1"/>
    <col min="14" max="14" width="14" style="3461" bestFit="1" customWidth="1"/>
    <col min="15" max="15" width="22.5" style="3461" customWidth="1"/>
    <col min="16" max="17" width="9" style="3461"/>
    <col min="18" max="18" width="16" style="3461" bestFit="1" customWidth="1"/>
    <col min="19" max="258" width="9" style="3461"/>
    <col min="259" max="259" width="10.375" style="3461" bestFit="1" customWidth="1"/>
    <col min="260" max="266" width="9" style="3461"/>
    <col min="267" max="267" width="11.5" style="3461" bestFit="1" customWidth="1"/>
    <col min="268" max="269" width="9" style="3461"/>
    <col min="270" max="270" width="14" style="3461" bestFit="1" customWidth="1"/>
    <col min="271" max="273" width="9" style="3461"/>
    <col min="274" max="274" width="16" style="3461" bestFit="1" customWidth="1"/>
    <col min="275" max="514" width="9" style="3461"/>
    <col min="515" max="515" width="10.375" style="3461" bestFit="1" customWidth="1"/>
    <col min="516" max="522" width="9" style="3461"/>
    <col min="523" max="523" width="11.5" style="3461" bestFit="1" customWidth="1"/>
    <col min="524" max="525" width="9" style="3461"/>
    <col min="526" max="526" width="14" style="3461" bestFit="1" customWidth="1"/>
    <col min="527" max="529" width="9" style="3461"/>
    <col min="530" max="530" width="16" style="3461" bestFit="1" customWidth="1"/>
    <col min="531" max="770" width="9" style="3461"/>
    <col min="771" max="771" width="10.375" style="3461" bestFit="1" customWidth="1"/>
    <col min="772" max="778" width="9" style="3461"/>
    <col min="779" max="779" width="11.5" style="3461" bestFit="1" customWidth="1"/>
    <col min="780" max="781" width="9" style="3461"/>
    <col min="782" max="782" width="14" style="3461" bestFit="1" customWidth="1"/>
    <col min="783" max="785" width="9" style="3461"/>
    <col min="786" max="786" width="16" style="3461" bestFit="1" customWidth="1"/>
    <col min="787" max="1026" width="9" style="3461"/>
    <col min="1027" max="1027" width="10.375" style="3461" bestFit="1" customWidth="1"/>
    <col min="1028" max="1034" width="9" style="3461"/>
    <col min="1035" max="1035" width="11.5" style="3461" bestFit="1" customWidth="1"/>
    <col min="1036" max="1037" width="9" style="3461"/>
    <col min="1038" max="1038" width="14" style="3461" bestFit="1" customWidth="1"/>
    <col min="1039" max="1041" width="9" style="3461"/>
    <col min="1042" max="1042" width="16" style="3461" bestFit="1" customWidth="1"/>
    <col min="1043" max="1282" width="9" style="3461"/>
    <col min="1283" max="1283" width="10.375" style="3461" bestFit="1" customWidth="1"/>
    <col min="1284" max="1290" width="9" style="3461"/>
    <col min="1291" max="1291" width="11.5" style="3461" bestFit="1" customWidth="1"/>
    <col min="1292" max="1293" width="9" style="3461"/>
    <col min="1294" max="1294" width="14" style="3461" bestFit="1" customWidth="1"/>
    <col min="1295" max="1297" width="9" style="3461"/>
    <col min="1298" max="1298" width="16" style="3461" bestFit="1" customWidth="1"/>
    <col min="1299" max="1538" width="9" style="3461"/>
    <col min="1539" max="1539" width="10.375" style="3461" bestFit="1" customWidth="1"/>
    <col min="1540" max="1546" width="9" style="3461"/>
    <col min="1547" max="1547" width="11.5" style="3461" bestFit="1" customWidth="1"/>
    <col min="1548" max="1549" width="9" style="3461"/>
    <col min="1550" max="1550" width="14" style="3461" bestFit="1" customWidth="1"/>
    <col min="1551" max="1553" width="9" style="3461"/>
    <col min="1554" max="1554" width="16" style="3461" bestFit="1" customWidth="1"/>
    <col min="1555" max="1794" width="9" style="3461"/>
    <col min="1795" max="1795" width="10.375" style="3461" bestFit="1" customWidth="1"/>
    <col min="1796" max="1802" width="9" style="3461"/>
    <col min="1803" max="1803" width="11.5" style="3461" bestFit="1" customWidth="1"/>
    <col min="1804" max="1805" width="9" style="3461"/>
    <col min="1806" max="1806" width="14" style="3461" bestFit="1" customWidth="1"/>
    <col min="1807" max="1809" width="9" style="3461"/>
    <col min="1810" max="1810" width="16" style="3461" bestFit="1" customWidth="1"/>
    <col min="1811" max="2050" width="9" style="3461"/>
    <col min="2051" max="2051" width="10.375" style="3461" bestFit="1" customWidth="1"/>
    <col min="2052" max="2058" width="9" style="3461"/>
    <col min="2059" max="2059" width="11.5" style="3461" bestFit="1" customWidth="1"/>
    <col min="2060" max="2061" width="9" style="3461"/>
    <col min="2062" max="2062" width="14" style="3461" bestFit="1" customWidth="1"/>
    <col min="2063" max="2065" width="9" style="3461"/>
    <col min="2066" max="2066" width="16" style="3461" bestFit="1" customWidth="1"/>
    <col min="2067" max="2306" width="9" style="3461"/>
    <col min="2307" max="2307" width="10.375" style="3461" bestFit="1" customWidth="1"/>
    <col min="2308" max="2314" width="9" style="3461"/>
    <col min="2315" max="2315" width="11.5" style="3461" bestFit="1" customWidth="1"/>
    <col min="2316" max="2317" width="9" style="3461"/>
    <col min="2318" max="2318" width="14" style="3461" bestFit="1" customWidth="1"/>
    <col min="2319" max="2321" width="9" style="3461"/>
    <col min="2322" max="2322" width="16" style="3461" bestFit="1" customWidth="1"/>
    <col min="2323" max="2562" width="9" style="3461"/>
    <col min="2563" max="2563" width="10.375" style="3461" bestFit="1" customWidth="1"/>
    <col min="2564" max="2570" width="9" style="3461"/>
    <col min="2571" max="2571" width="11.5" style="3461" bestFit="1" customWidth="1"/>
    <col min="2572" max="2573" width="9" style="3461"/>
    <col min="2574" max="2574" width="14" style="3461" bestFit="1" customWidth="1"/>
    <col min="2575" max="2577" width="9" style="3461"/>
    <col min="2578" max="2578" width="16" style="3461" bestFit="1" customWidth="1"/>
    <col min="2579" max="2818" width="9" style="3461"/>
    <col min="2819" max="2819" width="10.375" style="3461" bestFit="1" customWidth="1"/>
    <col min="2820" max="2826" width="9" style="3461"/>
    <col min="2827" max="2827" width="11.5" style="3461" bestFit="1" customWidth="1"/>
    <col min="2828" max="2829" width="9" style="3461"/>
    <col min="2830" max="2830" width="14" style="3461" bestFit="1" customWidth="1"/>
    <col min="2831" max="2833" width="9" style="3461"/>
    <col min="2834" max="2834" width="16" style="3461" bestFit="1" customWidth="1"/>
    <col min="2835" max="3074" width="9" style="3461"/>
    <col min="3075" max="3075" width="10.375" style="3461" bestFit="1" customWidth="1"/>
    <col min="3076" max="3082" width="9" style="3461"/>
    <col min="3083" max="3083" width="11.5" style="3461" bestFit="1" customWidth="1"/>
    <col min="3084" max="3085" width="9" style="3461"/>
    <col min="3086" max="3086" width="14" style="3461" bestFit="1" customWidth="1"/>
    <col min="3087" max="3089" width="9" style="3461"/>
    <col min="3090" max="3090" width="16" style="3461" bestFit="1" customWidth="1"/>
    <col min="3091" max="3330" width="9" style="3461"/>
    <col min="3331" max="3331" width="10.375" style="3461" bestFit="1" customWidth="1"/>
    <col min="3332" max="3338" width="9" style="3461"/>
    <col min="3339" max="3339" width="11.5" style="3461" bestFit="1" customWidth="1"/>
    <col min="3340" max="3341" width="9" style="3461"/>
    <col min="3342" max="3342" width="14" style="3461" bestFit="1" customWidth="1"/>
    <col min="3343" max="3345" width="9" style="3461"/>
    <col min="3346" max="3346" width="16" style="3461" bestFit="1" customWidth="1"/>
    <col min="3347" max="3586" width="9" style="3461"/>
    <col min="3587" max="3587" width="10.375" style="3461" bestFit="1" customWidth="1"/>
    <col min="3588" max="3594" width="9" style="3461"/>
    <col min="3595" max="3595" width="11.5" style="3461" bestFit="1" customWidth="1"/>
    <col min="3596" max="3597" width="9" style="3461"/>
    <col min="3598" max="3598" width="14" style="3461" bestFit="1" customWidth="1"/>
    <col min="3599" max="3601" width="9" style="3461"/>
    <col min="3602" max="3602" width="16" style="3461" bestFit="1" customWidth="1"/>
    <col min="3603" max="3842" width="9" style="3461"/>
    <col min="3843" max="3843" width="10.375" style="3461" bestFit="1" customWidth="1"/>
    <col min="3844" max="3850" width="9" style="3461"/>
    <col min="3851" max="3851" width="11.5" style="3461" bestFit="1" customWidth="1"/>
    <col min="3852" max="3853" width="9" style="3461"/>
    <col min="3854" max="3854" width="14" style="3461" bestFit="1" customWidth="1"/>
    <col min="3855" max="3857" width="9" style="3461"/>
    <col min="3858" max="3858" width="16" style="3461" bestFit="1" customWidth="1"/>
    <col min="3859" max="4098" width="9" style="3461"/>
    <col min="4099" max="4099" width="10.375" style="3461" bestFit="1" customWidth="1"/>
    <col min="4100" max="4106" width="9" style="3461"/>
    <col min="4107" max="4107" width="11.5" style="3461" bestFit="1" customWidth="1"/>
    <col min="4108" max="4109" width="9" style="3461"/>
    <col min="4110" max="4110" width="14" style="3461" bestFit="1" customWidth="1"/>
    <col min="4111" max="4113" width="9" style="3461"/>
    <col min="4114" max="4114" width="16" style="3461" bestFit="1" customWidth="1"/>
    <col min="4115" max="4354" width="9" style="3461"/>
    <col min="4355" max="4355" width="10.375" style="3461" bestFit="1" customWidth="1"/>
    <col min="4356" max="4362" width="9" style="3461"/>
    <col min="4363" max="4363" width="11.5" style="3461" bestFit="1" customWidth="1"/>
    <col min="4364" max="4365" width="9" style="3461"/>
    <col min="4366" max="4366" width="14" style="3461" bestFit="1" customWidth="1"/>
    <col min="4367" max="4369" width="9" style="3461"/>
    <col min="4370" max="4370" width="16" style="3461" bestFit="1" customWidth="1"/>
    <col min="4371" max="4610" width="9" style="3461"/>
    <col min="4611" max="4611" width="10.375" style="3461" bestFit="1" customWidth="1"/>
    <col min="4612" max="4618" width="9" style="3461"/>
    <col min="4619" max="4619" width="11.5" style="3461" bestFit="1" customWidth="1"/>
    <col min="4620" max="4621" width="9" style="3461"/>
    <col min="4622" max="4622" width="14" style="3461" bestFit="1" customWidth="1"/>
    <col min="4623" max="4625" width="9" style="3461"/>
    <col min="4626" max="4626" width="16" style="3461" bestFit="1" customWidth="1"/>
    <col min="4627" max="4866" width="9" style="3461"/>
    <col min="4867" max="4867" width="10.375" style="3461" bestFit="1" customWidth="1"/>
    <col min="4868" max="4874" width="9" style="3461"/>
    <col min="4875" max="4875" width="11.5" style="3461" bestFit="1" customWidth="1"/>
    <col min="4876" max="4877" width="9" style="3461"/>
    <col min="4878" max="4878" width="14" style="3461" bestFit="1" customWidth="1"/>
    <col min="4879" max="4881" width="9" style="3461"/>
    <col min="4882" max="4882" width="16" style="3461" bestFit="1" customWidth="1"/>
    <col min="4883" max="5122" width="9" style="3461"/>
    <col min="5123" max="5123" width="10.375" style="3461" bestFit="1" customWidth="1"/>
    <col min="5124" max="5130" width="9" style="3461"/>
    <col min="5131" max="5131" width="11.5" style="3461" bestFit="1" customWidth="1"/>
    <col min="5132" max="5133" width="9" style="3461"/>
    <col min="5134" max="5134" width="14" style="3461" bestFit="1" customWidth="1"/>
    <col min="5135" max="5137" width="9" style="3461"/>
    <col min="5138" max="5138" width="16" style="3461" bestFit="1" customWidth="1"/>
    <col min="5139" max="5378" width="9" style="3461"/>
    <col min="5379" max="5379" width="10.375" style="3461" bestFit="1" customWidth="1"/>
    <col min="5380" max="5386" width="9" style="3461"/>
    <col min="5387" max="5387" width="11.5" style="3461" bestFit="1" customWidth="1"/>
    <col min="5388" max="5389" width="9" style="3461"/>
    <col min="5390" max="5390" width="14" style="3461" bestFit="1" customWidth="1"/>
    <col min="5391" max="5393" width="9" style="3461"/>
    <col min="5394" max="5394" width="16" style="3461" bestFit="1" customWidth="1"/>
    <col min="5395" max="5634" width="9" style="3461"/>
    <col min="5635" max="5635" width="10.375" style="3461" bestFit="1" customWidth="1"/>
    <col min="5636" max="5642" width="9" style="3461"/>
    <col min="5643" max="5643" width="11.5" style="3461" bestFit="1" customWidth="1"/>
    <col min="5644" max="5645" width="9" style="3461"/>
    <col min="5646" max="5646" width="14" style="3461" bestFit="1" customWidth="1"/>
    <col min="5647" max="5649" width="9" style="3461"/>
    <col min="5650" max="5650" width="16" style="3461" bestFit="1" customWidth="1"/>
    <col min="5651" max="5890" width="9" style="3461"/>
    <col min="5891" max="5891" width="10.375" style="3461" bestFit="1" customWidth="1"/>
    <col min="5892" max="5898" width="9" style="3461"/>
    <col min="5899" max="5899" width="11.5" style="3461" bestFit="1" customWidth="1"/>
    <col min="5900" max="5901" width="9" style="3461"/>
    <col min="5902" max="5902" width="14" style="3461" bestFit="1" customWidth="1"/>
    <col min="5903" max="5905" width="9" style="3461"/>
    <col min="5906" max="5906" width="16" style="3461" bestFit="1" customWidth="1"/>
    <col min="5907" max="6146" width="9" style="3461"/>
    <col min="6147" max="6147" width="10.375" style="3461" bestFit="1" customWidth="1"/>
    <col min="6148" max="6154" width="9" style="3461"/>
    <col min="6155" max="6155" width="11.5" style="3461" bestFit="1" customWidth="1"/>
    <col min="6156" max="6157" width="9" style="3461"/>
    <col min="6158" max="6158" width="14" style="3461" bestFit="1" customWidth="1"/>
    <col min="6159" max="6161" width="9" style="3461"/>
    <col min="6162" max="6162" width="16" style="3461" bestFit="1" customWidth="1"/>
    <col min="6163" max="6402" width="9" style="3461"/>
    <col min="6403" max="6403" width="10.375" style="3461" bestFit="1" customWidth="1"/>
    <col min="6404" max="6410" width="9" style="3461"/>
    <col min="6411" max="6411" width="11.5" style="3461" bestFit="1" customWidth="1"/>
    <col min="6412" max="6413" width="9" style="3461"/>
    <col min="6414" max="6414" width="14" style="3461" bestFit="1" customWidth="1"/>
    <col min="6415" max="6417" width="9" style="3461"/>
    <col min="6418" max="6418" width="16" style="3461" bestFit="1" customWidth="1"/>
    <col min="6419" max="6658" width="9" style="3461"/>
    <col min="6659" max="6659" width="10.375" style="3461" bestFit="1" customWidth="1"/>
    <col min="6660" max="6666" width="9" style="3461"/>
    <col min="6667" max="6667" width="11.5" style="3461" bestFit="1" customWidth="1"/>
    <col min="6668" max="6669" width="9" style="3461"/>
    <col min="6670" max="6670" width="14" style="3461" bestFit="1" customWidth="1"/>
    <col min="6671" max="6673" width="9" style="3461"/>
    <col min="6674" max="6674" width="16" style="3461" bestFit="1" customWidth="1"/>
    <col min="6675" max="6914" width="9" style="3461"/>
    <col min="6915" max="6915" width="10.375" style="3461" bestFit="1" customWidth="1"/>
    <col min="6916" max="6922" width="9" style="3461"/>
    <col min="6923" max="6923" width="11.5" style="3461" bestFit="1" customWidth="1"/>
    <col min="6924" max="6925" width="9" style="3461"/>
    <col min="6926" max="6926" width="14" style="3461" bestFit="1" customWidth="1"/>
    <col min="6927" max="6929" width="9" style="3461"/>
    <col min="6930" max="6930" width="16" style="3461" bestFit="1" customWidth="1"/>
    <col min="6931" max="7170" width="9" style="3461"/>
    <col min="7171" max="7171" width="10.375" style="3461" bestFit="1" customWidth="1"/>
    <col min="7172" max="7178" width="9" style="3461"/>
    <col min="7179" max="7179" width="11.5" style="3461" bestFit="1" customWidth="1"/>
    <col min="7180" max="7181" width="9" style="3461"/>
    <col min="7182" max="7182" width="14" style="3461" bestFit="1" customWidth="1"/>
    <col min="7183" max="7185" width="9" style="3461"/>
    <col min="7186" max="7186" width="16" style="3461" bestFit="1" customWidth="1"/>
    <col min="7187" max="7426" width="9" style="3461"/>
    <col min="7427" max="7427" width="10.375" style="3461" bestFit="1" customWidth="1"/>
    <col min="7428" max="7434" width="9" style="3461"/>
    <col min="7435" max="7435" width="11.5" style="3461" bestFit="1" customWidth="1"/>
    <col min="7436" max="7437" width="9" style="3461"/>
    <col min="7438" max="7438" width="14" style="3461" bestFit="1" customWidth="1"/>
    <col min="7439" max="7441" width="9" style="3461"/>
    <col min="7442" max="7442" width="16" style="3461" bestFit="1" customWidth="1"/>
    <col min="7443" max="7682" width="9" style="3461"/>
    <col min="7683" max="7683" width="10.375" style="3461" bestFit="1" customWidth="1"/>
    <col min="7684" max="7690" width="9" style="3461"/>
    <col min="7691" max="7691" width="11.5" style="3461" bestFit="1" customWidth="1"/>
    <col min="7692" max="7693" width="9" style="3461"/>
    <col min="7694" max="7694" width="14" style="3461" bestFit="1" customWidth="1"/>
    <col min="7695" max="7697" width="9" style="3461"/>
    <col min="7698" max="7698" width="16" style="3461" bestFit="1" customWidth="1"/>
    <col min="7699" max="7938" width="9" style="3461"/>
    <col min="7939" max="7939" width="10.375" style="3461" bestFit="1" customWidth="1"/>
    <col min="7940" max="7946" width="9" style="3461"/>
    <col min="7947" max="7947" width="11.5" style="3461" bestFit="1" customWidth="1"/>
    <col min="7948" max="7949" width="9" style="3461"/>
    <col min="7950" max="7950" width="14" style="3461" bestFit="1" customWidth="1"/>
    <col min="7951" max="7953" width="9" style="3461"/>
    <col min="7954" max="7954" width="16" style="3461" bestFit="1" customWidth="1"/>
    <col min="7955" max="8194" width="9" style="3461"/>
    <col min="8195" max="8195" width="10.375" style="3461" bestFit="1" customWidth="1"/>
    <col min="8196" max="8202" width="9" style="3461"/>
    <col min="8203" max="8203" width="11.5" style="3461" bestFit="1" customWidth="1"/>
    <col min="8204" max="8205" width="9" style="3461"/>
    <col min="8206" max="8206" width="14" style="3461" bestFit="1" customWidth="1"/>
    <col min="8207" max="8209" width="9" style="3461"/>
    <col min="8210" max="8210" width="16" style="3461" bestFit="1" customWidth="1"/>
    <col min="8211" max="8450" width="9" style="3461"/>
    <col min="8451" max="8451" width="10.375" style="3461" bestFit="1" customWidth="1"/>
    <col min="8452" max="8458" width="9" style="3461"/>
    <col min="8459" max="8459" width="11.5" style="3461" bestFit="1" customWidth="1"/>
    <col min="8460" max="8461" width="9" style="3461"/>
    <col min="8462" max="8462" width="14" style="3461" bestFit="1" customWidth="1"/>
    <col min="8463" max="8465" width="9" style="3461"/>
    <col min="8466" max="8466" width="16" style="3461" bestFit="1" customWidth="1"/>
    <col min="8467" max="8706" width="9" style="3461"/>
    <col min="8707" max="8707" width="10.375" style="3461" bestFit="1" customWidth="1"/>
    <col min="8708" max="8714" width="9" style="3461"/>
    <col min="8715" max="8715" width="11.5" style="3461" bestFit="1" customWidth="1"/>
    <col min="8716" max="8717" width="9" style="3461"/>
    <col min="8718" max="8718" width="14" style="3461" bestFit="1" customWidth="1"/>
    <col min="8719" max="8721" width="9" style="3461"/>
    <col min="8722" max="8722" width="16" style="3461" bestFit="1" customWidth="1"/>
    <col min="8723" max="8962" width="9" style="3461"/>
    <col min="8963" max="8963" width="10.375" style="3461" bestFit="1" customWidth="1"/>
    <col min="8964" max="8970" width="9" style="3461"/>
    <col min="8971" max="8971" width="11.5" style="3461" bestFit="1" customWidth="1"/>
    <col min="8972" max="8973" width="9" style="3461"/>
    <col min="8974" max="8974" width="14" style="3461" bestFit="1" customWidth="1"/>
    <col min="8975" max="8977" width="9" style="3461"/>
    <col min="8978" max="8978" width="16" style="3461" bestFit="1" customWidth="1"/>
    <col min="8979" max="9218" width="9" style="3461"/>
    <col min="9219" max="9219" width="10.375" style="3461" bestFit="1" customWidth="1"/>
    <col min="9220" max="9226" width="9" style="3461"/>
    <col min="9227" max="9227" width="11.5" style="3461" bestFit="1" customWidth="1"/>
    <col min="9228" max="9229" width="9" style="3461"/>
    <col min="9230" max="9230" width="14" style="3461" bestFit="1" customWidth="1"/>
    <col min="9231" max="9233" width="9" style="3461"/>
    <col min="9234" max="9234" width="16" style="3461" bestFit="1" customWidth="1"/>
    <col min="9235" max="9474" width="9" style="3461"/>
    <col min="9475" max="9475" width="10.375" style="3461" bestFit="1" customWidth="1"/>
    <col min="9476" max="9482" width="9" style="3461"/>
    <col min="9483" max="9483" width="11.5" style="3461" bestFit="1" customWidth="1"/>
    <col min="9484" max="9485" width="9" style="3461"/>
    <col min="9486" max="9486" width="14" style="3461" bestFit="1" customWidth="1"/>
    <col min="9487" max="9489" width="9" style="3461"/>
    <col min="9490" max="9490" width="16" style="3461" bestFit="1" customWidth="1"/>
    <col min="9491" max="9730" width="9" style="3461"/>
    <col min="9731" max="9731" width="10.375" style="3461" bestFit="1" customWidth="1"/>
    <col min="9732" max="9738" width="9" style="3461"/>
    <col min="9739" max="9739" width="11.5" style="3461" bestFit="1" customWidth="1"/>
    <col min="9740" max="9741" width="9" style="3461"/>
    <col min="9742" max="9742" width="14" style="3461" bestFit="1" customWidth="1"/>
    <col min="9743" max="9745" width="9" style="3461"/>
    <col min="9746" max="9746" width="16" style="3461" bestFit="1" customWidth="1"/>
    <col min="9747" max="9986" width="9" style="3461"/>
    <col min="9987" max="9987" width="10.375" style="3461" bestFit="1" customWidth="1"/>
    <col min="9988" max="9994" width="9" style="3461"/>
    <col min="9995" max="9995" width="11.5" style="3461" bestFit="1" customWidth="1"/>
    <col min="9996" max="9997" width="9" style="3461"/>
    <col min="9998" max="9998" width="14" style="3461" bestFit="1" customWidth="1"/>
    <col min="9999" max="10001" width="9" style="3461"/>
    <col min="10002" max="10002" width="16" style="3461" bestFit="1" customWidth="1"/>
    <col min="10003" max="10242" width="9" style="3461"/>
    <col min="10243" max="10243" width="10.375" style="3461" bestFit="1" customWidth="1"/>
    <col min="10244" max="10250" width="9" style="3461"/>
    <col min="10251" max="10251" width="11.5" style="3461" bestFit="1" customWidth="1"/>
    <col min="10252" max="10253" width="9" style="3461"/>
    <col min="10254" max="10254" width="14" style="3461" bestFit="1" customWidth="1"/>
    <col min="10255" max="10257" width="9" style="3461"/>
    <col min="10258" max="10258" width="16" style="3461" bestFit="1" customWidth="1"/>
    <col min="10259" max="10498" width="9" style="3461"/>
    <col min="10499" max="10499" width="10.375" style="3461" bestFit="1" customWidth="1"/>
    <col min="10500" max="10506" width="9" style="3461"/>
    <col min="10507" max="10507" width="11.5" style="3461" bestFit="1" customWidth="1"/>
    <col min="10508" max="10509" width="9" style="3461"/>
    <col min="10510" max="10510" width="14" style="3461" bestFit="1" customWidth="1"/>
    <col min="10511" max="10513" width="9" style="3461"/>
    <col min="10514" max="10514" width="16" style="3461" bestFit="1" customWidth="1"/>
    <col min="10515" max="10754" width="9" style="3461"/>
    <col min="10755" max="10755" width="10.375" style="3461" bestFit="1" customWidth="1"/>
    <col min="10756" max="10762" width="9" style="3461"/>
    <col min="10763" max="10763" width="11.5" style="3461" bestFit="1" customWidth="1"/>
    <col min="10764" max="10765" width="9" style="3461"/>
    <col min="10766" max="10766" width="14" style="3461" bestFit="1" customWidth="1"/>
    <col min="10767" max="10769" width="9" style="3461"/>
    <col min="10770" max="10770" width="16" style="3461" bestFit="1" customWidth="1"/>
    <col min="10771" max="11010" width="9" style="3461"/>
    <col min="11011" max="11011" width="10.375" style="3461" bestFit="1" customWidth="1"/>
    <col min="11012" max="11018" width="9" style="3461"/>
    <col min="11019" max="11019" width="11.5" style="3461" bestFit="1" customWidth="1"/>
    <col min="11020" max="11021" width="9" style="3461"/>
    <col min="11022" max="11022" width="14" style="3461" bestFit="1" customWidth="1"/>
    <col min="11023" max="11025" width="9" style="3461"/>
    <col min="11026" max="11026" width="16" style="3461" bestFit="1" customWidth="1"/>
    <col min="11027" max="11266" width="9" style="3461"/>
    <col min="11267" max="11267" width="10.375" style="3461" bestFit="1" customWidth="1"/>
    <col min="11268" max="11274" width="9" style="3461"/>
    <col min="11275" max="11275" width="11.5" style="3461" bestFit="1" customWidth="1"/>
    <col min="11276" max="11277" width="9" style="3461"/>
    <col min="11278" max="11278" width="14" style="3461" bestFit="1" customWidth="1"/>
    <col min="11279" max="11281" width="9" style="3461"/>
    <col min="11282" max="11282" width="16" style="3461" bestFit="1" customWidth="1"/>
    <col min="11283" max="11522" width="9" style="3461"/>
    <col min="11523" max="11523" width="10.375" style="3461" bestFit="1" customWidth="1"/>
    <col min="11524" max="11530" width="9" style="3461"/>
    <col min="11531" max="11531" width="11.5" style="3461" bestFit="1" customWidth="1"/>
    <col min="11532" max="11533" width="9" style="3461"/>
    <col min="11534" max="11534" width="14" style="3461" bestFit="1" customWidth="1"/>
    <col min="11535" max="11537" width="9" style="3461"/>
    <col min="11538" max="11538" width="16" style="3461" bestFit="1" customWidth="1"/>
    <col min="11539" max="11778" width="9" style="3461"/>
    <col min="11779" max="11779" width="10.375" style="3461" bestFit="1" customWidth="1"/>
    <col min="11780" max="11786" width="9" style="3461"/>
    <col min="11787" max="11787" width="11.5" style="3461" bestFit="1" customWidth="1"/>
    <col min="11788" max="11789" width="9" style="3461"/>
    <col min="11790" max="11790" width="14" style="3461" bestFit="1" customWidth="1"/>
    <col min="11791" max="11793" width="9" style="3461"/>
    <col min="11794" max="11794" width="16" style="3461" bestFit="1" customWidth="1"/>
    <col min="11795" max="12034" width="9" style="3461"/>
    <col min="12035" max="12035" width="10.375" style="3461" bestFit="1" customWidth="1"/>
    <col min="12036" max="12042" width="9" style="3461"/>
    <col min="12043" max="12043" width="11.5" style="3461" bestFit="1" customWidth="1"/>
    <col min="12044" max="12045" width="9" style="3461"/>
    <col min="12046" max="12046" width="14" style="3461" bestFit="1" customWidth="1"/>
    <col min="12047" max="12049" width="9" style="3461"/>
    <col min="12050" max="12050" width="16" style="3461" bestFit="1" customWidth="1"/>
    <col min="12051" max="12290" width="9" style="3461"/>
    <col min="12291" max="12291" width="10.375" style="3461" bestFit="1" customWidth="1"/>
    <col min="12292" max="12298" width="9" style="3461"/>
    <col min="12299" max="12299" width="11.5" style="3461" bestFit="1" customWidth="1"/>
    <col min="12300" max="12301" width="9" style="3461"/>
    <col min="12302" max="12302" width="14" style="3461" bestFit="1" customWidth="1"/>
    <col min="12303" max="12305" width="9" style="3461"/>
    <col min="12306" max="12306" width="16" style="3461" bestFit="1" customWidth="1"/>
    <col min="12307" max="12546" width="9" style="3461"/>
    <col min="12547" max="12547" width="10.375" style="3461" bestFit="1" customWidth="1"/>
    <col min="12548" max="12554" width="9" style="3461"/>
    <col min="12555" max="12555" width="11.5" style="3461" bestFit="1" customWidth="1"/>
    <col min="12556" max="12557" width="9" style="3461"/>
    <col min="12558" max="12558" width="14" style="3461" bestFit="1" customWidth="1"/>
    <col min="12559" max="12561" width="9" style="3461"/>
    <col min="12562" max="12562" width="16" style="3461" bestFit="1" customWidth="1"/>
    <col min="12563" max="12802" width="9" style="3461"/>
    <col min="12803" max="12803" width="10.375" style="3461" bestFit="1" customWidth="1"/>
    <col min="12804" max="12810" width="9" style="3461"/>
    <col min="12811" max="12811" width="11.5" style="3461" bestFit="1" customWidth="1"/>
    <col min="12812" max="12813" width="9" style="3461"/>
    <col min="12814" max="12814" width="14" style="3461" bestFit="1" customWidth="1"/>
    <col min="12815" max="12817" width="9" style="3461"/>
    <col min="12818" max="12818" width="16" style="3461" bestFit="1" customWidth="1"/>
    <col min="12819" max="13058" width="9" style="3461"/>
    <col min="13059" max="13059" width="10.375" style="3461" bestFit="1" customWidth="1"/>
    <col min="13060" max="13066" width="9" style="3461"/>
    <col min="13067" max="13067" width="11.5" style="3461" bestFit="1" customWidth="1"/>
    <col min="13068" max="13069" width="9" style="3461"/>
    <col min="13070" max="13070" width="14" style="3461" bestFit="1" customWidth="1"/>
    <col min="13071" max="13073" width="9" style="3461"/>
    <col min="13074" max="13074" width="16" style="3461" bestFit="1" customWidth="1"/>
    <col min="13075" max="13314" width="9" style="3461"/>
    <col min="13315" max="13315" width="10.375" style="3461" bestFit="1" customWidth="1"/>
    <col min="13316" max="13322" width="9" style="3461"/>
    <col min="13323" max="13323" width="11.5" style="3461" bestFit="1" customWidth="1"/>
    <col min="13324" max="13325" width="9" style="3461"/>
    <col min="13326" max="13326" width="14" style="3461" bestFit="1" customWidth="1"/>
    <col min="13327" max="13329" width="9" style="3461"/>
    <col min="13330" max="13330" width="16" style="3461" bestFit="1" customWidth="1"/>
    <col min="13331" max="13570" width="9" style="3461"/>
    <col min="13571" max="13571" width="10.375" style="3461" bestFit="1" customWidth="1"/>
    <col min="13572" max="13578" width="9" style="3461"/>
    <col min="13579" max="13579" width="11.5" style="3461" bestFit="1" customWidth="1"/>
    <col min="13580" max="13581" width="9" style="3461"/>
    <col min="13582" max="13582" width="14" style="3461" bestFit="1" customWidth="1"/>
    <col min="13583" max="13585" width="9" style="3461"/>
    <col min="13586" max="13586" width="16" style="3461" bestFit="1" customWidth="1"/>
    <col min="13587" max="13826" width="9" style="3461"/>
    <col min="13827" max="13827" width="10.375" style="3461" bestFit="1" customWidth="1"/>
    <col min="13828" max="13834" width="9" style="3461"/>
    <col min="13835" max="13835" width="11.5" style="3461" bestFit="1" customWidth="1"/>
    <col min="13836" max="13837" width="9" style="3461"/>
    <col min="13838" max="13838" width="14" style="3461" bestFit="1" customWidth="1"/>
    <col min="13839" max="13841" width="9" style="3461"/>
    <col min="13842" max="13842" width="16" style="3461" bestFit="1" customWidth="1"/>
    <col min="13843" max="14082" width="9" style="3461"/>
    <col min="14083" max="14083" width="10.375" style="3461" bestFit="1" customWidth="1"/>
    <col min="14084" max="14090" width="9" style="3461"/>
    <col min="14091" max="14091" width="11.5" style="3461" bestFit="1" customWidth="1"/>
    <col min="14092" max="14093" width="9" style="3461"/>
    <col min="14094" max="14094" width="14" style="3461" bestFit="1" customWidth="1"/>
    <col min="14095" max="14097" width="9" style="3461"/>
    <col min="14098" max="14098" width="16" style="3461" bestFit="1" customWidth="1"/>
    <col min="14099" max="14338" width="9" style="3461"/>
    <col min="14339" max="14339" width="10.375" style="3461" bestFit="1" customWidth="1"/>
    <col min="14340" max="14346" width="9" style="3461"/>
    <col min="14347" max="14347" width="11.5" style="3461" bestFit="1" customWidth="1"/>
    <col min="14348" max="14349" width="9" style="3461"/>
    <col min="14350" max="14350" width="14" style="3461" bestFit="1" customWidth="1"/>
    <col min="14351" max="14353" width="9" style="3461"/>
    <col min="14354" max="14354" width="16" style="3461" bestFit="1" customWidth="1"/>
    <col min="14355" max="14594" width="9" style="3461"/>
    <col min="14595" max="14595" width="10.375" style="3461" bestFit="1" customWidth="1"/>
    <col min="14596" max="14602" width="9" style="3461"/>
    <col min="14603" max="14603" width="11.5" style="3461" bestFit="1" customWidth="1"/>
    <col min="14604" max="14605" width="9" style="3461"/>
    <col min="14606" max="14606" width="14" style="3461" bestFit="1" customWidth="1"/>
    <col min="14607" max="14609" width="9" style="3461"/>
    <col min="14610" max="14610" width="16" style="3461" bestFit="1" customWidth="1"/>
    <col min="14611" max="14850" width="9" style="3461"/>
    <col min="14851" max="14851" width="10.375" style="3461" bestFit="1" customWidth="1"/>
    <col min="14852" max="14858" width="9" style="3461"/>
    <col min="14859" max="14859" width="11.5" style="3461" bestFit="1" customWidth="1"/>
    <col min="14860" max="14861" width="9" style="3461"/>
    <col min="14862" max="14862" width="14" style="3461" bestFit="1" customWidth="1"/>
    <col min="14863" max="14865" width="9" style="3461"/>
    <col min="14866" max="14866" width="16" style="3461" bestFit="1" customWidth="1"/>
    <col min="14867" max="15106" width="9" style="3461"/>
    <col min="15107" max="15107" width="10.375" style="3461" bestFit="1" customWidth="1"/>
    <col min="15108" max="15114" width="9" style="3461"/>
    <col min="15115" max="15115" width="11.5" style="3461" bestFit="1" customWidth="1"/>
    <col min="15116" max="15117" width="9" style="3461"/>
    <col min="15118" max="15118" width="14" style="3461" bestFit="1" customWidth="1"/>
    <col min="15119" max="15121" width="9" style="3461"/>
    <col min="15122" max="15122" width="16" style="3461" bestFit="1" customWidth="1"/>
    <col min="15123" max="15362" width="9" style="3461"/>
    <col min="15363" max="15363" width="10.375" style="3461" bestFit="1" customWidth="1"/>
    <col min="15364" max="15370" width="9" style="3461"/>
    <col min="15371" max="15371" width="11.5" style="3461" bestFit="1" customWidth="1"/>
    <col min="15372" max="15373" width="9" style="3461"/>
    <col min="15374" max="15374" width="14" style="3461" bestFit="1" customWidth="1"/>
    <col min="15375" max="15377" width="9" style="3461"/>
    <col min="15378" max="15378" width="16" style="3461" bestFit="1" customWidth="1"/>
    <col min="15379" max="15618" width="9" style="3461"/>
    <col min="15619" max="15619" width="10.375" style="3461" bestFit="1" customWidth="1"/>
    <col min="15620" max="15626" width="9" style="3461"/>
    <col min="15627" max="15627" width="11.5" style="3461" bestFit="1" customWidth="1"/>
    <col min="15628" max="15629" width="9" style="3461"/>
    <col min="15630" max="15630" width="14" style="3461" bestFit="1" customWidth="1"/>
    <col min="15631" max="15633" width="9" style="3461"/>
    <col min="15634" max="15634" width="16" style="3461" bestFit="1" customWidth="1"/>
    <col min="15635" max="15874" width="9" style="3461"/>
    <col min="15875" max="15875" width="10.375" style="3461" bestFit="1" customWidth="1"/>
    <col min="15876" max="15882" width="9" style="3461"/>
    <col min="15883" max="15883" width="11.5" style="3461" bestFit="1" customWidth="1"/>
    <col min="15884" max="15885" width="9" style="3461"/>
    <col min="15886" max="15886" width="14" style="3461" bestFit="1" customWidth="1"/>
    <col min="15887" max="15889" width="9" style="3461"/>
    <col min="15890" max="15890" width="16" style="3461" bestFit="1" customWidth="1"/>
    <col min="15891" max="16130" width="9" style="3461"/>
    <col min="16131" max="16131" width="10.375" style="3461" bestFit="1" customWidth="1"/>
    <col min="16132" max="16138" width="9" style="3461"/>
    <col min="16139" max="16139" width="11.5" style="3461" bestFit="1" customWidth="1"/>
    <col min="16140" max="16141" width="9" style="3461"/>
    <col min="16142" max="16142" width="14" style="3461" bestFit="1" customWidth="1"/>
    <col min="16143" max="16145" width="9" style="3461"/>
    <col min="16146" max="16146" width="16" style="3461" bestFit="1" customWidth="1"/>
    <col min="16147" max="16384" width="9" style="3461"/>
  </cols>
  <sheetData>
    <row r="1" spans="1:21" ht="57">
      <c r="A1" s="3454" t="s">
        <v>3429</v>
      </c>
      <c r="B1" s="3455" t="s">
        <v>3430</v>
      </c>
      <c r="C1" s="3456" t="s">
        <v>3431</v>
      </c>
      <c r="D1" s="3455" t="s">
        <v>3432</v>
      </c>
      <c r="E1" s="3455" t="s">
        <v>3433</v>
      </c>
      <c r="F1" s="3455" t="s">
        <v>3434</v>
      </c>
      <c r="G1" s="3457" t="s">
        <v>3435</v>
      </c>
      <c r="H1" s="3455" t="s">
        <v>3436</v>
      </c>
      <c r="I1" s="3455" t="s">
        <v>3437</v>
      </c>
      <c r="J1" s="3455" t="s">
        <v>3438</v>
      </c>
      <c r="K1" s="3455" t="s">
        <v>3439</v>
      </c>
      <c r="L1" s="3455" t="s">
        <v>3440</v>
      </c>
      <c r="M1" s="3457" t="s">
        <v>3441</v>
      </c>
      <c r="N1" s="3455" t="s">
        <v>3442</v>
      </c>
      <c r="O1" s="3455" t="s">
        <v>3443</v>
      </c>
      <c r="P1" s="3458" t="s">
        <v>3444</v>
      </c>
      <c r="Q1" s="3459" t="s">
        <v>3445</v>
      </c>
      <c r="R1" s="3460" t="s">
        <v>3446</v>
      </c>
    </row>
    <row r="2" spans="1:21" ht="85.5">
      <c r="A2" s="3462">
        <v>1</v>
      </c>
      <c r="B2" s="3463" t="s">
        <v>3447</v>
      </c>
      <c r="C2" s="3464">
        <v>381.99</v>
      </c>
      <c r="D2" s="3463">
        <v>4</v>
      </c>
      <c r="E2" s="3465" t="s">
        <v>3448</v>
      </c>
      <c r="F2" s="3463" t="s">
        <v>3449</v>
      </c>
      <c r="G2" s="3463"/>
      <c r="H2" s="3463" t="s">
        <v>3450</v>
      </c>
      <c r="I2" s="3463">
        <v>8</v>
      </c>
      <c r="J2" s="3463" t="s">
        <v>3451</v>
      </c>
      <c r="K2" s="3463" t="s">
        <v>3452</v>
      </c>
      <c r="L2" s="3463">
        <v>80</v>
      </c>
      <c r="M2" s="3466" t="s">
        <v>3453</v>
      </c>
      <c r="N2" s="3467">
        <v>30559.200000000001</v>
      </c>
      <c r="O2" s="3462" t="s">
        <v>3454</v>
      </c>
      <c r="P2" s="3468" t="s">
        <v>3455</v>
      </c>
      <c r="Q2" s="3469">
        <v>24.9</v>
      </c>
      <c r="R2" s="3470">
        <v>251072</v>
      </c>
    </row>
    <row r="3" spans="1:21" ht="85.5">
      <c r="A3" s="3462">
        <v>2</v>
      </c>
      <c r="B3" s="3463" t="s">
        <v>3456</v>
      </c>
      <c r="C3" s="3464">
        <v>340.69</v>
      </c>
      <c r="D3" s="3463">
        <v>6</v>
      </c>
      <c r="E3" s="3465" t="s">
        <v>3448</v>
      </c>
      <c r="F3" s="3463" t="s">
        <v>3449</v>
      </c>
      <c r="G3" s="3463"/>
      <c r="H3" s="3463" t="s">
        <v>3450</v>
      </c>
      <c r="I3" s="3463">
        <v>8</v>
      </c>
      <c r="J3" s="3463" t="s">
        <v>3451</v>
      </c>
      <c r="K3" s="3463" t="s">
        <v>3452</v>
      </c>
      <c r="L3" s="3463">
        <v>80</v>
      </c>
      <c r="M3" s="3466" t="s">
        <v>3453</v>
      </c>
      <c r="N3" s="3467">
        <v>27255.200000000001</v>
      </c>
      <c r="O3" s="3462" t="s">
        <v>3457</v>
      </c>
      <c r="P3" s="3468" t="s">
        <v>3455</v>
      </c>
      <c r="Q3" s="3469">
        <v>24.15</v>
      </c>
      <c r="R3" s="3470">
        <v>217071.7</v>
      </c>
      <c r="U3" s="3461">
        <f>24/36</f>
        <v>0.66666666666666663</v>
      </c>
    </row>
    <row r="4" spans="1:21" ht="85.5">
      <c r="A4" s="3462">
        <v>3</v>
      </c>
      <c r="B4" s="3463" t="s">
        <v>3458</v>
      </c>
      <c r="C4" s="3464">
        <v>699.47</v>
      </c>
      <c r="D4" s="3463">
        <v>8</v>
      </c>
      <c r="E4" s="3465" t="s">
        <v>3448</v>
      </c>
      <c r="F4" s="3463" t="s">
        <v>3449</v>
      </c>
      <c r="G4" s="3463"/>
      <c r="H4" s="3463" t="s">
        <v>3450</v>
      </c>
      <c r="I4" s="3463">
        <v>8</v>
      </c>
      <c r="J4" s="3463" t="s">
        <v>3451</v>
      </c>
      <c r="K4" s="3463" t="s">
        <v>3452</v>
      </c>
      <c r="L4" s="3463">
        <v>80</v>
      </c>
      <c r="M4" s="3466" t="s">
        <v>3453</v>
      </c>
      <c r="N4" s="3467">
        <v>55957.599999999999</v>
      </c>
      <c r="O4" s="3462" t="s">
        <v>3459</v>
      </c>
      <c r="P4" s="3468" t="s">
        <v>3455</v>
      </c>
      <c r="Q4" s="3469">
        <v>23.08</v>
      </c>
      <c r="R4" s="3470">
        <v>426010.89</v>
      </c>
    </row>
    <row r="5" spans="1:21" ht="71.25">
      <c r="A5" s="3462">
        <v>4</v>
      </c>
      <c r="B5" s="3466" t="s">
        <v>3460</v>
      </c>
      <c r="C5" s="3471">
        <v>231.34</v>
      </c>
      <c r="D5" s="3466" t="s">
        <v>3461</v>
      </c>
      <c r="E5" s="3472" t="s">
        <v>3462</v>
      </c>
      <c r="F5" s="3466" t="s">
        <v>3463</v>
      </c>
      <c r="G5" s="3466" t="s">
        <v>3464</v>
      </c>
      <c r="H5" s="3466" t="s">
        <v>3465</v>
      </c>
      <c r="I5" s="3466">
        <v>5</v>
      </c>
      <c r="J5" s="3466" t="s">
        <v>3466</v>
      </c>
      <c r="K5" s="3466" t="s">
        <v>3467</v>
      </c>
      <c r="L5" s="3466">
        <v>80</v>
      </c>
      <c r="M5" s="3466" t="s">
        <v>3468</v>
      </c>
      <c r="N5" s="3473">
        <v>18507.2</v>
      </c>
      <c r="O5" s="3462" t="s">
        <v>3469</v>
      </c>
      <c r="P5" s="3468" t="s">
        <v>3470</v>
      </c>
      <c r="Q5" s="3474">
        <v>40.49</v>
      </c>
      <c r="R5" s="3475">
        <v>259016.94</v>
      </c>
    </row>
    <row r="6" spans="1:21" ht="57">
      <c r="A6" s="3462">
        <v>5</v>
      </c>
      <c r="B6" s="3462" t="s">
        <v>3471</v>
      </c>
      <c r="C6" s="3476">
        <v>213.76</v>
      </c>
      <c r="D6" s="3462">
        <v>14</v>
      </c>
      <c r="E6" s="3477" t="s">
        <v>3472</v>
      </c>
      <c r="F6" s="3462" t="s">
        <v>3473</v>
      </c>
      <c r="G6" s="3478"/>
      <c r="H6" s="3462" t="s">
        <v>3474</v>
      </c>
      <c r="I6" s="3462">
        <v>5</v>
      </c>
      <c r="J6" s="3463" t="s">
        <v>3475</v>
      </c>
      <c r="K6" s="3462" t="s">
        <v>3476</v>
      </c>
      <c r="L6" s="3462">
        <v>80</v>
      </c>
      <c r="M6" s="3462" t="s">
        <v>3468</v>
      </c>
      <c r="N6" s="3479">
        <v>17100.8</v>
      </c>
      <c r="O6" s="3462" t="s">
        <v>3477</v>
      </c>
      <c r="P6" s="3468" t="s">
        <v>3470</v>
      </c>
      <c r="Q6" s="3480">
        <v>36.299999999999997</v>
      </c>
      <c r="R6" s="3470">
        <v>214561.6</v>
      </c>
    </row>
    <row r="7" spans="1:21" ht="85.5">
      <c r="A7" s="3462">
        <v>6</v>
      </c>
      <c r="B7" s="3462" t="s">
        <v>3478</v>
      </c>
      <c r="C7" s="3481">
        <v>3589.42</v>
      </c>
      <c r="D7" s="3478" t="s">
        <v>3479</v>
      </c>
      <c r="E7" s="3477" t="s">
        <v>3480</v>
      </c>
      <c r="F7" s="3478" t="s">
        <v>3481</v>
      </c>
      <c r="G7" s="3462" t="s">
        <v>3482</v>
      </c>
      <c r="H7" s="3482" t="s">
        <v>3483</v>
      </c>
      <c r="I7" s="3462">
        <v>15</v>
      </c>
      <c r="J7" s="3462" t="s">
        <v>3484</v>
      </c>
      <c r="K7" s="3462"/>
      <c r="L7" s="3462">
        <v>80</v>
      </c>
      <c r="M7" s="3462" t="s">
        <v>3485</v>
      </c>
      <c r="N7" s="3479">
        <v>287153.59999999998</v>
      </c>
      <c r="O7" s="3462" t="s">
        <v>3486</v>
      </c>
      <c r="P7" s="3468" t="s">
        <v>3470</v>
      </c>
      <c r="Q7" s="3483">
        <v>3.05</v>
      </c>
      <c r="R7" s="3484">
        <f>333333.33+100000</f>
        <v>433333.33</v>
      </c>
    </row>
    <row r="8" spans="1:21" ht="85.5">
      <c r="A8" s="3462">
        <v>7</v>
      </c>
      <c r="B8" s="3485" t="s">
        <v>3487</v>
      </c>
      <c r="C8" s="3486">
        <v>712.99</v>
      </c>
      <c r="D8" s="3487">
        <v>42</v>
      </c>
      <c r="E8" s="3487" t="s">
        <v>3488</v>
      </c>
      <c r="F8" s="3487" t="s">
        <v>3489</v>
      </c>
      <c r="G8" s="3487" t="s">
        <v>3490</v>
      </c>
      <c r="H8" s="3462" t="s">
        <v>3491</v>
      </c>
      <c r="I8" s="3462">
        <v>6</v>
      </c>
      <c r="J8" s="3488" t="s">
        <v>3492</v>
      </c>
      <c r="K8" s="3462" t="s">
        <v>3452</v>
      </c>
      <c r="L8" s="3462">
        <v>80</v>
      </c>
      <c r="M8" s="3462" t="s">
        <v>3468</v>
      </c>
      <c r="N8" s="3479">
        <v>57039.199999999997</v>
      </c>
      <c r="O8" s="3462" t="s">
        <v>3493</v>
      </c>
      <c r="P8" s="3468" t="s">
        <v>3470</v>
      </c>
      <c r="Q8" s="3489">
        <v>16.809999999999999</v>
      </c>
      <c r="R8" s="3470">
        <v>364554.76</v>
      </c>
    </row>
    <row r="9" spans="1:21" ht="114">
      <c r="A9" s="3462">
        <v>8</v>
      </c>
      <c r="B9" s="3485" t="s">
        <v>3494</v>
      </c>
      <c r="C9" s="3486">
        <v>511.14</v>
      </c>
      <c r="D9" s="3487" t="s">
        <v>3495</v>
      </c>
      <c r="E9" s="3487" t="s">
        <v>3496</v>
      </c>
      <c r="F9" s="3487" t="s">
        <v>3497</v>
      </c>
      <c r="G9" s="3487" t="s">
        <v>3498</v>
      </c>
      <c r="H9" s="3490" t="s">
        <v>3499</v>
      </c>
      <c r="I9" s="3462" t="s">
        <v>3500</v>
      </c>
      <c r="J9" s="3462" t="s">
        <v>3501</v>
      </c>
      <c r="K9" s="3462" t="s">
        <v>3502</v>
      </c>
      <c r="L9" s="3462">
        <v>80</v>
      </c>
      <c r="M9" s="3462" t="s">
        <v>3503</v>
      </c>
      <c r="N9" s="3479">
        <v>40891.199999999997</v>
      </c>
      <c r="O9" s="3462" t="s">
        <v>3504</v>
      </c>
      <c r="P9" s="3468" t="s">
        <v>3455</v>
      </c>
      <c r="Q9" s="3489">
        <v>6.6</v>
      </c>
      <c r="R9" s="3470">
        <v>88968.71</v>
      </c>
    </row>
    <row r="10" spans="1:21" ht="171">
      <c r="A10" s="3462">
        <v>9</v>
      </c>
      <c r="B10" s="3485" t="s">
        <v>3505</v>
      </c>
      <c r="C10" s="3486">
        <v>34.840000000000003</v>
      </c>
      <c r="D10" s="3487">
        <v>44</v>
      </c>
      <c r="E10" s="3491" t="s">
        <v>3506</v>
      </c>
      <c r="F10" s="3487" t="s">
        <v>3507</v>
      </c>
      <c r="G10" s="3492" t="s">
        <v>3508</v>
      </c>
      <c r="H10" s="3488" t="s">
        <v>3509</v>
      </c>
      <c r="I10" s="3462">
        <v>5</v>
      </c>
      <c r="J10" s="3462" t="s">
        <v>3510</v>
      </c>
      <c r="K10" s="3462" t="s">
        <v>3511</v>
      </c>
      <c r="L10" s="3462">
        <v>80</v>
      </c>
      <c r="M10" s="3462" t="s">
        <v>3512</v>
      </c>
      <c r="N10" s="3479">
        <v>2787.2</v>
      </c>
      <c r="O10" s="3493" t="s">
        <v>3513</v>
      </c>
      <c r="P10" s="3468" t="s">
        <v>3470</v>
      </c>
      <c r="Q10" s="3489">
        <v>14.75</v>
      </c>
      <c r="R10" s="3470">
        <v>16000.67</v>
      </c>
    </row>
    <row r="11" spans="1:21" ht="114">
      <c r="A11" s="3462">
        <v>10</v>
      </c>
      <c r="B11" s="3485" t="s">
        <v>3514</v>
      </c>
      <c r="C11" s="3486">
        <v>230.32</v>
      </c>
      <c r="D11" s="3487">
        <v>44</v>
      </c>
      <c r="E11" s="3487" t="s">
        <v>3515</v>
      </c>
      <c r="F11" s="3487" t="s">
        <v>3516</v>
      </c>
      <c r="G11" s="3492" t="s">
        <v>3517</v>
      </c>
      <c r="H11" s="3462" t="s">
        <v>3518</v>
      </c>
      <c r="I11" s="3462">
        <v>5</v>
      </c>
      <c r="J11" s="3462" t="s">
        <v>3519</v>
      </c>
      <c r="K11" s="3462" t="s">
        <v>3520</v>
      </c>
      <c r="L11" s="3462">
        <v>80</v>
      </c>
      <c r="M11" s="3462" t="s">
        <v>3512</v>
      </c>
      <c r="N11" s="3479">
        <v>18425.599999999999</v>
      </c>
      <c r="O11" s="3462" t="s">
        <v>3521</v>
      </c>
      <c r="P11" s="3494" t="s">
        <v>3470</v>
      </c>
      <c r="Q11" s="3489">
        <v>17.68</v>
      </c>
      <c r="R11" s="3470">
        <v>112579.46</v>
      </c>
    </row>
    <row r="12" spans="1:21" ht="99.75">
      <c r="A12" s="3462">
        <v>11</v>
      </c>
      <c r="B12" s="3485" t="s">
        <v>3419</v>
      </c>
      <c r="C12" s="3476">
        <v>1796.03</v>
      </c>
      <c r="D12" s="3463" t="s">
        <v>3522</v>
      </c>
      <c r="E12" s="3465" t="s">
        <v>3523</v>
      </c>
      <c r="F12" s="3462" t="s">
        <v>3524</v>
      </c>
      <c r="G12" s="3462"/>
      <c r="H12" s="3482" t="s">
        <v>3483</v>
      </c>
      <c r="I12" s="3462">
        <v>8</v>
      </c>
      <c r="J12" s="3462" t="s">
        <v>3525</v>
      </c>
      <c r="K12" s="3462" t="s">
        <v>3526</v>
      </c>
      <c r="L12" s="3462">
        <v>80</v>
      </c>
      <c r="M12" s="3462" t="s">
        <v>3527</v>
      </c>
      <c r="N12" s="3479">
        <v>143682.4</v>
      </c>
      <c r="O12" s="3462" t="s">
        <v>3528</v>
      </c>
      <c r="P12" s="3494" t="s">
        <v>3470</v>
      </c>
      <c r="Q12" s="3495">
        <v>14.29</v>
      </c>
      <c r="R12" s="3470">
        <v>709633.9</v>
      </c>
    </row>
    <row r="13" spans="1:21" ht="114">
      <c r="A13" s="3462">
        <v>12</v>
      </c>
      <c r="B13" s="3485" t="s">
        <v>3529</v>
      </c>
      <c r="C13" s="3486">
        <v>1410.95</v>
      </c>
      <c r="D13" s="3492" t="s">
        <v>3530</v>
      </c>
      <c r="E13" s="3496" t="s">
        <v>3531</v>
      </c>
      <c r="F13" s="3492" t="s">
        <v>3532</v>
      </c>
      <c r="G13" s="3492" t="s">
        <v>3532</v>
      </c>
      <c r="H13" s="3497" t="s">
        <v>3499</v>
      </c>
      <c r="I13" s="3478">
        <v>8</v>
      </c>
      <c r="J13" s="3478" t="s">
        <v>3533</v>
      </c>
      <c r="K13" s="3478" t="s">
        <v>3534</v>
      </c>
      <c r="L13" s="3478">
        <v>80</v>
      </c>
      <c r="M13" s="3478" t="s">
        <v>3535</v>
      </c>
      <c r="N13" s="3498">
        <v>112876</v>
      </c>
      <c r="O13" s="3462" t="s">
        <v>3536</v>
      </c>
      <c r="P13" s="3494" t="s">
        <v>3455</v>
      </c>
      <c r="Q13" s="3499">
        <v>13.87</v>
      </c>
      <c r="R13" s="3470">
        <v>447188.84</v>
      </c>
    </row>
    <row r="14" spans="1:21" ht="114">
      <c r="A14" s="3462">
        <v>13</v>
      </c>
      <c r="B14" s="3485" t="s">
        <v>3537</v>
      </c>
      <c r="C14" s="3476">
        <v>71.599999999999994</v>
      </c>
      <c r="D14" s="3462">
        <v>64</v>
      </c>
      <c r="E14" s="3463" t="s">
        <v>3538</v>
      </c>
      <c r="F14" s="3462" t="s">
        <v>3539</v>
      </c>
      <c r="G14" s="3500" t="s">
        <v>3540</v>
      </c>
      <c r="H14" s="3490" t="s">
        <v>3499</v>
      </c>
      <c r="I14" s="3462">
        <v>4</v>
      </c>
      <c r="J14" s="3462" t="s">
        <v>3541</v>
      </c>
      <c r="K14" s="3462" t="s">
        <v>3452</v>
      </c>
      <c r="L14" s="3462">
        <v>48</v>
      </c>
      <c r="M14" s="3462" t="s">
        <v>3542</v>
      </c>
      <c r="N14" s="3479">
        <v>3436.8</v>
      </c>
      <c r="O14" s="3462" t="s">
        <v>3543</v>
      </c>
      <c r="P14" s="3494" t="s">
        <v>3470</v>
      </c>
      <c r="Q14" s="3501">
        <v>23.68</v>
      </c>
      <c r="R14" s="3470">
        <v>46877.86</v>
      </c>
    </row>
    <row r="15" spans="1:21" ht="114">
      <c r="A15" s="3462">
        <v>14</v>
      </c>
      <c r="B15" s="3485" t="s">
        <v>3544</v>
      </c>
      <c r="C15" s="3476">
        <v>71.61</v>
      </c>
      <c r="D15" s="3462">
        <v>64</v>
      </c>
      <c r="E15" s="3462" t="s">
        <v>3545</v>
      </c>
      <c r="F15" s="3462" t="s">
        <v>3546</v>
      </c>
      <c r="G15" s="3500" t="s">
        <v>3547</v>
      </c>
      <c r="H15" s="3462" t="s">
        <v>3548</v>
      </c>
      <c r="I15" s="3462">
        <v>3</v>
      </c>
      <c r="J15" s="3462" t="s">
        <v>3549</v>
      </c>
      <c r="K15" s="3462" t="s">
        <v>3550</v>
      </c>
      <c r="L15" s="3462">
        <v>48</v>
      </c>
      <c r="M15" s="3462" t="s">
        <v>3485</v>
      </c>
      <c r="N15" s="3479">
        <v>3437.28</v>
      </c>
      <c r="O15" s="3462" t="s">
        <v>3551</v>
      </c>
      <c r="P15" s="3494" t="s">
        <v>3470</v>
      </c>
      <c r="Q15" s="3501">
        <v>11.77</v>
      </c>
      <c r="R15" s="3470">
        <v>25636.68</v>
      </c>
    </row>
    <row r="16" spans="1:21" ht="128.25">
      <c r="A16" s="3462">
        <v>15</v>
      </c>
      <c r="B16" s="3485" t="s">
        <v>3552</v>
      </c>
      <c r="C16" s="3476">
        <v>81.14</v>
      </c>
      <c r="D16" s="3462">
        <v>66</v>
      </c>
      <c r="E16" s="3462" t="s">
        <v>3553</v>
      </c>
      <c r="F16" s="3462" t="s">
        <v>3554</v>
      </c>
      <c r="G16" s="3500" t="s">
        <v>3555</v>
      </c>
      <c r="H16" s="3462" t="s">
        <v>3548</v>
      </c>
      <c r="I16" s="3462">
        <v>5</v>
      </c>
      <c r="J16" s="3462" t="s">
        <v>3556</v>
      </c>
      <c r="K16" s="3462" t="s">
        <v>3557</v>
      </c>
      <c r="L16" s="3462">
        <v>48</v>
      </c>
      <c r="M16" s="3462" t="s">
        <v>3485</v>
      </c>
      <c r="N16" s="3479">
        <v>3894.72</v>
      </c>
      <c r="O16" s="3462" t="s">
        <v>3558</v>
      </c>
      <c r="P16" s="3494" t="s">
        <v>3559</v>
      </c>
      <c r="Q16" s="3501">
        <v>17.37</v>
      </c>
      <c r="R16" s="3475">
        <v>42869.3</v>
      </c>
    </row>
    <row r="17" spans="1:18" ht="128.25">
      <c r="A17" s="3462">
        <v>16</v>
      </c>
      <c r="B17" s="3502" t="s">
        <v>3560</v>
      </c>
      <c r="C17" s="3464">
        <v>95.93</v>
      </c>
      <c r="D17" s="3463">
        <v>66</v>
      </c>
      <c r="E17" s="3463" t="s">
        <v>3561</v>
      </c>
      <c r="F17" s="3463" t="s">
        <v>3562</v>
      </c>
      <c r="G17" s="3500" t="s">
        <v>3563</v>
      </c>
      <c r="H17" s="3500" t="s">
        <v>3564</v>
      </c>
      <c r="I17" s="3463">
        <v>5</v>
      </c>
      <c r="J17" s="3463" t="s">
        <v>3556</v>
      </c>
      <c r="K17" s="3463" t="s">
        <v>3557</v>
      </c>
      <c r="L17" s="3463">
        <v>48</v>
      </c>
      <c r="M17" s="3463" t="s">
        <v>3565</v>
      </c>
      <c r="N17" s="3503">
        <v>4604.6400000000003</v>
      </c>
      <c r="O17" s="3504" t="s">
        <v>3566</v>
      </c>
      <c r="P17" s="3505" t="s">
        <v>3559</v>
      </c>
      <c r="Q17" s="3501">
        <v>17.37</v>
      </c>
      <c r="R17" s="3475">
        <v>50683.42</v>
      </c>
    </row>
    <row r="18" spans="1:18" ht="128.25">
      <c r="A18" s="3462">
        <v>17</v>
      </c>
      <c r="B18" s="3506" t="s">
        <v>3567</v>
      </c>
      <c r="C18" s="3471">
        <v>973.07</v>
      </c>
      <c r="D18" s="3462">
        <v>64</v>
      </c>
      <c r="E18" s="3462" t="s">
        <v>3568</v>
      </c>
      <c r="F18" s="3462" t="s">
        <v>3569</v>
      </c>
      <c r="G18" s="3462" t="s">
        <v>3569</v>
      </c>
      <c r="H18" s="3490" t="s">
        <v>3499</v>
      </c>
      <c r="I18" s="3462">
        <v>8</v>
      </c>
      <c r="J18" s="3462" t="s">
        <v>3570</v>
      </c>
      <c r="K18" s="3462" t="s">
        <v>3571</v>
      </c>
      <c r="L18" s="3462">
        <v>40</v>
      </c>
      <c r="M18" s="3462" t="s">
        <v>3572</v>
      </c>
      <c r="N18" s="3479">
        <v>38922.800000000003</v>
      </c>
      <c r="O18" s="3462" t="s">
        <v>3573</v>
      </c>
      <c r="P18" s="3493" t="s">
        <v>3470</v>
      </c>
      <c r="Q18" s="3507">
        <v>5.79</v>
      </c>
      <c r="R18" s="3470">
        <v>163082.48000000001</v>
      </c>
    </row>
    <row r="19" spans="1:18" ht="213.75">
      <c r="A19" s="3462">
        <v>18</v>
      </c>
      <c r="B19" s="3506" t="s">
        <v>3574</v>
      </c>
      <c r="C19" s="3471">
        <v>2402.0500000000002</v>
      </c>
      <c r="D19" s="3508" t="s">
        <v>3575</v>
      </c>
      <c r="E19" s="3509" t="s">
        <v>3576</v>
      </c>
      <c r="F19" s="3508" t="s">
        <v>3577</v>
      </c>
      <c r="G19" s="3508"/>
      <c r="H19" s="3510" t="s">
        <v>3578</v>
      </c>
      <c r="I19" s="3508">
        <v>8</v>
      </c>
      <c r="J19" s="3508" t="s">
        <v>3579</v>
      </c>
      <c r="K19" s="3508" t="s">
        <v>3580</v>
      </c>
      <c r="L19" s="3508">
        <v>48</v>
      </c>
      <c r="M19" s="3511" t="s">
        <v>3468</v>
      </c>
      <c r="N19" s="3512">
        <v>115298.4</v>
      </c>
      <c r="O19" s="3462" t="s">
        <v>3581</v>
      </c>
      <c r="P19" s="3493" t="s">
        <v>3470</v>
      </c>
      <c r="Q19" s="3507">
        <v>7.85</v>
      </c>
      <c r="R19" s="3470">
        <v>474174.68</v>
      </c>
    </row>
    <row r="20" spans="1:18">
      <c r="C20" s="3513">
        <f>SUM(C2:C19)</f>
        <v>13848.34</v>
      </c>
      <c r="I20" s="3514"/>
      <c r="R20" s="3515">
        <f>SUM(R2:R19)</f>
        <v>4343317.22</v>
      </c>
    </row>
    <row r="21" spans="1:18">
      <c r="I21" s="3514"/>
    </row>
    <row r="22" spans="1:18">
      <c r="I22" s="3514"/>
    </row>
    <row r="23" spans="1:18">
      <c r="I23" s="3514"/>
      <c r="K23" s="3461">
        <f>R20/C20/30</f>
        <v>10.454483401379997</v>
      </c>
    </row>
  </sheetData>
  <phoneticPr fontId="135" type="noConversion"/>
  <pageMargins left="0.75" right="0.75" top="1" bottom="1" header="0.51180555555555551" footer="0.51180555555555551"/>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61" t="s">
        <v>2606</v>
      </c>
      <c r="B20" s="3856" t="s">
        <v>2627</v>
      </c>
      <c r="C20" s="3100" t="s">
        <v>2438</v>
      </c>
      <c r="D20" s="3101"/>
      <c r="E20" s="3102">
        <v>1</v>
      </c>
      <c r="F20" s="3103" t="s">
        <v>2439</v>
      </c>
      <c r="G20" s="3103"/>
    </row>
    <row r="21" spans="1:13" ht="19.5" customHeight="1">
      <c r="A21" s="3862"/>
      <c r="B21" s="3855"/>
      <c r="C21" s="3104" t="s">
        <v>2440</v>
      </c>
      <c r="D21" s="3105"/>
      <c r="E21" s="3106">
        <v>1</v>
      </c>
      <c r="F21" s="3103" t="s">
        <v>2441</v>
      </c>
      <c r="G21" s="3103"/>
    </row>
    <row r="22" spans="1:13" ht="19.5" customHeight="1">
      <c r="A22" s="3862"/>
      <c r="B22" s="3855"/>
      <c r="C22" s="3104" t="s">
        <v>2442</v>
      </c>
      <c r="D22" s="3105"/>
      <c r="E22" s="3106">
        <v>0.9</v>
      </c>
      <c r="F22" s="3103" t="s">
        <v>2443</v>
      </c>
      <c r="G22" s="3103"/>
    </row>
    <row r="23" spans="1:13" ht="19.5" customHeight="1">
      <c r="A23" s="3862"/>
      <c r="B23" s="3855"/>
      <c r="C23" s="3104" t="s">
        <v>2444</v>
      </c>
      <c r="D23" s="3105"/>
      <c r="E23" s="3106">
        <v>0.9</v>
      </c>
      <c r="F23" s="3103" t="s">
        <v>2445</v>
      </c>
      <c r="G23" s="3103"/>
    </row>
    <row r="24" spans="1:13" ht="19.5" customHeight="1">
      <c r="A24" s="3862"/>
      <c r="B24" s="3855"/>
      <c r="C24" s="3104" t="s">
        <v>2446</v>
      </c>
      <c r="D24" s="3105"/>
      <c r="E24" s="3106">
        <v>0.8</v>
      </c>
      <c r="F24" s="3103" t="s">
        <v>2447</v>
      </c>
      <c r="G24" s="3103"/>
    </row>
    <row r="25" spans="1:13" ht="19.5" customHeight="1" thickBot="1">
      <c r="A25" s="3863"/>
      <c r="B25" s="3857"/>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58" t="s">
        <v>2630</v>
      </c>
      <c r="B27" s="3856" t="s">
        <v>2611</v>
      </c>
      <c r="C27" s="3100" t="s">
        <v>2451</v>
      </c>
      <c r="D27" s="3101"/>
      <c r="E27" s="3102">
        <v>1</v>
      </c>
      <c r="F27" s="3103" t="s">
        <v>2452</v>
      </c>
      <c r="G27" s="3103"/>
    </row>
    <row r="28" spans="1:13" ht="19.5" customHeight="1">
      <c r="A28" s="3859"/>
      <c r="B28" s="3855"/>
      <c r="C28" s="3104" t="s">
        <v>2453</v>
      </c>
      <c r="D28" s="3105"/>
      <c r="E28" s="3106">
        <v>1</v>
      </c>
      <c r="F28" s="3103" t="s">
        <v>2454</v>
      </c>
      <c r="G28" s="3103"/>
    </row>
    <row r="29" spans="1:13" ht="19.5" customHeight="1">
      <c r="A29" s="3859"/>
      <c r="B29" s="3855"/>
      <c r="C29" s="3104" t="s">
        <v>2455</v>
      </c>
      <c r="D29" s="3105"/>
      <c r="E29" s="3106">
        <v>0.8</v>
      </c>
      <c r="F29" s="3103" t="s">
        <v>2456</v>
      </c>
      <c r="G29" s="3103"/>
    </row>
    <row r="30" spans="1:13" ht="19.5" customHeight="1">
      <c r="A30" s="3859"/>
      <c r="B30" s="3855"/>
      <c r="C30" s="3104" t="s">
        <v>2457</v>
      </c>
      <c r="D30" s="3105"/>
      <c r="E30" s="3106">
        <v>0.8</v>
      </c>
      <c r="F30" s="3103" t="s">
        <v>2458</v>
      </c>
      <c r="G30" s="3103"/>
    </row>
    <row r="31" spans="1:13" ht="19.5" customHeight="1">
      <c r="A31" s="3859"/>
      <c r="B31" s="3855"/>
      <c r="C31" s="3104" t="s">
        <v>2459</v>
      </c>
      <c r="D31" s="3105"/>
      <c r="E31" s="3106">
        <v>0.8</v>
      </c>
      <c r="F31" s="3103" t="s">
        <v>2460</v>
      </c>
      <c r="G31" s="3103"/>
    </row>
    <row r="32" spans="1:13" ht="19.5" customHeight="1">
      <c r="A32" s="3859"/>
      <c r="B32" s="3855"/>
      <c r="C32" s="3104" t="s">
        <v>2461</v>
      </c>
      <c r="D32" s="3105"/>
      <c r="E32" s="3106">
        <v>0.7</v>
      </c>
      <c r="F32" s="3103" t="s">
        <v>2462</v>
      </c>
      <c r="G32" s="3103"/>
    </row>
    <row r="33" spans="1:7" ht="19.5" customHeight="1">
      <c r="A33" s="3859"/>
      <c r="B33" s="3855"/>
      <c r="C33" s="3104" t="s">
        <v>2463</v>
      </c>
      <c r="D33" s="3105"/>
      <c r="E33" s="3106">
        <v>0.8</v>
      </c>
      <c r="F33" s="3103" t="s">
        <v>2464</v>
      </c>
      <c r="G33" s="3103"/>
    </row>
    <row r="34" spans="1:7" ht="19.5" customHeight="1">
      <c r="A34" s="3859"/>
      <c r="B34" s="3855"/>
      <c r="C34" s="3104" t="s">
        <v>2465</v>
      </c>
      <c r="D34" s="3105"/>
      <c r="E34" s="3106">
        <v>0.6</v>
      </c>
      <c r="F34" s="3103" t="s">
        <v>2466</v>
      </c>
      <c r="G34" s="3103"/>
    </row>
    <row r="35" spans="1:7" ht="19.5" customHeight="1">
      <c r="A35" s="3859"/>
      <c r="B35" s="3855"/>
      <c r="C35" s="3104" t="s">
        <v>2467</v>
      </c>
      <c r="D35" s="3105"/>
      <c r="E35" s="3106">
        <v>0.2</v>
      </c>
      <c r="F35" s="3103" t="s">
        <v>2468</v>
      </c>
      <c r="G35" s="3103"/>
    </row>
    <row r="36" spans="1:7" ht="19.5" customHeight="1">
      <c r="A36" s="3859"/>
      <c r="B36" s="3855"/>
      <c r="C36" s="3104" t="s">
        <v>2469</v>
      </c>
      <c r="D36" s="3105"/>
      <c r="E36" s="3106">
        <v>0.2</v>
      </c>
      <c r="F36" s="3103" t="s">
        <v>2470</v>
      </c>
      <c r="G36" s="3103"/>
    </row>
    <row r="37" spans="1:7" ht="19.5" customHeight="1">
      <c r="A37" s="3859"/>
      <c r="B37" s="3853" t="s">
        <v>2631</v>
      </c>
      <c r="C37" s="3104" t="s">
        <v>2471</v>
      </c>
      <c r="D37" s="3105"/>
      <c r="E37" s="3106">
        <v>0.6</v>
      </c>
      <c r="F37" s="3103" t="s">
        <v>2472</v>
      </c>
      <c r="G37" s="3103"/>
    </row>
    <row r="38" spans="1:7" ht="19.5" customHeight="1">
      <c r="A38" s="3859"/>
      <c r="B38" s="3855"/>
      <c r="C38" s="3104" t="s">
        <v>2473</v>
      </c>
      <c r="D38" s="3105"/>
      <c r="E38" s="3106">
        <v>0.6</v>
      </c>
      <c r="F38" s="3103" t="s">
        <v>2474</v>
      </c>
      <c r="G38" s="3103"/>
    </row>
    <row r="39" spans="1:7" ht="19.5" customHeight="1" thickBot="1">
      <c r="A39" s="3860"/>
      <c r="B39" s="3857"/>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61" t="s">
        <v>2609</v>
      </c>
      <c r="B41" s="3856" t="s">
        <v>2633</v>
      </c>
      <c r="C41" s="3100" t="s">
        <v>2478</v>
      </c>
      <c r="D41" s="3101"/>
      <c r="E41" s="3102">
        <v>1</v>
      </c>
      <c r="F41" s="3103" t="s">
        <v>2479</v>
      </c>
      <c r="G41" s="3103"/>
    </row>
    <row r="42" spans="1:7" ht="19.5" customHeight="1">
      <c r="A42" s="3862"/>
      <c r="B42" s="3855"/>
      <c r="C42" s="3104" t="s">
        <v>2480</v>
      </c>
      <c r="D42" s="3105"/>
      <c r="E42" s="3106">
        <v>1</v>
      </c>
      <c r="F42" s="3103" t="s">
        <v>2481</v>
      </c>
      <c r="G42" s="3103"/>
    </row>
    <row r="43" spans="1:7" ht="19.5" customHeight="1">
      <c r="A43" s="3862"/>
      <c r="B43" s="3854"/>
      <c r="C43" s="3104" t="s">
        <v>2482</v>
      </c>
      <c r="D43" s="3105"/>
      <c r="E43" s="3106">
        <v>1.5</v>
      </c>
      <c r="F43" s="3103" t="s">
        <v>2483</v>
      </c>
      <c r="G43" s="3103"/>
    </row>
    <row r="44" spans="1:7" ht="19.5" customHeight="1">
      <c r="A44" s="3862"/>
      <c r="B44" s="3115" t="s">
        <v>2634</v>
      </c>
      <c r="C44" s="3104" t="s">
        <v>2635</v>
      </c>
      <c r="D44" s="3105"/>
      <c r="E44" s="3106">
        <v>2</v>
      </c>
      <c r="F44" s="3103" t="s">
        <v>2484</v>
      </c>
      <c r="G44" s="3103"/>
    </row>
    <row r="45" spans="1:7" ht="19.5" customHeight="1">
      <c r="A45" s="3862"/>
      <c r="B45" s="3853" t="s">
        <v>2636</v>
      </c>
      <c r="C45" s="3104" t="s">
        <v>2485</v>
      </c>
      <c r="D45" s="3105"/>
      <c r="E45" s="3106">
        <v>1</v>
      </c>
      <c r="F45" s="3103" t="s">
        <v>2486</v>
      </c>
      <c r="G45" s="3103"/>
    </row>
    <row r="46" spans="1:7" ht="19.5" customHeight="1">
      <c r="A46" s="3862"/>
      <c r="B46" s="3855"/>
      <c r="C46" s="3104" t="s">
        <v>2487</v>
      </c>
      <c r="D46" s="3105"/>
      <c r="E46" s="3106">
        <v>1</v>
      </c>
      <c r="F46" s="3103" t="s">
        <v>2488</v>
      </c>
      <c r="G46" s="3103"/>
    </row>
    <row r="47" spans="1:7" ht="19.5" customHeight="1">
      <c r="A47" s="3862"/>
      <c r="B47" s="3855"/>
      <c r="C47" s="3104" t="s">
        <v>2489</v>
      </c>
      <c r="D47" s="3105"/>
      <c r="E47" s="3106">
        <v>1</v>
      </c>
      <c r="F47" s="3103" t="s">
        <v>2490</v>
      </c>
      <c r="G47" s="3103"/>
    </row>
    <row r="48" spans="1:7" ht="19.5" customHeight="1">
      <c r="A48" s="3862"/>
      <c r="B48" s="3855"/>
      <c r="C48" s="3104" t="s">
        <v>2491</v>
      </c>
      <c r="D48" s="3105"/>
      <c r="E48" s="3106">
        <v>1</v>
      </c>
      <c r="F48" s="3103" t="s">
        <v>2492</v>
      </c>
      <c r="G48" s="3103"/>
    </row>
    <row r="49" spans="1:7" ht="19.5" customHeight="1">
      <c r="A49" s="3862"/>
      <c r="B49" s="3855"/>
      <c r="C49" s="3104" t="s">
        <v>2493</v>
      </c>
      <c r="D49" s="3105"/>
      <c r="E49" s="3106">
        <v>1</v>
      </c>
      <c r="F49" s="3103" t="s">
        <v>2494</v>
      </c>
      <c r="G49" s="3103"/>
    </row>
    <row r="50" spans="1:7" ht="19.5" customHeight="1">
      <c r="A50" s="3862"/>
      <c r="B50" s="3855"/>
      <c r="C50" s="3104" t="s">
        <v>2495</v>
      </c>
      <c r="D50" s="3105"/>
      <c r="E50" s="3106">
        <v>1</v>
      </c>
      <c r="F50" s="3103" t="s">
        <v>2496</v>
      </c>
      <c r="G50" s="3103"/>
    </row>
    <row r="51" spans="1:7" ht="19.5" customHeight="1" thickBot="1">
      <c r="A51" s="3863"/>
      <c r="B51" s="3857"/>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53" t="s">
        <v>2650</v>
      </c>
      <c r="C73" s="3089" t="s">
        <v>2651</v>
      </c>
      <c r="D73" s="3089" t="s">
        <v>2652</v>
      </c>
      <c r="E73" s="3115">
        <v>0.2</v>
      </c>
      <c r="F73" s="3115">
        <v>25</v>
      </c>
    </row>
    <row r="74" spans="1:7" ht="24">
      <c r="A74" s="3115">
        <v>2</v>
      </c>
      <c r="B74" s="3855"/>
      <c r="C74" s="3089" t="s">
        <v>2653</v>
      </c>
      <c r="D74" s="3089" t="s">
        <v>2654</v>
      </c>
      <c r="E74" s="3115">
        <v>0.2</v>
      </c>
      <c r="F74" s="3115">
        <v>25</v>
      </c>
    </row>
    <row r="75" spans="1:7" ht="24">
      <c r="A75" s="3115">
        <v>3</v>
      </c>
      <c r="B75" s="3855"/>
      <c r="C75" s="3089" t="s">
        <v>2655</v>
      </c>
      <c r="D75" s="3089" t="s">
        <v>2656</v>
      </c>
      <c r="E75" s="3115">
        <v>0.2</v>
      </c>
      <c r="F75" s="3115">
        <v>25</v>
      </c>
    </row>
    <row r="76" spans="1:7" ht="13.5">
      <c r="A76" s="3115">
        <v>4</v>
      </c>
      <c r="B76" s="3855"/>
      <c r="C76" s="3089" t="s">
        <v>2657</v>
      </c>
      <c r="D76" s="3089" t="s">
        <v>2658</v>
      </c>
      <c r="E76" s="3115">
        <v>0.15</v>
      </c>
      <c r="F76" s="3115">
        <v>20</v>
      </c>
    </row>
    <row r="77" spans="1:7" ht="24">
      <c r="A77" s="3115">
        <v>5</v>
      </c>
      <c r="B77" s="3855"/>
      <c r="C77" s="3089" t="s">
        <v>2659</v>
      </c>
      <c r="D77" s="3089" t="s">
        <v>2660</v>
      </c>
      <c r="E77" s="3115">
        <v>0.15</v>
      </c>
      <c r="F77" s="3115">
        <v>20</v>
      </c>
    </row>
    <row r="78" spans="1:7" ht="24">
      <c r="A78" s="3115">
        <v>6</v>
      </c>
      <c r="B78" s="3855"/>
      <c r="C78" s="3089" t="s">
        <v>2661</v>
      </c>
      <c r="D78" s="3089" t="s">
        <v>2662</v>
      </c>
      <c r="E78" s="3115">
        <v>0.15</v>
      </c>
      <c r="F78" s="3115">
        <v>20</v>
      </c>
    </row>
    <row r="79" spans="1:7" ht="24">
      <c r="A79" s="3115">
        <v>7</v>
      </c>
      <c r="B79" s="3855"/>
      <c r="C79" s="3089" t="s">
        <v>2663</v>
      </c>
      <c r="D79" s="3089" t="s">
        <v>2664</v>
      </c>
      <c r="E79" s="3115">
        <v>0.15</v>
      </c>
      <c r="F79" s="3115">
        <v>20</v>
      </c>
    </row>
    <row r="80" spans="1:7" ht="24">
      <c r="A80" s="3115">
        <v>8</v>
      </c>
      <c r="B80" s="3855"/>
      <c r="C80" s="3089" t="s">
        <v>2665</v>
      </c>
      <c r="D80" s="3089" t="s">
        <v>2666</v>
      </c>
      <c r="E80" s="3115">
        <v>0.1</v>
      </c>
      <c r="F80" s="3115">
        <v>15</v>
      </c>
    </row>
    <row r="81" spans="1:6" ht="24">
      <c r="A81" s="3115">
        <v>9</v>
      </c>
      <c r="B81" s="3855"/>
      <c r="C81" s="3089" t="s">
        <v>2667</v>
      </c>
      <c r="D81" s="3089" t="s">
        <v>2668</v>
      </c>
      <c r="E81" s="3115">
        <v>0.1</v>
      </c>
      <c r="F81" s="3115">
        <v>15</v>
      </c>
    </row>
    <row r="82" spans="1:6" ht="24">
      <c r="A82" s="3115">
        <v>10</v>
      </c>
      <c r="B82" s="3855"/>
      <c r="C82" s="3089" t="s">
        <v>2669</v>
      </c>
      <c r="D82" s="3089" t="s">
        <v>2670</v>
      </c>
      <c r="E82" s="3115">
        <v>0.1</v>
      </c>
      <c r="F82" s="3115">
        <v>15</v>
      </c>
    </row>
    <row r="83" spans="1:6" ht="24">
      <c r="A83" s="3115">
        <v>11</v>
      </c>
      <c r="B83" s="3855"/>
      <c r="C83" s="3089" t="s">
        <v>2671</v>
      </c>
      <c r="D83" s="3089" t="s">
        <v>2672</v>
      </c>
      <c r="E83" s="3115">
        <v>0.1</v>
      </c>
      <c r="F83" s="3115">
        <v>15</v>
      </c>
    </row>
    <row r="84" spans="1:6" ht="24">
      <c r="A84" s="3115">
        <v>12</v>
      </c>
      <c r="B84" s="3855"/>
      <c r="C84" s="3089" t="s">
        <v>2673</v>
      </c>
      <c r="D84" s="3089" t="s">
        <v>2674</v>
      </c>
      <c r="E84" s="3115">
        <v>0.1</v>
      </c>
      <c r="F84" s="3115">
        <v>15</v>
      </c>
    </row>
    <row r="85" spans="1:6" ht="13.5">
      <c r="A85" s="3115">
        <v>13</v>
      </c>
      <c r="B85" s="3855"/>
      <c r="C85" s="3089" t="s">
        <v>2675</v>
      </c>
      <c r="D85" s="3089" t="s">
        <v>2676</v>
      </c>
      <c r="E85" s="3115">
        <v>0.1</v>
      </c>
      <c r="F85" s="3115">
        <v>15</v>
      </c>
    </row>
    <row r="86" spans="1:6" ht="13.5">
      <c r="A86" s="3115">
        <v>14</v>
      </c>
      <c r="B86" s="3855"/>
      <c r="C86" s="3089" t="s">
        <v>2677</v>
      </c>
      <c r="D86" s="3089" t="s">
        <v>2678</v>
      </c>
      <c r="E86" s="3115">
        <v>0.1</v>
      </c>
      <c r="F86" s="3115">
        <v>15</v>
      </c>
    </row>
    <row r="87" spans="1:6" ht="13.5">
      <c r="A87" s="3115">
        <v>15</v>
      </c>
      <c r="B87" s="3855"/>
      <c r="C87" s="3089" t="s">
        <v>2679</v>
      </c>
      <c r="D87" s="3089" t="s">
        <v>2680</v>
      </c>
      <c r="E87" s="3115">
        <v>0.1</v>
      </c>
      <c r="F87" s="3115">
        <v>15</v>
      </c>
    </row>
    <row r="88" spans="1:6" ht="24">
      <c r="A88" s="3115">
        <v>16</v>
      </c>
      <c r="B88" s="3855"/>
      <c r="C88" s="3089" t="s">
        <v>2681</v>
      </c>
      <c r="D88" s="3089" t="s">
        <v>2682</v>
      </c>
      <c r="E88" s="3115">
        <v>0.1</v>
      </c>
      <c r="F88" s="3115">
        <v>15</v>
      </c>
    </row>
    <row r="89" spans="1:6" ht="24">
      <c r="A89" s="3115">
        <v>17</v>
      </c>
      <c r="B89" s="3854"/>
      <c r="C89" s="3089" t="s">
        <v>2683</v>
      </c>
      <c r="D89" s="3089" t="s">
        <v>2684</v>
      </c>
      <c r="E89" s="3115">
        <v>0.1</v>
      </c>
      <c r="F89" s="3115">
        <v>15</v>
      </c>
    </row>
    <row r="90" spans="1:6" ht="13.5">
      <c r="A90" s="3115">
        <v>18</v>
      </c>
      <c r="B90" s="3853" t="s">
        <v>2685</v>
      </c>
      <c r="C90" s="3089" t="s">
        <v>2686</v>
      </c>
      <c r="D90" s="3089" t="s">
        <v>2687</v>
      </c>
      <c r="E90" s="3115">
        <v>0.2</v>
      </c>
      <c r="F90" s="3115">
        <v>25</v>
      </c>
    </row>
    <row r="91" spans="1:6" ht="24">
      <c r="A91" s="3115">
        <v>19</v>
      </c>
      <c r="B91" s="3855"/>
      <c r="C91" s="3089" t="s">
        <v>2688</v>
      </c>
      <c r="D91" s="3089" t="s">
        <v>2689</v>
      </c>
      <c r="E91" s="3115">
        <v>0.2</v>
      </c>
      <c r="F91" s="3115">
        <v>25</v>
      </c>
    </row>
    <row r="92" spans="1:6" ht="13.5">
      <c r="A92" s="3115">
        <v>20</v>
      </c>
      <c r="B92" s="3855"/>
      <c r="C92" s="3089" t="s">
        <v>2690</v>
      </c>
      <c r="D92" s="3089" t="s">
        <v>2691</v>
      </c>
      <c r="E92" s="3115">
        <v>0.15</v>
      </c>
      <c r="F92" s="3115">
        <v>20</v>
      </c>
    </row>
    <row r="93" spans="1:6" ht="13.5">
      <c r="A93" s="3115">
        <v>21</v>
      </c>
      <c r="B93" s="3855"/>
      <c r="C93" s="3089" t="s">
        <v>2692</v>
      </c>
      <c r="D93" s="3089" t="s">
        <v>2693</v>
      </c>
      <c r="E93" s="3115">
        <v>0.15</v>
      </c>
      <c r="F93" s="3115">
        <v>20</v>
      </c>
    </row>
    <row r="94" spans="1:6" ht="13.5">
      <c r="A94" s="3115">
        <v>22</v>
      </c>
      <c r="B94" s="3855"/>
      <c r="C94" s="3089" t="s">
        <v>2694</v>
      </c>
      <c r="D94" s="3089" t="s">
        <v>2695</v>
      </c>
      <c r="E94" s="3115">
        <v>0.15</v>
      </c>
      <c r="F94" s="3115">
        <v>20</v>
      </c>
    </row>
    <row r="95" spans="1:6" ht="36">
      <c r="A95" s="3115">
        <v>23</v>
      </c>
      <c r="B95" s="3855"/>
      <c r="C95" s="3089" t="s">
        <v>2696</v>
      </c>
      <c r="D95" s="3089" t="s">
        <v>2697</v>
      </c>
      <c r="E95" s="3115">
        <v>0.15</v>
      </c>
      <c r="F95" s="3115">
        <v>20</v>
      </c>
    </row>
    <row r="96" spans="1:6" ht="13.5">
      <c r="A96" s="3115">
        <v>24</v>
      </c>
      <c r="B96" s="3855"/>
      <c r="C96" s="3089" t="s">
        <v>2698</v>
      </c>
      <c r="D96" s="3089" t="s">
        <v>2699</v>
      </c>
      <c r="E96" s="3115">
        <v>0.1</v>
      </c>
      <c r="F96" s="3115">
        <v>15</v>
      </c>
    </row>
    <row r="97" spans="1:6" ht="13.5">
      <c r="A97" s="3115">
        <v>25</v>
      </c>
      <c r="B97" s="3855"/>
      <c r="C97" s="3089" t="s">
        <v>2700</v>
      </c>
      <c r="D97" s="3089" t="s">
        <v>2701</v>
      </c>
      <c r="E97" s="3115">
        <v>0.1</v>
      </c>
      <c r="F97" s="3115">
        <v>15</v>
      </c>
    </row>
    <row r="98" spans="1:6" ht="24">
      <c r="A98" s="3115">
        <v>26</v>
      </c>
      <c r="B98" s="3855"/>
      <c r="C98" s="3089" t="s">
        <v>2702</v>
      </c>
      <c r="D98" s="3089" t="s">
        <v>2703</v>
      </c>
      <c r="E98" s="3115">
        <v>0.1</v>
      </c>
      <c r="F98" s="3115">
        <v>15</v>
      </c>
    </row>
    <row r="99" spans="1:6" ht="24">
      <c r="A99" s="3115">
        <v>27</v>
      </c>
      <c r="B99" s="3855"/>
      <c r="C99" s="3089" t="s">
        <v>2704</v>
      </c>
      <c r="D99" s="3089" t="s">
        <v>2705</v>
      </c>
      <c r="E99" s="3115">
        <v>0.1</v>
      </c>
      <c r="F99" s="3115">
        <v>15</v>
      </c>
    </row>
    <row r="100" spans="1:6" ht="13.5">
      <c r="A100" s="3115">
        <v>28</v>
      </c>
      <c r="B100" s="3855"/>
      <c r="C100" s="3089" t="s">
        <v>2706</v>
      </c>
      <c r="D100" s="3089" t="s">
        <v>2707</v>
      </c>
      <c r="E100" s="3115">
        <v>0.1</v>
      </c>
      <c r="F100" s="3115">
        <v>15</v>
      </c>
    </row>
    <row r="101" spans="1:6" ht="13.5">
      <c r="A101" s="3115">
        <v>29</v>
      </c>
      <c r="B101" s="3855"/>
      <c r="C101" s="3089" t="s">
        <v>2708</v>
      </c>
      <c r="D101" s="3089" t="s">
        <v>2709</v>
      </c>
      <c r="E101" s="3115">
        <v>0.1</v>
      </c>
      <c r="F101" s="3115">
        <v>15</v>
      </c>
    </row>
    <row r="102" spans="1:6" ht="13.5">
      <c r="A102" s="3115">
        <v>30</v>
      </c>
      <c r="B102" s="3855"/>
      <c r="C102" s="3089" t="s">
        <v>2710</v>
      </c>
      <c r="D102" s="3089" t="s">
        <v>2711</v>
      </c>
      <c r="E102" s="3115">
        <v>0.1</v>
      </c>
      <c r="F102" s="3115">
        <v>15</v>
      </c>
    </row>
    <row r="103" spans="1:6" ht="24">
      <c r="A103" s="3115">
        <v>31</v>
      </c>
      <c r="B103" s="3855"/>
      <c r="C103" s="3089" t="s">
        <v>2712</v>
      </c>
      <c r="D103" s="3089" t="s">
        <v>2713</v>
      </c>
      <c r="E103" s="3115">
        <v>0.1</v>
      </c>
      <c r="F103" s="3115">
        <v>15</v>
      </c>
    </row>
    <row r="104" spans="1:6" ht="24">
      <c r="A104" s="3115">
        <v>32</v>
      </c>
      <c r="B104" s="3855"/>
      <c r="C104" s="3089" t="s">
        <v>2714</v>
      </c>
      <c r="D104" s="3089" t="s">
        <v>2715</v>
      </c>
      <c r="E104" s="3115">
        <v>0.1</v>
      </c>
      <c r="F104" s="3115">
        <v>15</v>
      </c>
    </row>
    <row r="105" spans="1:6" ht="24">
      <c r="A105" s="3115">
        <v>33</v>
      </c>
      <c r="B105" s="3855"/>
      <c r="C105" s="3089" t="s">
        <v>2716</v>
      </c>
      <c r="D105" s="3089" t="s">
        <v>2717</v>
      </c>
      <c r="E105" s="3115">
        <v>0.1</v>
      </c>
      <c r="F105" s="3115">
        <v>15</v>
      </c>
    </row>
    <row r="106" spans="1:6" ht="24">
      <c r="A106" s="3115">
        <v>34</v>
      </c>
      <c r="B106" s="3854"/>
      <c r="C106" s="3089" t="s">
        <v>2718</v>
      </c>
      <c r="D106" s="3089" t="s">
        <v>2719</v>
      </c>
      <c r="E106" s="3115">
        <v>0.1</v>
      </c>
      <c r="F106" s="3115">
        <v>15</v>
      </c>
    </row>
    <row r="107" spans="1:6" ht="24">
      <c r="A107" s="3115">
        <v>35</v>
      </c>
      <c r="B107" s="3853" t="s">
        <v>2720</v>
      </c>
      <c r="C107" s="3115" t="s">
        <v>2721</v>
      </c>
      <c r="D107" s="3089" t="s">
        <v>2722</v>
      </c>
      <c r="E107" s="3115">
        <v>0.15</v>
      </c>
      <c r="F107" s="3115">
        <v>20</v>
      </c>
    </row>
    <row r="108" spans="1:6" ht="13.5">
      <c r="A108" s="3115">
        <v>36</v>
      </c>
      <c r="B108" s="3855"/>
      <c r="C108" s="3115" t="s">
        <v>2723</v>
      </c>
      <c r="D108" s="3089" t="s">
        <v>2724</v>
      </c>
      <c r="E108" s="3115">
        <v>0.15</v>
      </c>
      <c r="F108" s="3115">
        <v>20</v>
      </c>
    </row>
    <row r="109" spans="1:6" ht="13.5">
      <c r="A109" s="3115">
        <v>37</v>
      </c>
      <c r="B109" s="3855"/>
      <c r="C109" s="3115" t="s">
        <v>2725</v>
      </c>
      <c r="D109" s="3089" t="s">
        <v>2726</v>
      </c>
      <c r="E109" s="3115">
        <v>0.15</v>
      </c>
      <c r="F109" s="3115">
        <v>20</v>
      </c>
    </row>
    <row r="110" spans="1:6" ht="13.5">
      <c r="A110" s="3115">
        <v>38</v>
      </c>
      <c r="B110" s="3855"/>
      <c r="C110" s="3115" t="s">
        <v>2727</v>
      </c>
      <c r="D110" s="3089" t="s">
        <v>2728</v>
      </c>
      <c r="E110" s="3115">
        <v>0.1</v>
      </c>
      <c r="F110" s="3115">
        <v>15</v>
      </c>
    </row>
    <row r="111" spans="1:6" ht="24">
      <c r="A111" s="3115">
        <v>39</v>
      </c>
      <c r="B111" s="3855"/>
      <c r="C111" s="3115" t="s">
        <v>2729</v>
      </c>
      <c r="D111" s="3089" t="s">
        <v>2730</v>
      </c>
      <c r="E111" s="3115">
        <v>0.1</v>
      </c>
      <c r="F111" s="3115">
        <v>15</v>
      </c>
    </row>
    <row r="112" spans="1:6" ht="24">
      <c r="A112" s="3115">
        <v>40</v>
      </c>
      <c r="B112" s="3854"/>
      <c r="C112" s="3115" t="s">
        <v>2731</v>
      </c>
      <c r="D112" s="3089" t="s">
        <v>2732</v>
      </c>
      <c r="E112" s="3115">
        <v>0.1</v>
      </c>
      <c r="F112" s="3115">
        <v>15</v>
      </c>
    </row>
    <row r="113" spans="1:6" ht="13.5">
      <c r="A113" s="3115">
        <v>41</v>
      </c>
      <c r="B113" s="3852" t="s">
        <v>2733</v>
      </c>
      <c r="C113" s="3115" t="s">
        <v>2734</v>
      </c>
      <c r="D113" s="3089" t="s">
        <v>2735</v>
      </c>
      <c r="E113" s="3115">
        <v>0.1</v>
      </c>
      <c r="F113" s="3115">
        <v>15</v>
      </c>
    </row>
    <row r="114" spans="1:6" ht="13.5">
      <c r="A114" s="3115">
        <v>42</v>
      </c>
      <c r="B114" s="3852"/>
      <c r="C114" s="3115" t="s">
        <v>2736</v>
      </c>
      <c r="D114" s="3089" t="s">
        <v>2737</v>
      </c>
      <c r="E114" s="3115">
        <v>0.1</v>
      </c>
      <c r="F114" s="3115">
        <v>15</v>
      </c>
    </row>
    <row r="115" spans="1:6" ht="24">
      <c r="A115" s="3115">
        <v>43</v>
      </c>
      <c r="B115" s="3852"/>
      <c r="C115" s="3115" t="s">
        <v>2738</v>
      </c>
      <c r="D115" s="3089" t="s">
        <v>2739</v>
      </c>
      <c r="E115" s="3115">
        <v>0.1</v>
      </c>
      <c r="F115" s="3115">
        <v>15</v>
      </c>
    </row>
    <row r="116" spans="1:6" ht="13.5">
      <c r="A116" s="3115">
        <v>44</v>
      </c>
      <c r="B116" s="3853" t="s">
        <v>2740</v>
      </c>
      <c r="C116" s="3115" t="s">
        <v>2741</v>
      </c>
      <c r="D116" s="3089" t="s">
        <v>2742</v>
      </c>
      <c r="E116" s="3115">
        <v>0.1</v>
      </c>
      <c r="F116" s="3115">
        <v>15</v>
      </c>
    </row>
    <row r="117" spans="1:6" ht="24">
      <c r="A117" s="3115">
        <v>45</v>
      </c>
      <c r="B117" s="3854"/>
      <c r="C117" s="3089" t="s">
        <v>2743</v>
      </c>
      <c r="D117" s="3089" t="s">
        <v>2744</v>
      </c>
      <c r="E117" s="3115">
        <v>0.1</v>
      </c>
      <c r="F117" s="3115">
        <v>15</v>
      </c>
    </row>
    <row r="118" spans="1:6" ht="24">
      <c r="A118" s="3115">
        <v>46</v>
      </c>
      <c r="B118" s="3853" t="s">
        <v>2745</v>
      </c>
      <c r="C118" s="3115" t="s">
        <v>2746</v>
      </c>
      <c r="D118" s="3089" t="s">
        <v>2747</v>
      </c>
      <c r="E118" s="3115">
        <v>0.1</v>
      </c>
      <c r="F118" s="3115">
        <v>15</v>
      </c>
    </row>
    <row r="119" spans="1:6" ht="24">
      <c r="A119" s="3115">
        <v>47</v>
      </c>
      <c r="B119" s="3854"/>
      <c r="C119" s="3115" t="s">
        <v>2748</v>
      </c>
      <c r="D119" s="3089" t="s">
        <v>2749</v>
      </c>
      <c r="E119" s="3115">
        <v>0.1</v>
      </c>
      <c r="F119" s="3115">
        <v>15</v>
      </c>
    </row>
    <row r="120" spans="1:6" ht="13.5">
      <c r="A120" s="3115">
        <v>48</v>
      </c>
      <c r="B120" s="3853" t="s">
        <v>2750</v>
      </c>
      <c r="C120" s="3115" t="s">
        <v>2751</v>
      </c>
      <c r="D120" s="3089" t="s">
        <v>2752</v>
      </c>
      <c r="E120" s="3115">
        <v>0.1</v>
      </c>
      <c r="F120" s="3115">
        <v>15</v>
      </c>
    </row>
    <row r="121" spans="1:6" ht="13.5">
      <c r="A121" s="3115">
        <v>49</v>
      </c>
      <c r="B121" s="3854"/>
      <c r="C121" s="3115" t="s">
        <v>2753</v>
      </c>
      <c r="D121" s="3089" t="s">
        <v>2754</v>
      </c>
      <c r="E121" s="3115">
        <v>0.1</v>
      </c>
      <c r="F121" s="3115">
        <v>15</v>
      </c>
    </row>
    <row r="122" spans="1:6" ht="24">
      <c r="A122" s="3115">
        <v>50</v>
      </c>
      <c r="B122" s="3852" t="s">
        <v>2755</v>
      </c>
      <c r="C122" s="3115" t="s">
        <v>2756</v>
      </c>
      <c r="D122" s="3089" t="s">
        <v>2757</v>
      </c>
      <c r="E122" s="3115">
        <v>0.1</v>
      </c>
      <c r="F122" s="3115">
        <v>15</v>
      </c>
    </row>
    <row r="123" spans="1:6" ht="24">
      <c r="A123" s="3115">
        <v>51</v>
      </c>
      <c r="B123" s="3852"/>
      <c r="C123" s="3115" t="s">
        <v>2758</v>
      </c>
      <c r="D123" s="3089" t="s">
        <v>2759</v>
      </c>
      <c r="E123" s="3115">
        <v>0.1</v>
      </c>
      <c r="F123" s="3115">
        <v>15</v>
      </c>
    </row>
    <row r="124" spans="1:6" ht="24">
      <c r="A124" s="3115">
        <v>52</v>
      </c>
      <c r="B124" s="3852" t="s">
        <v>2760</v>
      </c>
      <c r="C124" s="3115" t="s">
        <v>2761</v>
      </c>
      <c r="D124" s="3089" t="s">
        <v>2762</v>
      </c>
      <c r="E124" s="3115">
        <v>0.1</v>
      </c>
      <c r="F124" s="3115">
        <v>15</v>
      </c>
    </row>
    <row r="125" spans="1:6" ht="24">
      <c r="A125" s="3115">
        <v>53</v>
      </c>
      <c r="B125" s="3852"/>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52" t="s">
        <v>2768</v>
      </c>
      <c r="C127" s="3115" t="s">
        <v>2769</v>
      </c>
      <c r="D127" s="3089" t="s">
        <v>2770</v>
      </c>
      <c r="E127" s="3115">
        <v>0.1</v>
      </c>
      <c r="F127" s="3115">
        <v>15</v>
      </c>
    </row>
    <row r="128" spans="1:6" ht="13.5">
      <c r="A128" s="3115">
        <v>56</v>
      </c>
      <c r="B128" s="3852"/>
      <c r="C128" s="3115" t="s">
        <v>2771</v>
      </c>
      <c r="D128" s="3089" t="s">
        <v>2772</v>
      </c>
      <c r="E128" s="3115">
        <v>0.1</v>
      </c>
      <c r="F128" s="3115">
        <v>15</v>
      </c>
    </row>
    <row r="129" spans="1:6" ht="24">
      <c r="A129" s="3115">
        <v>57</v>
      </c>
      <c r="B129" s="3852"/>
      <c r="C129" s="3115" t="s">
        <v>2773</v>
      </c>
      <c r="D129" s="3089" t="s">
        <v>2774</v>
      </c>
      <c r="E129" s="3115">
        <v>0.1</v>
      </c>
      <c r="F129" s="3115">
        <v>15</v>
      </c>
    </row>
    <row r="130" spans="1:6" ht="24">
      <c r="A130" s="3115">
        <v>58</v>
      </c>
      <c r="B130" s="3852" t="s">
        <v>2775</v>
      </c>
      <c r="C130" s="3115" t="s">
        <v>2776</v>
      </c>
      <c r="D130" s="3089" t="s">
        <v>2777</v>
      </c>
      <c r="E130" s="3115">
        <v>0.1</v>
      </c>
      <c r="F130" s="3115">
        <v>15</v>
      </c>
    </row>
    <row r="131" spans="1:6" ht="13.5">
      <c r="A131" s="3115">
        <v>59</v>
      </c>
      <c r="B131" s="3852"/>
      <c r="C131" s="3115" t="s">
        <v>2778</v>
      </c>
      <c r="D131" s="3089" t="s">
        <v>2779</v>
      </c>
      <c r="E131" s="3115">
        <v>0.1</v>
      </c>
      <c r="F131" s="3115">
        <v>15</v>
      </c>
    </row>
    <row r="132" spans="1:6" ht="13.5">
      <c r="A132" s="3115">
        <v>60</v>
      </c>
      <c r="B132" s="3853" t="s">
        <v>2780</v>
      </c>
      <c r="C132" s="3115" t="s">
        <v>2781</v>
      </c>
      <c r="D132" s="3089" t="s">
        <v>2782</v>
      </c>
      <c r="E132" s="3115">
        <v>0.1</v>
      </c>
      <c r="F132" s="3115">
        <v>15</v>
      </c>
    </row>
    <row r="133" spans="1:6" ht="13.5">
      <c r="A133" s="3115">
        <v>61</v>
      </c>
      <c r="B133" s="385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52" t="s">
        <v>2788</v>
      </c>
      <c r="C135" s="3115" t="s">
        <v>2789</v>
      </c>
      <c r="D135" s="3089" t="s">
        <v>2790</v>
      </c>
      <c r="E135" s="3115">
        <v>0.1</v>
      </c>
      <c r="F135" s="3115">
        <v>15</v>
      </c>
    </row>
    <row r="136" spans="1:6" ht="13.5">
      <c r="A136" s="3115">
        <v>64</v>
      </c>
      <c r="B136" s="3852"/>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9.5" thickBot="1">
      <c r="A4" s="1493"/>
      <c r="B4" s="3544" t="s">
        <v>917</v>
      </c>
      <c r="C4" s="3544"/>
      <c r="D4" s="3544"/>
      <c r="E4" s="1493"/>
    </row>
    <row r="5" spans="1:5" ht="16.5" thickTop="1">
      <c r="A5" s="1491"/>
      <c r="B5" s="3542" t="s">
        <v>909</v>
      </c>
      <c r="C5" s="1494" t="s">
        <v>910</v>
      </c>
      <c r="D5" s="850" t="e">
        <f ca="1">结果表!H101</f>
        <v>#REF!</v>
      </c>
      <c r="E5" s="1491"/>
    </row>
    <row r="6" spans="1:5" ht="15.75">
      <c r="A6" s="1491"/>
      <c r="B6" s="3542"/>
      <c r="C6" s="1494" t="s">
        <v>911</v>
      </c>
      <c r="D6" s="850" t="e">
        <f ca="1">NUMBERSTRING(INT(D5*10000),2)&amp;"元整"</f>
        <v>#REF!</v>
      </c>
      <c r="E6" s="1491"/>
    </row>
    <row r="7" spans="1:5" ht="15.75">
      <c r="A7" s="1491"/>
      <c r="B7" s="3547"/>
      <c r="C7" s="1495" t="s">
        <v>912</v>
      </c>
      <c r="D7" s="851" t="e">
        <f ca="1">结果表!H102</f>
        <v>#REF!</v>
      </c>
      <c r="E7" s="1491"/>
    </row>
    <row r="8" spans="1:5" ht="15.75">
      <c r="A8" s="1491"/>
      <c r="B8" s="3548" t="str">
        <f>结果表!E103</f>
        <v>2.估价师知悉的法定优先受偿款</v>
      </c>
      <c r="C8" s="1496" t="s">
        <v>913</v>
      </c>
      <c r="D8" s="851">
        <f>结果表!H103</f>
        <v>0</v>
      </c>
      <c r="E8" s="1491"/>
    </row>
    <row r="9" spans="1:5" ht="15.75">
      <c r="A9" s="1491"/>
      <c r="B9" s="355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1" t="str">
        <f>结果表!E107</f>
        <v>3.房地产抵押价值</v>
      </c>
      <c r="C13" s="1499" t="s">
        <v>910</v>
      </c>
      <c r="D13" s="853" t="e">
        <f ca="1">结果表!H107</f>
        <v>#REF!</v>
      </c>
      <c r="E13" s="1491"/>
    </row>
    <row r="14" spans="1:5" ht="15.75">
      <c r="A14" s="1491"/>
      <c r="B14" s="3542"/>
      <c r="C14" s="1494" t="s">
        <v>911</v>
      </c>
      <c r="D14" s="850" t="e">
        <f ca="1">NUMBERSTRING(INT(D13*10000),2)&amp;"元整"</f>
        <v>#REF!</v>
      </c>
      <c r="E14" s="1491"/>
    </row>
    <row r="15" spans="1:5" ht="15">
      <c r="A15" s="1491"/>
      <c r="B15" s="3547"/>
      <c r="C15" s="1495" t="s">
        <v>921</v>
      </c>
      <c r="D15" s="859" t="e">
        <f ca="1">结果表!H108</f>
        <v>#REF!</v>
      </c>
      <c r="E15" s="1491"/>
    </row>
    <row r="16" spans="1:5" ht="15">
      <c r="A16" s="1491"/>
      <c r="B16" s="3548" t="str">
        <f>结果表!E109</f>
        <v>——</v>
      </c>
      <c r="C16" s="1499" t="s">
        <v>922</v>
      </c>
      <c r="D16" s="1500" t="str">
        <f>结果表!H109</f>
        <v>——</v>
      </c>
      <c r="E16" s="1491"/>
    </row>
    <row r="17" spans="1:5" ht="15.75">
      <c r="A17" s="1491"/>
      <c r="B17" s="3549"/>
      <c r="C17" s="1494" t="s">
        <v>923</v>
      </c>
      <c r="D17" s="850" t="e">
        <f>NUMBERSTRING(INT(D16*10000),2)&amp;"元整"</f>
        <v>#VALUE!</v>
      </c>
      <c r="E17" s="1491"/>
    </row>
    <row r="18" spans="1:5" ht="15">
      <c r="A18" s="1491"/>
      <c r="B18" s="3550"/>
      <c r="C18" s="1495" t="s">
        <v>912</v>
      </c>
      <c r="D18" s="859" t="str">
        <f>结果表!H110</f>
        <v>——</v>
      </c>
      <c r="E18" s="1491"/>
    </row>
    <row r="19" spans="1:5" ht="15.75">
      <c r="A19" s="1491"/>
      <c r="B19" s="3541" t="str">
        <f>结果表!E111</f>
        <v>——</v>
      </c>
      <c r="C19" s="1499" t="s">
        <v>910</v>
      </c>
      <c r="D19" s="851" t="str">
        <f>结果表!H111</f>
        <v>——</v>
      </c>
      <c r="E19" s="1491"/>
    </row>
    <row r="20" spans="1:5" ht="15.75">
      <c r="A20" s="1491"/>
      <c r="B20" s="3542"/>
      <c r="C20" s="1494" t="s">
        <v>923</v>
      </c>
      <c r="D20" s="850" t="e">
        <f>NUMBERSTRING(INT(D19*10000),2)&amp;"元整"</f>
        <v>#VALUE!</v>
      </c>
      <c r="E20" s="1491"/>
    </row>
    <row r="21" spans="1:5" ht="15.75" thickBot="1">
      <c r="A21" s="1491"/>
      <c r="B21" s="354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1.1649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1.1032999999999999</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27230</v>
      </c>
      <c r="C2" s="2" t="s">
        <v>106</v>
      </c>
      <c r="D2" s="199"/>
      <c r="E2" s="199"/>
      <c r="F2" s="199"/>
      <c r="G2" s="199"/>
    </row>
    <row r="3" spans="1:7" s="200" customFormat="1" ht="18" customHeight="1" thickBot="1">
      <c r="A3" s="203" t="s">
        <v>58</v>
      </c>
      <c r="B3" s="204">
        <f ca="1">ROUND(B2*10000/'数据-汇总表'!E3,0)</f>
        <v>1444256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188.54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188.54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188.54</v>
      </c>
      <c r="E37" s="249">
        <f>'数据-取费表'!B35</f>
        <v>300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29" t="s">
        <v>94</v>
      </c>
    </row>
    <row r="43" spans="1:7" ht="13.5" customHeight="1">
      <c r="A43" s="780" t="s">
        <v>347</v>
      </c>
      <c r="B43" s="215" t="s">
        <v>426</v>
      </c>
      <c r="C43" s="238">
        <f ca="1">ROUND(IF('数据-取费表'!B22&lt;=1,C39*F22*'数据-取费表'!B21/2,C39*(POWER((1+F22),'数据-取费表'!B21/2)-1)),0)</f>
        <v>0</v>
      </c>
      <c r="D43" s="238"/>
      <c r="E43" s="238"/>
      <c r="F43" s="239"/>
      <c r="G43" s="3630"/>
    </row>
    <row r="44" spans="1:7" ht="13.5" customHeight="1">
      <c r="A44" s="780" t="s">
        <v>348</v>
      </c>
      <c r="B44" s="215" t="s">
        <v>428</v>
      </c>
      <c r="C44" s="238">
        <f ca="1">ROUND(IF('数据-取费表'!B22&lt;=1,C40*F22*'数据-取费表'!B21/2,C40*(POWER((1+F22),'数据-取费表'!B21/2)-1)),4)</f>
        <v>4.0000000000000002E-4</v>
      </c>
      <c r="D44" s="238"/>
      <c r="E44" s="238"/>
      <c r="F44" s="239"/>
      <c r="G44" s="3631"/>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59</v>
      </c>
      <c r="D51" s="232"/>
      <c r="E51" s="232"/>
      <c r="F51" s="264"/>
      <c r="G51" s="234" t="s">
        <v>37</v>
      </c>
    </row>
    <row r="52" spans="1:7" s="208" customFormat="1" ht="16.5" thickBot="1">
      <c r="A52" s="265" t="s">
        <v>38</v>
      </c>
      <c r="B52" s="266"/>
      <c r="C52" s="267">
        <f ca="1">C31+C51</f>
        <v>27230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66" t="s">
        <v>2842</v>
      </c>
      <c r="B1" s="3866"/>
      <c r="C1" s="3866"/>
      <c r="D1" s="3866"/>
      <c r="E1" s="3866"/>
      <c r="F1" s="3866"/>
      <c r="G1" s="3867"/>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864"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865"/>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68" t="s">
        <v>3184</v>
      </c>
      <c r="B1" s="3868"/>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7"/>
  </cols>
  <sheetData>
    <row r="1" spans="1:6">
      <c r="A1" s="3869" t="s">
        <v>3235</v>
      </c>
      <c r="B1" s="3869"/>
      <c r="C1" s="3869"/>
      <c r="D1" s="3869"/>
      <c r="E1" s="3869"/>
      <c r="F1" s="3870"/>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44853</v>
      </c>
      <c r="B1" s="3207" t="s">
        <v>2841</v>
      </c>
      <c r="C1" s="3208"/>
      <c r="D1" s="3208"/>
      <c r="E1" s="3208"/>
      <c r="F1" s="3208"/>
      <c r="G1" s="3208"/>
      <c r="H1" s="3208"/>
      <c r="I1" s="3208"/>
      <c r="J1" s="3162"/>
      <c r="K1" s="3208" t="s">
        <v>454</v>
      </c>
      <c r="L1" s="3208"/>
      <c r="M1" s="3208"/>
      <c r="N1" s="3208"/>
      <c r="O1" s="3208"/>
      <c r="P1" s="3208"/>
      <c r="Q1" s="3162"/>
      <c r="R1" s="3871" t="s">
        <v>456</v>
      </c>
      <c r="S1" s="3872"/>
      <c r="T1" s="3872"/>
      <c r="U1" s="3872"/>
      <c r="V1" s="3872"/>
      <c r="W1" s="3872"/>
      <c r="X1" s="3162"/>
      <c r="Y1" s="3871" t="s">
        <v>457</v>
      </c>
      <c r="Z1" s="3872"/>
      <c r="AA1" s="3872"/>
      <c r="AB1" s="3872"/>
      <c r="AC1" s="3872"/>
      <c r="AD1" s="387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871" t="s">
        <v>2829</v>
      </c>
      <c r="S21" s="3872"/>
      <c r="T21" s="3872"/>
      <c r="U21" s="3872"/>
      <c r="V21" s="3872"/>
      <c r="W21" s="3872"/>
      <c r="X21" s="3162"/>
      <c r="Y21" s="3871" t="s">
        <v>2830</v>
      </c>
      <c r="Z21" s="3872"/>
      <c r="AA21" s="3872"/>
      <c r="AB21" s="3872"/>
      <c r="AC21" s="3872"/>
      <c r="AD21" s="3872"/>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8" t="s">
        <v>452</v>
      </c>
      <c r="C1" s="3878"/>
      <c r="D1" s="3878"/>
      <c r="E1" s="3878"/>
      <c r="F1" s="3878"/>
      <c r="G1" s="3877" t="s">
        <v>453</v>
      </c>
      <c r="H1" s="3877"/>
      <c r="I1" s="3877"/>
      <c r="J1" s="3877"/>
      <c r="K1" s="3877"/>
      <c r="L1" s="3877"/>
      <c r="N1" s="3877" t="s">
        <v>454</v>
      </c>
      <c r="O1" s="3877"/>
      <c r="P1" s="3877"/>
      <c r="Q1" s="3877"/>
      <c r="S1" s="3877" t="s">
        <v>455</v>
      </c>
      <c r="T1" s="3877"/>
      <c r="U1" s="3877"/>
      <c r="V1" s="3877"/>
      <c r="X1" s="3876" t="s">
        <v>456</v>
      </c>
      <c r="Y1" s="3877"/>
      <c r="Z1" s="3877"/>
      <c r="AA1" s="3877"/>
      <c r="AB1" s="3877"/>
      <c r="AD1" s="3876" t="s">
        <v>457</v>
      </c>
      <c r="AE1" s="3877"/>
      <c r="AF1" s="3877"/>
      <c r="AG1" s="3877"/>
      <c r="AH1" s="38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7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44853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8" t="str">
        <f>IF(项目基本情况!B9="房地产市场价值","估价结果一览表","结果表-2")</f>
        <v>估价结果一览表</v>
      </c>
      <c r="B1" s="3558"/>
      <c r="C1" s="3558"/>
      <c r="D1" s="3558"/>
      <c r="E1" s="3558"/>
      <c r="F1" s="3558"/>
      <c r="G1" s="3558"/>
      <c r="H1" s="3558"/>
      <c r="I1" s="3558"/>
    </row>
    <row r="2" spans="1:9" ht="30" customHeight="1" thickTop="1">
      <c r="A2" s="3559" t="s">
        <v>928</v>
      </c>
      <c r="B2" s="3559" t="s">
        <v>929</v>
      </c>
      <c r="C2" s="3559" t="s">
        <v>930</v>
      </c>
      <c r="D2" s="3559" t="str">
        <f>结果表!D116</f>
        <v>出让国有建设用地使用权价值</v>
      </c>
      <c r="E2" s="3559"/>
      <c r="F2" s="3559" t="str">
        <f>结果表!F116</f>
        <v>在建建筑物价值</v>
      </c>
      <c r="G2" s="3559"/>
      <c r="H2" s="3559" t="str">
        <f>IF(项目基本情况!B9="房地产市场价值","房地产市场价值","房地产价值")</f>
        <v>房地产市场价值</v>
      </c>
      <c r="I2" s="3559"/>
    </row>
    <row r="3" spans="1:9" ht="15">
      <c r="A3" s="3554"/>
      <c r="B3" s="3554"/>
      <c r="C3" s="3554"/>
      <c r="D3" s="854" t="s">
        <v>925</v>
      </c>
      <c r="E3" s="854" t="s">
        <v>931</v>
      </c>
      <c r="F3" s="854" t="s">
        <v>925</v>
      </c>
      <c r="G3" s="854" t="s">
        <v>926</v>
      </c>
      <c r="H3" s="854" t="s">
        <v>925</v>
      </c>
      <c r="I3" s="854" t="s">
        <v>926</v>
      </c>
    </row>
    <row r="4" spans="1:9" ht="30">
      <c r="A4" s="1505" t="str">
        <f>项目基本情况!S2</f>
        <v>北京市西城区琉璃厂东街22、24号1-5幢房地产</v>
      </c>
      <c r="B4" s="854">
        <f>项目基本情况!C17</f>
        <v>188.54</v>
      </c>
      <c r="C4" s="854">
        <f>项目基本情况!C18</f>
        <v>122.87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4" t="s">
        <v>927</v>
      </c>
      <c r="B5" s="3554"/>
      <c r="C5" s="3554"/>
      <c r="D5" s="3554" t="e">
        <f ca="1">结果表!D119</f>
        <v>#REF!</v>
      </c>
      <c r="E5" s="3554"/>
      <c r="F5" s="3554" t="e">
        <f ca="1">结果表!F119</f>
        <v>#REF!</v>
      </c>
      <c r="G5" s="3554"/>
      <c r="H5" s="3554" t="e">
        <f ca="1">结果表!H119</f>
        <v>#REF!</v>
      </c>
      <c r="I5" s="3554"/>
    </row>
    <row r="6" spans="1:9" ht="15.75">
      <c r="A6" s="3553" t="str">
        <f>结果表!A120</f>
        <v/>
      </c>
      <c r="B6" s="3553"/>
      <c r="C6" s="3553"/>
      <c r="D6" s="3553">
        <f>结果表!D120</f>
        <v>0</v>
      </c>
      <c r="E6" s="3553"/>
      <c r="F6" s="3553"/>
      <c r="G6" s="3553"/>
      <c r="H6" s="3553"/>
      <c r="I6" s="3553"/>
    </row>
    <row r="7" spans="1:9" ht="15">
      <c r="A7" s="3554" t="s">
        <v>927</v>
      </c>
      <c r="B7" s="3554"/>
      <c r="C7" s="3554"/>
      <c r="D7" s="3555" t="str">
        <f>结果表!D121</f>
        <v>零元整</v>
      </c>
      <c r="E7" s="3556"/>
      <c r="F7" s="3556"/>
      <c r="G7" s="3556"/>
      <c r="H7" s="3556"/>
      <c r="I7" s="3557"/>
    </row>
    <row r="8" spans="1:9" ht="15.75">
      <c r="A8" s="3553" t="str">
        <f>结果表!A122</f>
        <v/>
      </c>
      <c r="B8" s="3553"/>
      <c r="C8" s="3553"/>
      <c r="D8" s="3553" t="e">
        <f ca="1">结果表!D122</f>
        <v>#REF!</v>
      </c>
      <c r="E8" s="3553"/>
      <c r="F8" s="3553"/>
      <c r="G8" s="3553"/>
      <c r="H8" s="3553"/>
      <c r="I8" s="3553"/>
    </row>
    <row r="9" spans="1:9" ht="15">
      <c r="A9" s="3554" t="s">
        <v>927</v>
      </c>
      <c r="B9" s="3554"/>
      <c r="C9" s="3554"/>
      <c r="D9" s="3554" t="e">
        <f ca="1">结果表!D123</f>
        <v>#REF!</v>
      </c>
      <c r="E9" s="3554"/>
      <c r="F9" s="3554"/>
      <c r="G9" s="3554"/>
      <c r="H9" s="3554"/>
      <c r="I9" s="3554"/>
    </row>
    <row r="10" spans="1:9" ht="15.75">
      <c r="A10" s="3553" t="str">
        <f>结果表!A124</f>
        <v/>
      </c>
      <c r="B10" s="3553"/>
      <c r="C10" s="3553"/>
      <c r="D10" s="3553" t="str">
        <f>结果表!D124</f>
        <v>——</v>
      </c>
      <c r="E10" s="3553"/>
      <c r="F10" s="3553"/>
      <c r="G10" s="3553"/>
      <c r="H10" s="3553"/>
      <c r="I10" s="3553"/>
    </row>
    <row r="11" spans="1:9" ht="15">
      <c r="A11" s="3554" t="s">
        <v>927</v>
      </c>
      <c r="B11" s="3554"/>
      <c r="C11" s="3554"/>
      <c r="D11" s="3554" t="e">
        <f>结果表!D125</f>
        <v>#VALUE!</v>
      </c>
      <c r="E11" s="3554"/>
      <c r="F11" s="3554"/>
      <c r="G11" s="3554"/>
      <c r="H11" s="3554"/>
      <c r="I11" s="3554"/>
    </row>
    <row r="12" spans="1:9" ht="15.75">
      <c r="A12" s="3553" t="str">
        <f>结果表!A126</f>
        <v/>
      </c>
      <c r="B12" s="3553"/>
      <c r="C12" s="3553"/>
      <c r="D12" s="3553" t="str">
        <f>结果表!D126</f>
        <v>——</v>
      </c>
      <c r="E12" s="3553"/>
      <c r="F12" s="3553"/>
      <c r="G12" s="3553"/>
      <c r="H12" s="3553"/>
      <c r="I12" s="3553"/>
    </row>
    <row r="13" spans="1:9" ht="15.75" thickBot="1">
      <c r="A13" s="3551" t="s">
        <v>927</v>
      </c>
      <c r="B13" s="3551"/>
      <c r="C13" s="3551"/>
      <c r="D13" s="3551" t="e">
        <f>结果表!D127</f>
        <v>#VALUE!</v>
      </c>
      <c r="E13" s="3551"/>
      <c r="F13" s="3551"/>
      <c r="G13" s="3551"/>
      <c r="H13" s="3551"/>
      <c r="I13" s="3551"/>
    </row>
    <row r="14" spans="1:9" ht="15" thickTop="1">
      <c r="A14" s="3552" t="s">
        <v>932</v>
      </c>
      <c r="B14" s="3552"/>
      <c r="C14" s="3552"/>
      <c r="D14" s="3552"/>
      <c r="E14" s="3552"/>
      <c r="F14" s="3552"/>
      <c r="G14" s="3552"/>
      <c r="H14" s="3552"/>
      <c r="I14" s="355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6" t="s">
        <v>949</v>
      </c>
      <c r="B1" s="3566"/>
      <c r="C1" s="3566"/>
      <c r="D1" s="3566"/>
    </row>
    <row r="2" spans="1:4" ht="18">
      <c r="A2" s="3567" t="s">
        <v>933</v>
      </c>
      <c r="B2" s="3567"/>
      <c r="C2" s="3567"/>
      <c r="D2" s="3567"/>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567" t="s">
        <v>939</v>
      </c>
      <c r="B6" s="3567"/>
      <c r="C6" s="3567"/>
      <c r="D6" s="356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8" t="s">
        <v>942</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5"/>
      <c r="C12" s="3565"/>
      <c r="D12" s="3565"/>
    </row>
    <row r="13" spans="1:4" ht="30" customHeight="1">
      <c r="A13" s="3560" t="str">
        <f>IF(项目基本情况!B8="抵押","3.抵押双方在办理抵押登记手续时，应使用本公司出具的正式《房地产评估报告》，特提醒报告使用者注意。","——")</f>
        <v>——</v>
      </c>
      <c r="B13" s="3565"/>
      <c r="C13" s="3565"/>
      <c r="D13" s="3565"/>
    </row>
    <row r="14" spans="1:4" ht="15.75" customHeight="1">
      <c r="A14" s="3560" t="str">
        <f>IF(项目基本情况!B8="抵押","4.本次评估估价师所知悉的法定优先受偿款情况说明如下：","——")</f>
        <v>——</v>
      </c>
      <c r="B14" s="3565"/>
      <c r="C14" s="3565"/>
      <c r="D14" s="3565"/>
    </row>
    <row r="15" spans="1:4" ht="42" customHeight="1">
      <c r="A15" s="3560" t="str">
        <f>IF(项目基本情况!B8="抵押","（1）"&amp;CONCATENATE(项目基本情况!L20,项目基本情况!L21,项目基本情况!L22),"——")</f>
        <v>——</v>
      </c>
      <c r="B15" s="3560"/>
      <c r="C15" s="3560"/>
      <c r="D15" s="3560"/>
    </row>
    <row r="16" spans="1:4" ht="30" customHeight="1">
      <c r="A16" s="3562" t="s">
        <v>943</v>
      </c>
      <c r="B16" s="3562"/>
      <c r="C16" s="3562"/>
      <c r="D16" s="3562"/>
    </row>
    <row r="17" spans="1:4" ht="144" customHeight="1">
      <c r="A17" s="3562" t="s">
        <v>944</v>
      </c>
      <c r="B17" s="3562"/>
      <c r="C17" s="3562"/>
      <c r="D17" s="3562"/>
    </row>
    <row r="18" spans="1:4" ht="15.75" customHeight="1">
      <c r="A18" s="3560" t="str">
        <f>IF(项目基本情况!B8="抵押",结果表!K120,"——")</f>
        <v>——</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0"/>
      <c r="C20" s="3560"/>
      <c r="D20" s="3560"/>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3"/>
      <c r="C21" s="3563"/>
      <c r="D21" s="3563"/>
    </row>
    <row r="22" spans="1:4" ht="18.75" customHeight="1">
      <c r="A22" s="3564" t="s">
        <v>945</v>
      </c>
      <c r="B22" s="3564"/>
      <c r="C22" s="3564"/>
      <c r="D22" s="356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1">
        <v>42551</v>
      </c>
      <c r="D31" s="35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4" t="s">
        <v>956</v>
      </c>
      <c r="B15" s="3569" t="s">
        <v>109</v>
      </c>
      <c r="C15" s="3570"/>
    </row>
    <row r="16" spans="1:7" ht="13.5">
      <c r="A16" s="3575"/>
      <c r="B16" s="3569" t="s">
        <v>42</v>
      </c>
      <c r="C16" s="3570"/>
    </row>
    <row r="17" spans="1:3" ht="13.5">
      <c r="A17" s="3575"/>
      <c r="B17" s="3572" t="s">
        <v>957</v>
      </c>
      <c r="C17" s="1532" t="s">
        <v>956</v>
      </c>
    </row>
    <row r="18" spans="1:3" ht="13.5">
      <c r="A18" s="3575"/>
      <c r="B18" s="3572"/>
      <c r="C18" s="1532" t="s">
        <v>958</v>
      </c>
    </row>
    <row r="19" spans="1:3" ht="13.5">
      <c r="A19" s="3575"/>
      <c r="B19" s="3572"/>
      <c r="C19" s="1532" t="s">
        <v>959</v>
      </c>
    </row>
    <row r="20" spans="1:3" ht="13.5">
      <c r="A20" s="3576"/>
      <c r="B20" s="3571" t="s">
        <v>960</v>
      </c>
      <c r="C20" s="3570"/>
    </row>
    <row r="21" spans="1:3" ht="13.5">
      <c r="A21" s="1533" t="s">
        <v>961</v>
      </c>
      <c r="B21" s="1534"/>
      <c r="C21" s="1535"/>
    </row>
    <row r="22" spans="1:3" ht="13.5">
      <c r="A22" s="3573" t="s">
        <v>962</v>
      </c>
      <c r="B22" s="3571" t="s">
        <v>963</v>
      </c>
      <c r="C22" s="3570"/>
    </row>
    <row r="23" spans="1:3" ht="13.5">
      <c r="A23" s="3573"/>
      <c r="B23" s="3571" t="s">
        <v>964</v>
      </c>
      <c r="C23" s="3570"/>
    </row>
    <row r="24" spans="1:3" ht="13.5">
      <c r="A24" s="3573"/>
      <c r="B24" s="3571" t="s">
        <v>965</v>
      </c>
      <c r="C24" s="3570"/>
    </row>
    <row r="25" spans="1:3" ht="13.5">
      <c r="A25" s="3573"/>
      <c r="B25" s="3572" t="s">
        <v>966</v>
      </c>
      <c r="C25" s="1532" t="s">
        <v>967</v>
      </c>
    </row>
    <row r="26" spans="1:3" ht="13.5">
      <c r="A26" s="3573"/>
      <c r="B26" s="3572"/>
      <c r="C26" s="1532" t="s">
        <v>968</v>
      </c>
    </row>
    <row r="27" spans="1:3" ht="13.5">
      <c r="A27" s="3573"/>
      <c r="B27" s="3572"/>
      <c r="C27" s="1532" t="s">
        <v>969</v>
      </c>
    </row>
    <row r="28" spans="1:3" ht="13.5">
      <c r="A28" s="3573"/>
      <c r="B28" s="3572"/>
      <c r="C28" s="1532" t="s">
        <v>970</v>
      </c>
    </row>
    <row r="29" spans="1:3" ht="13.5">
      <c r="A29" s="3573"/>
      <c r="B29" s="3572"/>
      <c r="C29" s="1532" t="s">
        <v>971</v>
      </c>
    </row>
    <row r="30" spans="1:3" ht="13.5">
      <c r="A30" s="3573"/>
      <c r="B30" s="3572"/>
      <c r="C30" s="1532" t="s">
        <v>972</v>
      </c>
    </row>
    <row r="31" spans="1:3" ht="13.5">
      <c r="A31" s="3573"/>
      <c r="B31" s="3572"/>
      <c r="C31" s="1532" t="s">
        <v>973</v>
      </c>
    </row>
    <row r="32" spans="1:3" ht="13.5">
      <c r="A32" s="3573"/>
      <c r="B32" s="3572"/>
      <c r="C32" s="1532" t="s">
        <v>974</v>
      </c>
    </row>
    <row r="33" spans="1:3" ht="13.5">
      <c r="A33" s="3573"/>
      <c r="B33" s="357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44982</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7" t="s">
        <v>2158</v>
      </c>
      <c r="B17" s="3577"/>
      <c r="C17" s="3577"/>
      <c r="D17" s="3577"/>
      <c r="E17" s="3577"/>
      <c r="F17" s="3577"/>
      <c r="G17" s="3577"/>
      <c r="H17" s="3577"/>
    </row>
    <row r="18" spans="1:8" ht="24" customHeight="1">
      <c r="A18" s="3578" t="s">
        <v>2159</v>
      </c>
      <c r="B18" s="3578"/>
      <c r="C18" s="3578"/>
      <c r="D18" s="2343"/>
      <c r="E18" s="3579" t="s">
        <v>2160</v>
      </c>
      <c r="F18" s="3578"/>
      <c r="G18" s="3578"/>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租售</vt:lpstr>
      <vt:lpstr>前门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2023-02-25T08:30:37Z</dcterms:modified>
</cp:coreProperties>
</file>