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F03\"/>
    </mc:Choice>
  </mc:AlternateContent>
  <xr:revisionPtr revIDLastSave="0" documentId="13_ncr:1_{851A25A6-AD15-4F75-B241-360A850FBA18}" xr6:coauthVersionLast="45" xr6:coauthVersionMax="45" xr10:uidLastSave="{00000000-0000-0000-0000-000000000000}"/>
  <bookViews>
    <workbookView xWindow="-330" yWindow="0" windowWidth="8640" windowHeight="10875"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6" i="88" l="1"/>
  <c r="D46" i="88"/>
  <c r="D25" i="88"/>
  <c r="D26" i="88"/>
  <c r="D27" i="88"/>
  <c r="D28" i="88"/>
  <c r="D29" i="88"/>
  <c r="D24" i="88"/>
  <c r="S38" i="88"/>
  <c r="S34" i="88"/>
  <c r="N15" i="88"/>
  <c r="N39" i="88"/>
  <c r="N38" i="88"/>
  <c r="H39" i="88"/>
  <c r="H37" i="88"/>
  <c r="H35" i="88"/>
  <c r="H33" i="88"/>
  <c r="H5" i="88"/>
  <c r="H30" i="88"/>
  <c r="E77" i="39"/>
  <c r="F77" i="39"/>
  <c r="G77" i="39"/>
  <c r="H77" i="39"/>
  <c r="I77" i="39"/>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c r="K40" i="88"/>
  <c r="K36" i="88"/>
  <c r="J54" i="88"/>
  <c r="K42" i="88"/>
  <c r="I54" i="88"/>
  <c r="K19" i="88"/>
  <c r="C54" i="88"/>
  <c r="K4" i="88"/>
  <c r="D54" i="88"/>
  <c r="K37" i="88"/>
  <c r="E54" i="88"/>
  <c r="K34" i="88"/>
  <c r="F54" i="88"/>
  <c r="K32" i="88"/>
  <c r="G54" i="88"/>
  <c r="K39" i="88"/>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c r="G66" i="33"/>
  <c r="H66" i="33"/>
  <c r="I66" i="33"/>
  <c r="D66" i="33"/>
  <c r="C19" i="6"/>
  <c r="K17" i="88"/>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c r="D47" i="83"/>
  <c r="D48" i="83"/>
  <c r="D49" i="83"/>
  <c r="D50" i="83"/>
  <c r="E24" i="83"/>
  <c r="E25" i="83"/>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N89" i="84"/>
  <c r="O89" i="84"/>
  <c r="P89" i="84"/>
  <c r="Q89" i="84"/>
  <c r="R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E47" i="80"/>
  <c r="G47" i="80"/>
  <c r="I47" i="80"/>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H45" i="80"/>
  <c r="B126" i="80"/>
  <c r="H44" i="80"/>
  <c r="F125" i="80"/>
  <c r="G125" i="80"/>
  <c r="D125" i="80"/>
  <c r="E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F45" i="80"/>
  <c r="AA45" i="80"/>
  <c r="Q44" i="80"/>
  <c r="Z44" i="80"/>
  <c r="J44" i="80"/>
  <c r="AC44" i="80"/>
  <c r="Q43" i="80"/>
  <c r="Z43" i="80"/>
  <c r="J43" i="80"/>
  <c r="AC43" i="80"/>
  <c r="H43" i="80"/>
  <c r="AB43" i="80"/>
  <c r="F43" i="80"/>
  <c r="AA43" i="80"/>
  <c r="Q42" i="80"/>
  <c r="Z42" i="80"/>
  <c r="H42" i="80"/>
  <c r="AB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33" i="84"/>
  <c r="J33" i="84"/>
  <c r="F33" i="84"/>
  <c r="F42" i="80"/>
  <c r="AA42" i="80"/>
  <c r="J42" i="80"/>
  <c r="W42" i="80"/>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AA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W33" i="84"/>
  <c r="AC33" i="84"/>
  <c r="AA33" i="84"/>
  <c r="S33" i="84"/>
  <c r="AB33" i="84"/>
  <c r="U33" i="84"/>
  <c r="S42" i="80"/>
  <c r="S44" i="80"/>
  <c r="W26" i="80"/>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Q21" i="33"/>
  <c r="Z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S21" i="33"/>
  <c r="H1" i="69"/>
  <c r="W25" i="40"/>
  <c r="U25" i="40"/>
  <c r="U29" i="39"/>
  <c r="W29" i="39"/>
  <c r="W18" i="36"/>
  <c r="AB21" i="37"/>
  <c r="U21" i="37"/>
  <c r="S21" i="37"/>
  <c r="U21" i="34"/>
  <c r="AB21" i="33"/>
  <c r="AA21" i="33"/>
  <c r="U18" i="35"/>
  <c r="AC18" i="35"/>
  <c r="W18" i="35"/>
  <c r="J21" i="37"/>
  <c r="W21" i="37"/>
  <c r="J21" i="34"/>
  <c r="W21" i="34"/>
  <c r="J21" i="33"/>
  <c r="W21" i="33"/>
  <c r="F38" i="69"/>
  <c r="E37" i="69"/>
  <c r="F36" i="69"/>
  <c r="F35" i="69"/>
  <c r="F21" i="69"/>
  <c r="F40" i="69"/>
  <c r="F20" i="69"/>
  <c r="F39" i="69"/>
  <c r="E10" i="69"/>
  <c r="E9" i="69"/>
  <c r="AC21" i="37"/>
  <c r="AC21" i="34"/>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D125" i="33"/>
  <c r="E125" i="33"/>
  <c r="F125" i="33"/>
  <c r="G125" i="33"/>
  <c r="D123" i="33"/>
  <c r="D117" i="33"/>
  <c r="E117" i="33"/>
  <c r="F117" i="33"/>
  <c r="G117" i="33"/>
  <c r="D115" i="33"/>
  <c r="E115" i="33"/>
  <c r="F115" i="33"/>
  <c r="G115" i="33"/>
  <c r="H115" i="33"/>
  <c r="I115" i="33"/>
  <c r="J115" i="33"/>
  <c r="K115" i="33"/>
  <c r="L115" i="33"/>
  <c r="M115" i="33"/>
  <c r="D108" i="33"/>
  <c r="E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S40"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AC31" i="39"/>
  <c r="F100" i="39"/>
  <c r="H27" i="39"/>
  <c r="U27" i="39"/>
  <c r="J19" i="39"/>
  <c r="AC19" i="39"/>
  <c r="J17" i="39"/>
  <c r="AC17" i="39"/>
  <c r="J27" i="39"/>
  <c r="AC27" i="39"/>
  <c r="F27" i="39"/>
  <c r="S27" i="39"/>
  <c r="C25" i="39"/>
  <c r="C27" i="39"/>
  <c r="C21" i="39"/>
  <c r="H11" i="39"/>
  <c r="U11" i="39"/>
  <c r="S40" i="39"/>
  <c r="C15" i="39"/>
  <c r="H37" i="40"/>
  <c r="U37" i="40"/>
  <c r="H36" i="40"/>
  <c r="AB36" i="40"/>
  <c r="F35" i="40"/>
  <c r="AA35" i="40"/>
  <c r="H23" i="40"/>
  <c r="AB23" i="40"/>
  <c r="H17" i="40"/>
  <c r="U17" i="40"/>
  <c r="J15" i="40"/>
  <c r="W15" i="40"/>
  <c r="J11" i="40"/>
  <c r="W11" i="40"/>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E113" i="33"/>
  <c r="F113" i="33"/>
  <c r="G113" i="33"/>
  <c r="H113" i="33"/>
  <c r="I113" i="33"/>
  <c r="J113" i="33"/>
  <c r="K113" i="33"/>
  <c r="L113" i="33"/>
  <c r="M113" i="33"/>
  <c r="F32" i="33"/>
  <c r="AA32" i="33"/>
  <c r="J19" i="33"/>
  <c r="AC19" i="33"/>
  <c r="J15" i="33"/>
  <c r="AC15" i="33"/>
  <c r="F11" i="33"/>
  <c r="AA11"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A14" i="37"/>
  <c r="AC13" i="36"/>
  <c r="W13" i="36"/>
  <c r="S11" i="36"/>
  <c r="AB46" i="34"/>
  <c r="AC30" i="34"/>
  <c r="AA14" i="34"/>
  <c r="S45" i="33"/>
  <c r="AB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c r="E123" i="33"/>
  <c r="F123" i="33"/>
  <c r="G123" i="33"/>
  <c r="H123" i="33"/>
  <c r="I123" i="33"/>
  <c r="J123" i="33"/>
  <c r="K123" i="33"/>
  <c r="L123" i="33"/>
  <c r="M123"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c r="S28" i="31"/>
  <c r="S27" i="31"/>
  <c r="S26" i="31"/>
  <c r="U14" i="40"/>
  <c r="AA12" i="35"/>
  <c r="W14" i="37"/>
  <c r="AB28" i="37"/>
  <c r="U33" i="37"/>
  <c r="U39" i="37"/>
  <c r="W26" i="37"/>
  <c r="AC36" i="34"/>
  <c r="AA13" i="33"/>
  <c r="AC31" i="33"/>
  <c r="AC45" i="33"/>
  <c r="U11"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J42" i="39"/>
  <c r="AC42" i="39"/>
  <c r="H21" i="40"/>
  <c r="AB21" i="40"/>
  <c r="H31" i="37"/>
  <c r="U31" i="37"/>
  <c r="F71" i="37"/>
  <c r="G71" i="37"/>
  <c r="J15" i="37"/>
  <c r="W15" i="37"/>
  <c r="AT6" i="3"/>
  <c r="H5" i="3"/>
  <c r="H19" i="40"/>
  <c r="U19" i="40"/>
  <c r="F88" i="40"/>
  <c r="G88" i="40"/>
  <c r="F19" i="40"/>
  <c r="S19" i="40"/>
  <c r="S14" i="40"/>
  <c r="AC13" i="40"/>
  <c r="AB33" i="40"/>
  <c r="AB44" i="39"/>
  <c r="U44" i="39"/>
  <c r="G100" i="39"/>
  <c r="H37" i="39"/>
  <c r="AB37" i="39"/>
  <c r="AC37" i="39"/>
  <c r="W37" i="39"/>
  <c r="H25" i="39"/>
  <c r="AB25" i="39"/>
  <c r="J25" i="39"/>
  <c r="F25" i="39"/>
  <c r="AA25" i="39"/>
  <c r="F15" i="39"/>
  <c r="AA15" i="39"/>
  <c r="H15" i="39"/>
  <c r="U15" i="39"/>
  <c r="J15" i="39"/>
  <c r="W15" i="39"/>
  <c r="H41" i="39"/>
  <c r="AB41" i="39"/>
  <c r="AB34" i="39"/>
  <c r="U40" i="39"/>
  <c r="S42" i="39"/>
  <c r="AA41" i="39"/>
  <c r="W9" i="39"/>
  <c r="W8" i="39"/>
  <c r="J19" i="40"/>
  <c r="AC19" i="40"/>
  <c r="J50" i="40"/>
  <c r="H103" i="9"/>
  <c r="D8" i="53"/>
  <c r="B16" i="53"/>
  <c r="B33" i="72"/>
  <c r="C7" i="37"/>
  <c r="C7" i="34"/>
  <c r="C7" i="36"/>
  <c r="W35" i="40"/>
  <c r="A118" i="9"/>
  <c r="A4" i="52"/>
  <c r="B41" i="72"/>
  <c r="F11" i="39"/>
  <c r="AA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S14" i="35"/>
  <c r="G8" i="1"/>
  <c r="G10" i="1"/>
  <c r="W37" i="37"/>
  <c r="W44" i="34"/>
  <c r="AC44" i="34"/>
  <c r="S15" i="37"/>
  <c r="U13" i="37"/>
  <c r="U12" i="40"/>
  <c r="AA12" i="40"/>
  <c r="J37" i="33"/>
  <c r="W37" i="33"/>
  <c r="AC17" i="34"/>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9" i="34"/>
  <c r="S39" i="34"/>
  <c r="J39" i="34"/>
  <c r="W39" i="34"/>
  <c r="F40" i="34"/>
  <c r="S40" i="34"/>
  <c r="F43" i="34"/>
  <c r="AA43" i="34"/>
  <c r="H44" i="34"/>
  <c r="AB44" i="34"/>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B41" i="1"/>
  <c r="F48" i="9"/>
  <c r="O52" i="9"/>
  <c r="AB37" i="40"/>
  <c r="S35" i="40"/>
  <c r="U35" i="40"/>
  <c r="AC36" i="40"/>
  <c r="W38" i="40"/>
  <c r="AA32" i="40"/>
  <c r="S17" i="40"/>
  <c r="S23" i="40"/>
  <c r="AC17" i="40"/>
  <c r="AC15" i="40"/>
  <c r="AB27" i="40"/>
  <c r="S30" i="40"/>
  <c r="AA19" i="40"/>
  <c r="S28" i="40"/>
  <c r="AA27" i="40"/>
  <c r="U21" i="40"/>
  <c r="AB19" i="40"/>
  <c r="U37" i="39"/>
  <c r="S37" i="39"/>
  <c r="U35" i="39"/>
  <c r="F32" i="39"/>
  <c r="S32" i="39"/>
  <c r="F106" i="39"/>
  <c r="G106" i="39"/>
  <c r="H106" i="39"/>
  <c r="I106" i="39"/>
  <c r="J106" i="39"/>
  <c r="K106" i="39"/>
  <c r="L106" i="39"/>
  <c r="M106" i="39"/>
  <c r="U25" i="39"/>
  <c r="AB27" i="39"/>
  <c r="U31" i="39"/>
  <c r="J21" i="39"/>
  <c r="W21" i="39"/>
  <c r="F21" i="39"/>
  <c r="S21" i="39"/>
  <c r="G94" i="39"/>
  <c r="H21" i="39"/>
  <c r="U21" i="39"/>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S27" i="33"/>
  <c r="AA29" i="33"/>
  <c r="AB29" i="33"/>
  <c r="H41" i="33"/>
  <c r="AB41" i="33"/>
  <c r="F36" i="33"/>
  <c r="AA36" i="33"/>
  <c r="S37" i="33"/>
  <c r="AA37" i="33"/>
  <c r="J32" i="33"/>
  <c r="W32" i="33"/>
  <c r="F91" i="33"/>
  <c r="G91" i="33"/>
  <c r="H91" i="33"/>
  <c r="I91" i="33"/>
  <c r="J91" i="33"/>
  <c r="K91" i="33"/>
  <c r="L91" i="33"/>
  <c r="M91" i="33"/>
  <c r="H27" i="33"/>
  <c r="AB27" i="33"/>
  <c r="J23" i="33"/>
  <c r="W23" i="33"/>
  <c r="H23" i="33"/>
  <c r="U23" i="33"/>
  <c r="F19" i="33"/>
  <c r="S19" i="33"/>
  <c r="W19" i="33"/>
  <c r="J17" i="33"/>
  <c r="AC17" i="33"/>
  <c r="F79" i="33"/>
  <c r="G79"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AA12" i="33"/>
  <c r="D68" i="9"/>
  <c r="J32" i="39"/>
  <c r="W32" i="39"/>
  <c r="H32" i="39"/>
  <c r="AB32" i="39"/>
  <c r="AA32" i="39"/>
  <c r="AC17" i="37"/>
  <c r="S17" i="37"/>
  <c r="J19" i="37"/>
  <c r="G75" i="37"/>
  <c r="S19" i="37"/>
  <c r="AA19" i="37"/>
  <c r="AA23" i="37"/>
  <c r="J23" i="37"/>
  <c r="G79" i="37"/>
  <c r="J10" i="37"/>
  <c r="W10" i="37"/>
  <c r="G63" i="37"/>
  <c r="H11" i="37"/>
  <c r="AB11" i="37"/>
  <c r="G70" i="34"/>
  <c r="H11" i="34"/>
  <c r="U11" i="34"/>
  <c r="J10" i="34"/>
  <c r="AC10" i="34"/>
  <c r="U41" i="33"/>
  <c r="J36" i="33"/>
  <c r="W36" i="33"/>
  <c r="H36" i="33"/>
  <c r="U36" i="33"/>
  <c r="J27" i="33"/>
  <c r="W27" i="33"/>
  <c r="F23" i="33"/>
  <c r="S23" i="33"/>
  <c r="H19" i="33"/>
  <c r="U19" i="33"/>
  <c r="H17" i="33"/>
  <c r="AB17" i="33"/>
  <c r="F17" i="33"/>
  <c r="W17" i="33"/>
  <c r="D6" i="52"/>
  <c r="AP7" i="1"/>
  <c r="A18" i="62"/>
  <c r="B64" i="72"/>
  <c r="U32" i="39"/>
  <c r="W19" i="37"/>
  <c r="AC19" i="37"/>
  <c r="W23" i="37"/>
  <c r="AC23" i="37"/>
  <c r="H63" i="37"/>
  <c r="I63" i="37"/>
  <c r="J63" i="37"/>
  <c r="K63" i="37"/>
  <c r="L63" i="37"/>
  <c r="M63" i="37"/>
  <c r="J11" i="37"/>
  <c r="AC11" i="37"/>
  <c r="H70" i="34"/>
  <c r="I70" i="34"/>
  <c r="J70" i="34"/>
  <c r="K70" i="34"/>
  <c r="L70" i="34"/>
  <c r="M70" i="34"/>
  <c r="J11" i="34"/>
  <c r="W11" i="34"/>
  <c r="AA23" i="33"/>
  <c r="AA17" i="33"/>
  <c r="S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2" i="68"/>
  <c r="M6" i="67"/>
  <c r="L48" i="15"/>
  <c r="F16" i="67"/>
  <c r="J15" i="15"/>
  <c r="F42" i="67"/>
  <c r="F42" i="15"/>
  <c r="F43" i="15"/>
  <c r="C76" i="67"/>
  <c r="L47" i="15"/>
  <c r="F37" i="15"/>
  <c r="F43" i="67"/>
  <c r="E7" i="76"/>
  <c r="M24" i="67"/>
  <c r="E12" i="76"/>
  <c r="E10" i="76"/>
  <c r="M22" i="67"/>
  <c r="M26" i="67"/>
  <c r="D34" i="9"/>
  <c r="E8" i="76"/>
  <c r="B8" i="76"/>
  <c r="L48" i="67"/>
  <c r="D35" i="9"/>
  <c r="M8" i="15"/>
  <c r="F36" i="15"/>
  <c r="F13" i="15"/>
  <c r="F6" i="73"/>
  <c r="F8" i="15"/>
  <c r="J15" i="67"/>
  <c r="D6" i="73"/>
  <c r="F6" i="15"/>
  <c r="M29" i="15"/>
  <c r="F7" i="15"/>
  <c r="F7" i="73"/>
  <c r="B12" i="76"/>
  <c r="E9" i="76"/>
  <c r="L47" i="67"/>
  <c r="M6" i="15"/>
  <c r="F8" i="67"/>
  <c r="F26" i="67"/>
  <c r="M8" i="67"/>
  <c r="F5" i="73"/>
  <c r="M28" i="67"/>
  <c r="M28" i="15"/>
  <c r="C76" i="15"/>
  <c r="M29" i="67"/>
  <c r="M9" i="67"/>
  <c r="F9" i="67"/>
  <c r="F38" i="15"/>
  <c r="D7" i="73"/>
  <c r="B7" i="76"/>
  <c r="E13" i="76"/>
  <c r="AO13" i="1"/>
  <c r="F26" i="15"/>
  <c r="F20" i="31"/>
  <c r="F6" i="67"/>
  <c r="M23" i="15"/>
  <c r="B10" i="76"/>
  <c r="F13" i="67"/>
  <c r="M24" i="15"/>
  <c r="F4" i="73"/>
  <c r="E11" i="76"/>
  <c r="F38" i="67"/>
  <c r="F40" i="15"/>
  <c r="F37" i="67"/>
  <c r="M9" i="15"/>
  <c r="E2" i="69"/>
  <c r="D3" i="73"/>
  <c r="F3" i="73"/>
  <c r="F9" i="15"/>
  <c r="B11" i="76"/>
  <c r="B9" i="76"/>
  <c r="F16" i="15"/>
  <c r="F36" i="67"/>
  <c r="M22" i="15"/>
  <c r="F40" i="67"/>
  <c r="M23" i="67"/>
  <c r="B13" i="76"/>
  <c r="M26" i="15"/>
  <c r="F7" i="67"/>
  <c r="H32" i="33"/>
  <c r="AB32" i="33"/>
  <c r="AC38" i="39"/>
  <c r="S38" i="39"/>
  <c r="AA39" i="39"/>
  <c r="AC32" i="39"/>
  <c r="S31" i="39"/>
  <c r="W27" i="39"/>
  <c r="S23" i="39"/>
  <c r="AA21" i="39"/>
  <c r="S15" i="39"/>
  <c r="W23" i="39"/>
  <c r="AB21" i="39"/>
  <c r="W19" i="39"/>
  <c r="S19" i="39"/>
  <c r="U17" i="39"/>
  <c r="S17" i="39"/>
  <c r="W12" i="39"/>
  <c r="AC12" i="39"/>
  <c r="AA14" i="39"/>
  <c r="S14" i="39"/>
  <c r="AC13" i="39"/>
  <c r="H12" i="39"/>
  <c r="J11" i="39"/>
  <c r="W11" i="39"/>
  <c r="F12" i="39"/>
  <c r="AC11" i="39"/>
  <c r="S11" i="39"/>
  <c r="AB8" i="39"/>
  <c r="F43" i="33"/>
  <c r="AA43" i="33"/>
  <c r="H43" i="33"/>
  <c r="H42" i="33"/>
  <c r="AB42" i="33"/>
  <c r="F42" i="33"/>
  <c r="AA42" i="33"/>
  <c r="W39" i="33"/>
  <c r="S36" i="33"/>
  <c r="W38" i="33"/>
  <c r="F108" i="33"/>
  <c r="G108" i="33"/>
  <c r="H108" i="33"/>
  <c r="I108" i="33"/>
  <c r="J108" i="33"/>
  <c r="K108" i="33"/>
  <c r="L108" i="33"/>
  <c r="M108" i="33"/>
  <c r="J35" i="33"/>
  <c r="AC35" i="33"/>
  <c r="H35" i="33"/>
  <c r="U35" i="33"/>
  <c r="F35" i="33"/>
  <c r="S35" i="33"/>
  <c r="G106" i="33"/>
  <c r="H106" i="33"/>
  <c r="I106" i="33"/>
  <c r="J106" i="33"/>
  <c r="K106" i="33"/>
  <c r="L106" i="33"/>
  <c r="M106" i="33"/>
  <c r="H34" i="33"/>
  <c r="U34" i="33"/>
  <c r="F34" i="33"/>
  <c r="S34" i="33"/>
  <c r="J34" i="33"/>
  <c r="W34" i="33"/>
  <c r="W43" i="33"/>
  <c r="S42" i="33"/>
  <c r="U40" i="33"/>
  <c r="W40" i="33"/>
  <c r="S39" i="33"/>
  <c r="U38" i="33"/>
  <c r="AC37" i="33"/>
  <c r="W35" i="33"/>
  <c r="AA34" i="33"/>
  <c r="S28" i="33"/>
  <c r="W26" i="33"/>
  <c r="S38" i="33"/>
  <c r="U33" i="33"/>
  <c r="AC27" i="33"/>
  <c r="U27" i="33"/>
  <c r="AB26" i="33"/>
  <c r="F87" i="33"/>
  <c r="G87" i="33"/>
  <c r="F25" i="33"/>
  <c r="AA25" i="33"/>
  <c r="J25" i="33"/>
  <c r="W25" i="33"/>
  <c r="AB23" i="33"/>
  <c r="AC23" i="33"/>
  <c r="AB19" i="33"/>
  <c r="AA19" i="33"/>
  <c r="U15" i="33"/>
  <c r="W15" i="33"/>
  <c r="F15" i="33"/>
  <c r="U17" i="33"/>
  <c r="AB45" i="33"/>
  <c r="S41" i="33"/>
  <c r="AC21" i="33"/>
  <c r="S43" i="33"/>
  <c r="AB36" i="33"/>
  <c r="U37" i="33"/>
  <c r="AA35" i="33"/>
  <c r="S11" i="33"/>
  <c r="AC32" i="33"/>
  <c r="S32" i="33"/>
  <c r="U32" i="33"/>
  <c r="B14" i="74"/>
  <c r="D3" i="84"/>
  <c r="AH6" i="1"/>
  <c r="C5" i="68"/>
  <c r="F6" i="1"/>
  <c r="G6" i="1"/>
  <c r="C7" i="80"/>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C16" i="15"/>
  <c r="D4" i="73"/>
  <c r="D5" i="73"/>
  <c r="C16" i="67"/>
  <c r="AB34" i="33"/>
  <c r="AC34" i="33"/>
  <c r="S12" i="39"/>
  <c r="AA12" i="39"/>
  <c r="AB12" i="39"/>
  <c r="U12" i="39"/>
  <c r="AB43" i="33"/>
  <c r="U43" i="33"/>
  <c r="U42" i="33"/>
  <c r="H87" i="33"/>
  <c r="I87" i="33"/>
  <c r="J87" i="33"/>
  <c r="K87" i="33"/>
  <c r="L87" i="33"/>
  <c r="M87" i="33"/>
  <c r="H25" i="33"/>
  <c r="AC25" i="33"/>
  <c r="S25" i="33"/>
  <c r="AA15" i="33"/>
  <c r="S15" i="33"/>
  <c r="H16" i="1"/>
  <c r="G26" i="43"/>
  <c r="G16" i="1"/>
  <c r="F10" i="39"/>
  <c r="AA10" i="39"/>
  <c r="C58" i="80"/>
  <c r="D58" i="80"/>
  <c r="E58" i="80"/>
  <c r="F58" i="80"/>
  <c r="G58" i="80"/>
  <c r="H58" i="80"/>
  <c r="I58" i="80"/>
  <c r="J58" i="80"/>
  <c r="K58" i="80"/>
  <c r="L58" i="80"/>
  <c r="M58" i="80"/>
  <c r="N58" i="80"/>
  <c r="O58" i="80"/>
  <c r="I7" i="80"/>
  <c r="E7" i="80"/>
  <c r="G7" i="80"/>
  <c r="I7" i="84"/>
  <c r="E7" i="84"/>
  <c r="C58" i="84"/>
  <c r="D58" i="84"/>
  <c r="E58" i="84"/>
  <c r="F58" i="84"/>
  <c r="G58" i="84"/>
  <c r="H58" i="84"/>
  <c r="I58" i="84"/>
  <c r="J58" i="84"/>
  <c r="K58" i="84"/>
  <c r="L58" i="84"/>
  <c r="M58" i="84"/>
  <c r="N58" i="84"/>
  <c r="O58" i="84"/>
  <c r="G7" i="84"/>
  <c r="H7" i="84"/>
  <c r="C36" i="68"/>
  <c r="Q16" i="1"/>
  <c r="F27" i="69"/>
  <c r="C47" i="69"/>
  <c r="D45" i="69"/>
  <c r="N94" i="46"/>
  <c r="E26" i="43"/>
  <c r="J26" i="43"/>
  <c r="P6" i="1"/>
  <c r="C13" i="12"/>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AC6" i="3"/>
  <c r="E58" i="40"/>
  <c r="E62" i="39"/>
  <c r="AY6" i="3"/>
  <c r="E3" i="6"/>
  <c r="M14" i="1"/>
  <c r="D5" i="43"/>
  <c r="D26" i="43"/>
  <c r="C25" i="43"/>
  <c r="C7" i="43"/>
  <c r="C5" i="43"/>
  <c r="D10" i="52"/>
  <c r="D125" i="9"/>
  <c r="D11" i="52"/>
  <c r="B7" i="74"/>
  <c r="C7" i="74"/>
  <c r="F59" i="67"/>
  <c r="H7" i="37"/>
  <c r="AB7" i="37"/>
  <c r="T42" i="37"/>
  <c r="G42" i="37"/>
  <c r="H7" i="33"/>
  <c r="J7" i="33"/>
  <c r="D65" i="40"/>
  <c r="E63" i="40"/>
  <c r="F48" i="35"/>
  <c r="S7" i="36"/>
  <c r="AC7" i="37"/>
  <c r="V42" i="37"/>
  <c r="I42" i="37"/>
  <c r="W7" i="37"/>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G1" i="73"/>
  <c r="S10" i="39"/>
  <c r="H10" i="40"/>
  <c r="AB10" i="40"/>
  <c r="F10" i="40"/>
  <c r="S10" i="40"/>
  <c r="J10" i="40"/>
  <c r="AC10" i="40"/>
  <c r="J10" i="39"/>
  <c r="W10" i="39"/>
  <c r="H10" i="39"/>
  <c r="U10" i="39"/>
  <c r="AB25" i="33"/>
  <c r="U25" i="33"/>
  <c r="D3" i="80"/>
  <c r="F7" i="84"/>
  <c r="AA7" i="84"/>
  <c r="R48" i="84"/>
  <c r="H7" i="80"/>
  <c r="U7" i="80"/>
  <c r="J7" i="80"/>
  <c r="B40" i="1"/>
  <c r="L36" i="43"/>
  <c r="L37" i="43"/>
  <c r="F45" i="69"/>
  <c r="AB7" i="84"/>
  <c r="T48" i="84"/>
  <c r="G48" i="84"/>
  <c r="U7" i="84"/>
  <c r="S7" i="84"/>
  <c r="U7" i="36"/>
  <c r="J7" i="84"/>
  <c r="AB7" i="80"/>
  <c r="T48" i="80"/>
  <c r="F27" i="68"/>
  <c r="F45" i="68"/>
  <c r="F67" i="39"/>
  <c r="F69" i="39"/>
  <c r="F27" i="11"/>
  <c r="C29" i="11"/>
  <c r="D27" i="11"/>
  <c r="C29" i="69"/>
  <c r="D27" i="69"/>
  <c r="S7" i="80"/>
  <c r="AA7" i="80"/>
  <c r="R48"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AC10" i="39"/>
  <c r="U7" i="37"/>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M27" i="67"/>
  <c r="F41" i="15"/>
  <c r="W10" i="40"/>
  <c r="F25" i="12"/>
  <c r="C8" i="83"/>
  <c r="C11" i="83"/>
  <c r="W7" i="80"/>
  <c r="AC7" i="80"/>
  <c r="V48" i="80"/>
  <c r="I48" i="80"/>
  <c r="I52" i="80"/>
  <c r="J52" i="80"/>
  <c r="F22" i="68"/>
  <c r="F41" i="68"/>
  <c r="F24" i="67"/>
  <c r="C24" i="67"/>
  <c r="F24" i="15"/>
  <c r="C24" i="15"/>
  <c r="F22" i="11"/>
  <c r="C23" i="11"/>
  <c r="F22" i="69"/>
  <c r="F41" i="69"/>
  <c r="Q36" i="43"/>
  <c r="M36" i="43"/>
  <c r="P36" i="43"/>
  <c r="O36" i="43"/>
  <c r="N36" i="43"/>
  <c r="G48" i="80"/>
  <c r="G52" i="80"/>
  <c r="H52" i="80"/>
  <c r="G52" i="84"/>
  <c r="H52" i="84"/>
  <c r="G67" i="39"/>
  <c r="H67" i="39"/>
  <c r="W7" i="84"/>
  <c r="AC7" i="84"/>
  <c r="V48" i="84"/>
  <c r="I48" i="84"/>
  <c r="E48" i="84"/>
  <c r="R49" i="84"/>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26" i="12"/>
  <c r="D25" i="12"/>
  <c r="C66" i="67"/>
  <c r="C60" i="67"/>
  <c r="D10" i="69"/>
  <c r="C34" i="69"/>
  <c r="D10" i="68"/>
  <c r="C14" i="67"/>
  <c r="C17" i="15"/>
  <c r="C17" i="67"/>
  <c r="C9" i="83"/>
  <c r="C10" i="83"/>
  <c r="C12" i="83"/>
  <c r="R49" i="80"/>
  <c r="C49" i="80"/>
  <c r="C23" i="68"/>
  <c r="C44" i="11"/>
  <c r="D41" i="11"/>
  <c r="C26" i="68"/>
  <c r="D22" i="68"/>
  <c r="C44" i="68"/>
  <c r="D41" i="68"/>
  <c r="C44" i="69"/>
  <c r="D41" i="69"/>
  <c r="C26" i="69"/>
  <c r="D22" i="69"/>
  <c r="C24" i="11"/>
  <c r="C26" i="11"/>
  <c r="D22" i="11"/>
  <c r="C48" i="84"/>
  <c r="C49" i="84"/>
  <c r="I53" i="84"/>
  <c r="J53" i="84"/>
  <c r="I52" i="84"/>
  <c r="J52" i="84"/>
  <c r="G53" i="80"/>
  <c r="H53" i="80"/>
  <c r="E53" i="84"/>
  <c r="F53" i="84"/>
  <c r="E52" i="84"/>
  <c r="F52" i="84"/>
  <c r="G53" i="84"/>
  <c r="H53" i="84"/>
  <c r="C25" i="11"/>
  <c r="C48"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Q40" i="88"/>
  <c r="R40" i="88"/>
  <c r="E47" i="37"/>
  <c r="F47" i="37"/>
  <c r="E46" i="37"/>
  <c r="F46" i="37"/>
  <c r="I47" i="37"/>
  <c r="J47" i="37"/>
  <c r="E53" i="33"/>
  <c r="F53" i="33"/>
  <c r="E52" i="33"/>
  <c r="F52" i="33"/>
  <c r="C33" i="15"/>
  <c r="C33" i="67"/>
  <c r="J19" i="67"/>
  <c r="C34" i="68"/>
  <c r="B6" i="76"/>
  <c r="E6" i="76"/>
  <c r="C14" i="15"/>
  <c r="C13" i="83"/>
  <c r="C14" i="83"/>
  <c r="C20" i="83"/>
  <c r="C19" i="83"/>
  <c r="Q9" i="88"/>
  <c r="R9" i="88"/>
  <c r="Q42" i="88"/>
  <c r="R42" i="88"/>
  <c r="Q41" i="88"/>
  <c r="R41" i="88"/>
  <c r="Q37" i="88"/>
  <c r="R37" i="88"/>
  <c r="Q29" i="88"/>
  <c r="R29" i="88"/>
  <c r="Q21" i="88"/>
  <c r="R21" i="88"/>
  <c r="Q15" i="88"/>
  <c r="R15" i="88"/>
  <c r="Q7" i="88"/>
  <c r="R7" i="88"/>
  <c r="Q5" i="88"/>
  <c r="R5" i="88"/>
  <c r="Q38" i="88"/>
  <c r="R38" i="88"/>
  <c r="Q34" i="88"/>
  <c r="R34" i="88"/>
  <c r="Q30" i="88"/>
  <c r="R30" i="88"/>
  <c r="Q26" i="88"/>
  <c r="R26" i="88"/>
  <c r="Q22" i="88"/>
  <c r="R22" i="88"/>
  <c r="Q18" i="88"/>
  <c r="R18" i="88"/>
  <c r="Q14" i="88"/>
  <c r="R14" i="88"/>
  <c r="Q10" i="88"/>
  <c r="R10" i="88"/>
  <c r="Q3" i="88"/>
  <c r="R3" i="88"/>
  <c r="Q35" i="88"/>
  <c r="R35" i="88"/>
  <c r="Q27" i="88"/>
  <c r="R27" i="88"/>
  <c r="Q17" i="88"/>
  <c r="R17" i="88"/>
  <c r="Q4" i="88"/>
  <c r="R4" i="88"/>
  <c r="Q33" i="88"/>
  <c r="R33" i="88"/>
  <c r="Q25" i="88"/>
  <c r="R25" i="88"/>
  <c r="Q19" i="88"/>
  <c r="R19" i="88"/>
  <c r="Q13" i="88"/>
  <c r="R13" i="88"/>
  <c r="Q2" i="88"/>
  <c r="R2" i="88"/>
  <c r="Q6" i="88"/>
  <c r="R6" i="88"/>
  <c r="Q36" i="88"/>
  <c r="R36" i="88"/>
  <c r="Q32" i="88"/>
  <c r="R32" i="88"/>
  <c r="Q28" i="88"/>
  <c r="R28" i="88"/>
  <c r="Q24" i="88"/>
  <c r="R24" i="88"/>
  <c r="Q20" i="88"/>
  <c r="R20" i="88"/>
  <c r="Q16" i="88"/>
  <c r="R16" i="88"/>
  <c r="Q12" i="88"/>
  <c r="R12" i="88"/>
  <c r="Q8" i="88"/>
  <c r="R8" i="88"/>
  <c r="Q39" i="88"/>
  <c r="R39" i="88"/>
  <c r="Q31" i="88"/>
  <c r="R31" i="88"/>
  <c r="Q23" i="88"/>
  <c r="R23" i="88"/>
  <c r="Q11" i="88"/>
  <c r="R11" i="88"/>
  <c r="E14" i="74"/>
  <c r="C5" i="74"/>
  <c r="C22" i="11"/>
  <c r="C31" i="11"/>
  <c r="B3" i="84"/>
  <c r="B2"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9" i="9"/>
  <c r="C20" i="9"/>
  <c r="R46" i="88"/>
  <c r="R47" i="88"/>
  <c r="C17" i="83"/>
  <c r="C16" i="83"/>
  <c r="C4" i="83"/>
  <c r="D14" i="74"/>
  <c r="C103" i="9"/>
  <c r="C102" i="9"/>
  <c r="C21" i="9"/>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67"/>
  <c r="M21" i="67"/>
  <c r="M21" i="15"/>
  <c r="F35" i="15"/>
  <c r="C27" i="83"/>
  <c r="C7" i="83"/>
  <c r="C28"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30" i="83"/>
  <c r="C31" i="83"/>
  <c r="D37" i="83"/>
  <c r="D38" i="83"/>
  <c r="H4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J9" i="83"/>
  <c r="G36" i="83"/>
  <c r="C39" i="83"/>
  <c r="C40" i="83"/>
  <c r="J10" i="83"/>
  <c r="E39" i="83"/>
  <c r="E40" i="83"/>
  <c r="D41" i="83"/>
  <c r="D43"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7"/>
  <c r="D19" i="9"/>
  <c r="D2" i="36"/>
  <c r="L51" i="15"/>
  <c r="D2" i="35"/>
  <c r="D2" i="34"/>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U7" i="39"/>
  <c r="AB7" i="39"/>
  <c r="T47" i="39"/>
  <c r="G47" i="39"/>
  <c r="J7" i="40"/>
  <c r="F7" i="40"/>
  <c r="H7" i="40"/>
  <c r="AO12" i="1"/>
  <c r="AO7" i="1"/>
  <c r="AO10" i="1"/>
  <c r="AO9" i="1"/>
  <c r="AO11" i="1"/>
  <c r="D20" i="9"/>
  <c r="AO6" i="1"/>
  <c r="AO8" i="1"/>
  <c r="R48" i="39"/>
  <c r="C48" i="39"/>
  <c r="D103" i="9"/>
  <c r="G20" i="9"/>
  <c r="C32" i="9"/>
  <c r="Q66" i="15"/>
  <c r="Q75" i="15"/>
  <c r="Q62" i="15"/>
  <c r="B9" i="70"/>
  <c r="B11" i="70"/>
  <c r="B7" i="70"/>
  <c r="B10" i="70"/>
  <c r="B12" i="70"/>
  <c r="B6" i="70"/>
  <c r="B8" i="70"/>
  <c r="B3" i="15"/>
  <c r="G51" i="39"/>
  <c r="H51" i="39"/>
  <c r="G52" i="39"/>
  <c r="H52" i="39"/>
  <c r="I51" i="39"/>
  <c r="J51" i="39"/>
  <c r="I52" i="39"/>
  <c r="J52" i="39"/>
  <c r="E52" i="39"/>
  <c r="F52" i="39"/>
  <c r="E51" i="39"/>
  <c r="F51" i="39"/>
  <c r="U7" i="40"/>
  <c r="AB7" i="40"/>
  <c r="T42" i="40"/>
  <c r="G42" i="40"/>
  <c r="AA7" i="40"/>
  <c r="R42" i="40"/>
  <c r="S7" i="40"/>
  <c r="AC7" i="40"/>
  <c r="V42" i="40"/>
  <c r="I42" i="40"/>
  <c r="W7" i="40"/>
  <c r="C47" i="39"/>
  <c r="T43" i="88"/>
  <c r="S43" i="88"/>
  <c r="C35" i="9"/>
  <c r="C34" i="9"/>
  <c r="B2" i="70"/>
  <c r="B3" i="70"/>
  <c r="B56" i="39"/>
  <c r="F56" i="39"/>
  <c r="B63" i="39"/>
  <c r="F63" i="39"/>
  <c r="B64" i="39"/>
  <c r="F64" i="39"/>
  <c r="B60" i="39"/>
  <c r="F60" i="39"/>
  <c r="B61" i="39"/>
  <c r="F61" i="39"/>
  <c r="B57" i="39"/>
  <c r="F57" i="39"/>
  <c r="B58" i="39"/>
  <c r="F58" i="39"/>
  <c r="B62" i="39"/>
  <c r="F62" i="39"/>
  <c r="B59" i="39"/>
  <c r="F59" i="39"/>
  <c r="I46" i="40"/>
  <c r="J46" i="40"/>
  <c r="R43" i="40"/>
  <c r="E42" i="40"/>
  <c r="G47" i="40"/>
  <c r="H47" i="40"/>
  <c r="G46" i="40"/>
  <c r="H46" i="40"/>
  <c r="T38" i="88"/>
  <c r="T34" i="88"/>
  <c r="S45" i="88"/>
  <c r="T45" i="88"/>
  <c r="S44" i="88"/>
  <c r="T44" i="88"/>
  <c r="F65" i="39"/>
  <c r="B2" i="39"/>
  <c r="B3" i="39"/>
  <c r="C42" i="40"/>
  <c r="C43" i="40"/>
  <c r="E47" i="40"/>
  <c r="F47" i="40"/>
  <c r="E46" i="40"/>
  <c r="F46" i="40"/>
  <c r="I47" i="40"/>
  <c r="J47" i="40"/>
  <c r="T46" i="88"/>
  <c r="T47" i="88"/>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9" i="52"/>
  <c r="D123" i="9"/>
  <c r="B21" i="72"/>
  <c r="D7" i="53"/>
  <c r="H102" i="9"/>
  <c r="B32" i="72"/>
  <c r="D14" i="53"/>
  <c r="B47" i="72"/>
  <c r="D4" i="52"/>
  <c r="B49" i="72"/>
  <c r="D5" i="52"/>
  <c r="D118" i="9"/>
  <c r="D119" i="9"/>
  <c r="H5" i="52"/>
  <c r="H119" i="9"/>
  <c r="C81" i="9"/>
  <c r="B53" i="72"/>
  <c r="F5" i="52"/>
  <c r="F119" i="9"/>
  <c r="N60" i="9"/>
  <c r="N59" i="9"/>
  <c r="N61" i="9"/>
  <c r="C86" i="9"/>
  <c r="C93" i="9"/>
  <c r="M54" i="9"/>
  <c r="D56" i="9"/>
  <c r="D58" i="9"/>
  <c r="C97" i="9"/>
  <c r="M55" i="9"/>
  <c r="D59" i="9"/>
  <c r="B51" i="72"/>
  <c r="F4" i="52"/>
  <c r="D54" i="9"/>
  <c r="C64" i="9"/>
  <c r="C63" i="9"/>
  <c r="C67" i="9"/>
  <c r="C68" i="9"/>
  <c r="F118" i="9"/>
  <c r="G118" i="9"/>
  <c r="G4" i="52"/>
  <c r="B52" i="72"/>
  <c r="E118" i="9"/>
  <c r="E4" i="52"/>
  <c r="B48" i="72"/>
  <c r="I4" i="52"/>
  <c r="C105" i="9"/>
  <c r="C73" i="9"/>
  <c r="C78" i="9"/>
  <c r="C6" i="74"/>
  <c r="H108" i="9"/>
  <c r="D15" i="53"/>
  <c r="B31" i="72"/>
  <c r="M48" i="9"/>
  <c r="B20" i="72"/>
  <c r="H4" i="52"/>
  <c r="C104" i="9"/>
  <c r="C72" i="9"/>
  <c r="C79" i="9"/>
  <c r="C80" i="9"/>
  <c r="E80" i="9"/>
  <c r="E81" i="9"/>
  <c r="D122" i="9"/>
  <c r="D8" i="52"/>
  <c r="H107" i="9"/>
  <c r="D13" i="53"/>
  <c r="B30" i="72"/>
  <c r="N58" i="9"/>
  <c r="D55" i="9"/>
  <c r="M53" i="9"/>
  <c r="N57" i="9"/>
  <c r="P57" i="9"/>
  <c r="C85" i="9"/>
  <c r="C95" i="9"/>
  <c r="C96" i="9"/>
  <c r="E96" i="9"/>
  <c r="E97" i="9"/>
  <c r="D5" i="53"/>
  <c r="D6" i="53"/>
  <c r="B22"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<sst xmlns="http://schemas.openxmlformats.org/spreadsheetml/2006/main" count="8905" uniqueCount="3702">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</sst>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64" fillId="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0" borderId="0" xfId="10" applyFont="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64" fillId="5" borderId="1"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116205</xdr:colOff>
      <xdr:row>48</xdr:row>
      <xdr:rowOff>152400</xdr:rowOff>
    </xdr:from>
    <xdr:to>
      <xdr:col>13</xdr:col>
      <xdr:colOff>666750</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64580"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8"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54" t="s">
        <v>381</v>
      </c>
      <c r="C54" s="1551" t="s">
        <v>579</v>
      </c>
    </row>
    <row r="55" spans="1:4">
      <c r="A55" s="3618"/>
      <c r="B55" s="1554" t="s">
        <v>382</v>
      </c>
      <c r="C55" s="1551" t="s">
        <v>580</v>
      </c>
    </row>
    <row r="56" spans="1:4">
      <c r="A56" s="3618"/>
      <c r="B56" s="1554" t="s">
        <v>383</v>
      </c>
      <c r="C56" s="1551" t="s">
        <v>584</v>
      </c>
    </row>
    <row r="57" spans="1:4">
      <c r="A57" s="3618"/>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9" t="s">
        <v>2576</v>
      </c>
      <c r="J2" s="3619"/>
      <c r="K2" s="3619"/>
      <c r="L2" s="3619"/>
      <c r="M2" s="3619"/>
      <c r="N2" s="3619"/>
      <c r="O2" s="3619"/>
      <c r="P2" s="3619"/>
      <c r="Q2" s="3619"/>
      <c r="R2" s="3619"/>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28" t="str">
        <f>IF(B10="北京市","北京市",C10)&amp;F10&amp;IF(结果表!G1="在建","出让国有建设用地使用权及在建建筑物",IF(结果表!G1="土地","出让国有建设用地使用权",))&amp;B9&amp;"预评估"</f>
        <v>北京市房地产市场价值预评估</v>
      </c>
      <c r="C1" s="3629"/>
      <c r="D1" s="3629"/>
      <c r="E1" s="3629"/>
      <c r="F1" s="3629"/>
      <c r="G1" s="3629"/>
      <c r="H1" s="3629"/>
      <c r="I1" s="363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31"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32"/>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38"/>
      <c r="C16" s="3639"/>
      <c r="D16" s="3640"/>
      <c r="E16" s="2410" t="s">
        <v>2186</v>
      </c>
      <c r="F16" s="3641"/>
      <c r="G16" s="3642"/>
      <c r="H16" s="3642"/>
      <c r="I16" s="3643"/>
      <c r="J16" s="2436"/>
      <c r="K16" s="2614"/>
      <c r="L16" s="2448"/>
      <c r="M16" s="2448"/>
      <c r="N16" s="2506"/>
      <c r="O16" s="2448"/>
      <c r="P16" s="2506"/>
      <c r="Q16" s="2436"/>
      <c r="R16" s="2436"/>
    </row>
    <row r="17" spans="1:28">
      <c r="A17" s="313" t="s">
        <v>2187</v>
      </c>
      <c r="B17" s="302" t="s">
        <v>2188</v>
      </c>
      <c r="C17" s="8">
        <f>'数据-汇总表'!E3</f>
        <v>140</v>
      </c>
      <c r="D17" s="2320" t="s">
        <v>2189</v>
      </c>
      <c r="E17" s="3644" t="s">
        <v>2190</v>
      </c>
      <c r="F17" s="3645"/>
      <c r="G17" s="3645"/>
      <c r="H17" s="3645"/>
      <c r="I17" s="364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47" t="s">
        <v>2194</v>
      </c>
      <c r="F18" s="3648"/>
      <c r="G18" s="3648"/>
      <c r="H18" s="3648"/>
      <c r="I18" s="364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34" t="s">
        <v>2198</v>
      </c>
      <c r="C20" s="3635"/>
      <c r="D20" s="3636" t="s">
        <v>2199</v>
      </c>
      <c r="E20" s="3637"/>
      <c r="F20" s="2644" t="s">
        <v>1052</v>
      </c>
      <c r="G20" s="2661"/>
      <c r="H20" s="2661"/>
      <c r="I20" s="2661"/>
      <c r="J20" s="2436"/>
      <c r="K20" s="363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2"/>
      <c r="B30" s="302" t="s">
        <v>2210</v>
      </c>
      <c r="C30" s="3623"/>
      <c r="D30" s="3624"/>
      <c r="E30" s="2661"/>
      <c r="F30" s="2661"/>
      <c r="G30" s="2661"/>
      <c r="H30" s="2661"/>
      <c r="I30" s="2661"/>
      <c r="J30" s="2436"/>
      <c r="K30" s="2613"/>
      <c r="L30" s="2610"/>
      <c r="M30" s="2610"/>
      <c r="N30" s="2436"/>
      <c r="O30" s="2447"/>
      <c r="P30" s="2436"/>
      <c r="Q30" s="2436"/>
      <c r="R30" s="2436"/>
      <c r="S30" s="2436"/>
      <c r="T30" s="2436"/>
      <c r="U30" s="2436"/>
      <c r="V30" s="2436"/>
    </row>
    <row r="31" spans="1:28">
      <c r="A31" s="362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0" t="s">
        <v>2220</v>
      </c>
      <c r="T34" s="2425" t="str">
        <f>NUMBERSTRING(7-K34,1)&amp;"通"</f>
        <v>七通</v>
      </c>
      <c r="U34" s="2436"/>
      <c r="V34" s="2436"/>
    </row>
    <row r="35" spans="1:30">
      <c r="A35" s="2426"/>
      <c r="B35" s="3627" t="s">
        <v>2221</v>
      </c>
      <c r="C35" s="3627"/>
      <c r="D35" s="3627"/>
      <c r="E35" s="36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9" t="s">
        <v>1127</v>
      </c>
      <c r="B2" s="3659"/>
      <c r="C2" s="3659"/>
      <c r="D2" s="796" t="s">
        <v>1103</v>
      </c>
      <c r="E2" s="1639" t="s">
        <v>1104</v>
      </c>
      <c r="F2" s="2656"/>
      <c r="G2" s="2647"/>
      <c r="H2" s="2648"/>
      <c r="I2" s="2323" t="s">
        <v>1128</v>
      </c>
      <c r="J2" s="2656"/>
      <c r="K2" s="2656"/>
      <c r="L2" s="2656"/>
      <c r="M2" s="2656"/>
      <c r="N2" s="2658"/>
      <c r="O2" s="2656"/>
      <c r="P2" s="2656"/>
    </row>
    <row r="3" spans="1:16" ht="15.75" thickBot="1">
      <c r="A3" s="3660" t="s">
        <v>1101</v>
      </c>
      <c r="B3" s="3660"/>
      <c r="C3" s="3660"/>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1"/>
      <c r="B4" s="3662"/>
      <c r="C4" s="3663"/>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4" t="s">
        <v>1106</v>
      </c>
      <c r="C5" s="3664"/>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4" t="s">
        <v>1107</v>
      </c>
      <c r="C6" s="3664"/>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6"/>
      <c r="B7" s="3657"/>
      <c r="C7" s="3658"/>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3" t="s">
        <v>1131</v>
      </c>
      <c r="L16" s="3654"/>
      <c r="M16" s="3654"/>
      <c r="N16" s="3654"/>
      <c r="O16" s="3654"/>
      <c r="P16" s="3655"/>
    </row>
    <row r="17" spans="1:19" ht="15">
      <c r="A17" s="1650" t="s">
        <v>1132</v>
      </c>
      <c r="B17" s="1651" t="s">
        <v>1133</v>
      </c>
      <c r="C17" s="1652" t="s">
        <v>1134</v>
      </c>
      <c r="D17" s="1653" t="s">
        <v>1122</v>
      </c>
      <c r="E17" s="1654" t="s">
        <v>1123</v>
      </c>
      <c r="F17" s="1655"/>
      <c r="G17" s="1656"/>
      <c r="H17" s="1657" t="s">
        <v>1135</v>
      </c>
      <c r="I17" s="1658" t="s">
        <v>1120</v>
      </c>
      <c r="J17" s="1139"/>
      <c r="K17" s="3650" t="s">
        <v>1136</v>
      </c>
      <c r="L17" s="3651"/>
      <c r="M17" s="3652"/>
      <c r="N17" s="3650" t="s">
        <v>1137</v>
      </c>
      <c r="O17" s="3651"/>
      <c r="P17" s="3652"/>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5" t="s">
        <v>2278</v>
      </c>
      <c r="B1" s="3666"/>
      <c r="C1" s="3666"/>
      <c r="D1" s="3666"/>
      <c r="E1" s="3666"/>
      <c r="F1" s="3666"/>
      <c r="G1" s="36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01" t="str">
        <f>项目基本情况!S2</f>
        <v>北京市房地产</v>
      </c>
      <c r="B2" s="3702"/>
      <c r="C2" s="3702"/>
      <c r="D2" s="3702"/>
      <c r="E2" s="3702"/>
      <c r="F2" s="3702"/>
      <c r="G2" s="3702"/>
      <c r="H2" s="3702"/>
      <c r="I2" s="3703"/>
    </row>
    <row r="3" spans="1:12" ht="12.75">
      <c r="A3" s="3705" t="s">
        <v>1260</v>
      </c>
      <c r="B3" s="3706"/>
      <c r="C3" s="3706"/>
      <c r="D3" s="3706"/>
      <c r="E3" s="3706"/>
      <c r="F3" s="3706"/>
      <c r="G3" s="3706"/>
      <c r="H3" s="3706"/>
      <c r="I3" s="3706"/>
    </row>
    <row r="4" spans="1:12" ht="14.25">
      <c r="A4" s="1754" t="s">
        <v>1261</v>
      </c>
      <c r="B4" s="1755" t="s">
        <v>1262</v>
      </c>
      <c r="C4" s="1756" t="s">
        <v>3555</v>
      </c>
      <c r="D4" s="1756" t="s">
        <v>3497</v>
      </c>
      <c r="E4" s="3707" t="s">
        <v>1263</v>
      </c>
      <c r="F4" s="3708"/>
      <c r="G4" s="3708"/>
      <c r="H4" s="3708"/>
      <c r="I4" s="37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1" t="s">
        <v>1264</v>
      </c>
      <c r="B5" s="3668">
        <v>25</v>
      </c>
      <c r="C5" s="3684"/>
      <c r="D5" s="3704"/>
      <c r="E5" s="131" t="s">
        <v>1265</v>
      </c>
      <c r="F5" s="1757"/>
      <c r="G5" s="1757"/>
      <c r="H5" s="1757"/>
      <c r="I5" s="1373"/>
    </row>
    <row r="6" spans="1:12" ht="12.75">
      <c r="A6" s="3681"/>
      <c r="B6" s="3668"/>
      <c r="C6" s="3685"/>
      <c r="D6" s="3704"/>
      <c r="E6" s="131" t="s">
        <v>1266</v>
      </c>
      <c r="F6" s="1757"/>
      <c r="G6" s="1757"/>
      <c r="H6" s="1757"/>
      <c r="I6" s="1373"/>
    </row>
    <row r="7" spans="1:12" ht="12.75">
      <c r="A7" s="3681"/>
      <c r="B7" s="3668"/>
      <c r="C7" s="3686"/>
      <c r="D7" s="3704"/>
      <c r="E7" s="131" t="s">
        <v>1267</v>
      </c>
      <c r="F7" s="1757"/>
      <c r="G7" s="1757"/>
      <c r="H7" s="1757"/>
      <c r="I7" s="1373"/>
    </row>
    <row r="8" spans="1:12" ht="12.75">
      <c r="A8" s="3681" t="s">
        <v>1268</v>
      </c>
      <c r="B8" s="3668">
        <v>15</v>
      </c>
      <c r="C8" s="3684"/>
      <c r="D8" s="3704"/>
      <c r="E8" s="131" t="s">
        <v>1269</v>
      </c>
      <c r="F8" s="1757"/>
      <c r="G8" s="1757"/>
      <c r="H8" s="1757"/>
      <c r="I8" s="1373"/>
    </row>
    <row r="9" spans="1:12" ht="12.75">
      <c r="A9" s="3681"/>
      <c r="B9" s="3668"/>
      <c r="C9" s="3686"/>
      <c r="D9" s="3704"/>
      <c r="E9" s="131" t="s">
        <v>1270</v>
      </c>
      <c r="F9" s="1757"/>
      <c r="G9" s="1757"/>
      <c r="H9" s="1757"/>
      <c r="I9" s="1373"/>
    </row>
    <row r="10" spans="1:12" ht="12.75">
      <c r="A10" s="3681" t="s">
        <v>1271</v>
      </c>
      <c r="B10" s="3668">
        <v>15</v>
      </c>
      <c r="C10" s="3684"/>
      <c r="D10" s="3704"/>
      <c r="E10" s="131" t="s">
        <v>1272</v>
      </c>
      <c r="F10" s="1757"/>
      <c r="G10" s="1757"/>
      <c r="H10" s="1757"/>
      <c r="I10" s="1373"/>
    </row>
    <row r="11" spans="1:12" ht="12.75">
      <c r="A11" s="3681"/>
      <c r="B11" s="3668"/>
      <c r="C11" s="3686"/>
      <c r="D11" s="3704"/>
      <c r="E11" s="131" t="s">
        <v>1273</v>
      </c>
      <c r="F11" s="1757"/>
      <c r="G11" s="1757"/>
      <c r="H11" s="1757"/>
      <c r="I11" s="1373"/>
    </row>
    <row r="12" spans="1:12" ht="12.75">
      <c r="A12" s="3681" t="s">
        <v>1274</v>
      </c>
      <c r="B12" s="3668">
        <v>15</v>
      </c>
      <c r="C12" s="3684"/>
      <c r="D12" s="3704"/>
      <c r="E12" s="131" t="s">
        <v>1275</v>
      </c>
      <c r="F12" s="1757"/>
      <c r="G12" s="1757"/>
      <c r="H12" s="1757"/>
      <c r="I12" s="1373"/>
    </row>
    <row r="13" spans="1:12" ht="12.75">
      <c r="A13" s="3681"/>
      <c r="B13" s="3668"/>
      <c r="C13" s="3686"/>
      <c r="D13" s="3704"/>
      <c r="E13" s="131" t="s">
        <v>1276</v>
      </c>
      <c r="F13" s="1757"/>
      <c r="G13" s="1757"/>
      <c r="H13" s="1757"/>
      <c r="I13" s="1373"/>
    </row>
    <row r="14" spans="1:12" ht="12.75">
      <c r="A14" s="3681" t="s">
        <v>1277</v>
      </c>
      <c r="B14" s="3668">
        <v>30</v>
      </c>
      <c r="C14" s="3684"/>
      <c r="D14" s="3704"/>
      <c r="E14" s="131" t="s">
        <v>1278</v>
      </c>
      <c r="F14" s="1757"/>
      <c r="G14" s="1757"/>
      <c r="H14" s="1757"/>
      <c r="I14" s="1373"/>
    </row>
    <row r="15" spans="1:12" ht="12.75">
      <c r="A15" s="3681"/>
      <c r="B15" s="3668"/>
      <c r="C15" s="3685"/>
      <c r="D15" s="3704"/>
      <c r="E15" s="131" t="s">
        <v>1279</v>
      </c>
      <c r="F15" s="1757"/>
      <c r="G15" s="1757"/>
      <c r="H15" s="1757"/>
      <c r="I15" s="1373"/>
    </row>
    <row r="16" spans="1:12" ht="12.75">
      <c r="A16" s="3681"/>
      <c r="B16" s="3668"/>
      <c r="C16" s="3686"/>
      <c r="D16" s="3704"/>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91" t="s">
        <v>2123</v>
      </c>
      <c r="F18" s="3692"/>
      <c r="G18" s="3692"/>
      <c r="H18" s="3692"/>
      <c r="I18" s="3692"/>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75" t="s">
        <v>1295</v>
      </c>
      <c r="B24" s="1762" t="s">
        <v>1287</v>
      </c>
      <c r="C24" s="136">
        <f>IF(B30=0,0,D30)</f>
        <v>0</v>
      </c>
      <c r="D24" s="1769"/>
      <c r="E24" s="129"/>
      <c r="F24" s="129"/>
      <c r="G24" s="129"/>
      <c r="H24" s="129"/>
      <c r="I24" s="129"/>
    </row>
    <row r="25" spans="1:36" ht="14.25">
      <c r="A25" s="3676"/>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95" t="s">
        <v>1308</v>
      </c>
      <c r="B36" s="1787" t="s">
        <v>1309</v>
      </c>
      <c r="C36" s="145"/>
      <c r="D36" s="1788"/>
      <c r="E36" s="1789"/>
      <c r="F36" s="1790"/>
      <c r="G36" s="129"/>
      <c r="H36" s="129"/>
      <c r="I36" s="129"/>
    </row>
    <row r="37" spans="1:15" ht="15.75" thickBot="1">
      <c r="A37" s="3696"/>
      <c r="B37" s="1674" t="s">
        <v>1310</v>
      </c>
      <c r="C37" s="147"/>
      <c r="D37" s="1139"/>
      <c r="E37" s="1139"/>
      <c r="F37" s="1790"/>
      <c r="G37" s="129"/>
      <c r="H37" s="129"/>
      <c r="I37" s="129"/>
    </row>
    <row r="38" spans="1:15" ht="15.75" thickBot="1">
      <c r="A38" s="3697"/>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72" t="s">
        <v>1322</v>
      </c>
      <c r="B45" s="3673"/>
      <c r="C45" s="3674"/>
      <c r="D45" s="155" t="e">
        <f ca="1">ROUND(H101*F45,0)</f>
        <v>#REF!</v>
      </c>
      <c r="E45" s="156" t="s">
        <v>1323</v>
      </c>
      <c r="F45" s="157">
        <v>1</v>
      </c>
      <c r="G45" s="158" t="s">
        <v>1324</v>
      </c>
      <c r="H45" s="129"/>
      <c r="I45" s="129"/>
      <c r="J45" s="3750" t="s">
        <v>1325</v>
      </c>
      <c r="K45" s="3750"/>
      <c r="L45" s="3750"/>
      <c r="M45" s="3750"/>
      <c r="N45" s="3750"/>
      <c r="O45" s="3750"/>
    </row>
    <row r="46" spans="1:15" ht="14.25" customHeight="1">
      <c r="A46" s="3669" t="s">
        <v>1326</v>
      </c>
      <c r="B46" s="3670"/>
      <c r="C46" s="3670"/>
      <c r="D46" s="3670"/>
      <c r="E46" s="3670"/>
      <c r="F46" s="3670"/>
      <c r="G46" s="3671"/>
      <c r="H46" s="1806"/>
      <c r="I46" s="159"/>
      <c r="J46" s="2520">
        <v>1</v>
      </c>
      <c r="K46" s="3731" t="s">
        <v>1327</v>
      </c>
      <c r="L46" s="3731"/>
      <c r="M46" s="3751"/>
      <c r="N46" s="3751"/>
      <c r="O46" s="3751"/>
    </row>
    <row r="47" spans="1:15" ht="12" customHeight="1">
      <c r="A47" s="160" t="s">
        <v>1328</v>
      </c>
      <c r="B47" s="161"/>
      <c r="C47" s="162"/>
      <c r="D47" s="1087" t="s">
        <v>1329</v>
      </c>
      <c r="E47" s="302" t="s">
        <v>1330</v>
      </c>
      <c r="F47" s="163" t="s">
        <v>1331</v>
      </c>
      <c r="G47" s="2543" t="s">
        <v>1332</v>
      </c>
      <c r="H47" s="2544"/>
      <c r="I47" s="159"/>
      <c r="J47" s="2520">
        <v>2</v>
      </c>
      <c r="K47" s="3731" t="s">
        <v>1333</v>
      </c>
      <c r="L47" s="3731"/>
      <c r="M47" s="3752">
        <f>'数据-取费表'!B2</f>
        <v>44991</v>
      </c>
      <c r="N47" s="3752"/>
      <c r="O47" s="3752"/>
    </row>
    <row r="48" spans="1:15" ht="25.5">
      <c r="A48" s="3700" t="s">
        <v>1334</v>
      </c>
      <c r="B48" s="3683"/>
      <c r="C48" s="368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31" t="s">
        <v>1336</v>
      </c>
      <c r="L48" s="3731"/>
      <c r="M48" s="3753" t="e">
        <f ca="1">H101</f>
        <v>#REF!</v>
      </c>
      <c r="N48" s="3753"/>
      <c r="O48" s="3753"/>
    </row>
    <row r="49" spans="1:35" ht="25.5" customHeight="1">
      <c r="A49" s="2331" t="s">
        <v>1337</v>
      </c>
      <c r="B49" s="3667" t="s">
        <v>1338</v>
      </c>
      <c r="C49" s="3667"/>
      <c r="D49" s="1590">
        <v>0</v>
      </c>
      <c r="E49" s="324" t="s">
        <v>1339</v>
      </c>
      <c r="F49" s="2421" t="s">
        <v>24</v>
      </c>
      <c r="G49" s="3737"/>
      <c r="H49" s="2308" t="s">
        <v>2126</v>
      </c>
      <c r="I49" s="2309"/>
      <c r="J49" s="2520">
        <v>4</v>
      </c>
      <c r="K49" s="3731" t="str">
        <f>IF(项目基本情况!E8="房地产抵押价值","房地产抵押价值","抵押担保权已注销时的房地产抵押价值")</f>
        <v>抵押担保权已注销时的房地产抵押价值</v>
      </c>
      <c r="L49" s="3731"/>
      <c r="M49" s="3753" t="str">
        <f>IF(项目基本情况!E8="房地产抵押价值",H107,H109)</f>
        <v>——</v>
      </c>
      <c r="N49" s="3753"/>
      <c r="O49" s="3753"/>
    </row>
    <row r="50" spans="1:35" ht="25.5" customHeight="1">
      <c r="A50" s="2548"/>
      <c r="B50" s="3667" t="s">
        <v>1340</v>
      </c>
      <c r="C50" s="3667"/>
      <c r="D50" s="2549"/>
      <c r="E50" s="332"/>
      <c r="F50" s="2421"/>
      <c r="G50" s="3738"/>
      <c r="H50" s="2310" t="s">
        <v>2127</v>
      </c>
      <c r="I50" s="2309"/>
      <c r="J50" s="3750" t="s">
        <v>1341</v>
      </c>
      <c r="K50" s="3750"/>
      <c r="L50" s="3750"/>
      <c r="M50" s="3750"/>
      <c r="N50" s="3750"/>
      <c r="O50" s="3750"/>
    </row>
    <row r="51" spans="1:35" ht="20.45" customHeight="1">
      <c r="A51" s="2550"/>
      <c r="B51" s="3667" t="s">
        <v>1342</v>
      </c>
      <c r="C51" s="3667"/>
      <c r="D51" s="1087"/>
      <c r="E51" s="327"/>
      <c r="F51" s="2421"/>
      <c r="G51" s="3739"/>
      <c r="H51" s="2310" t="s">
        <v>2128</v>
      </c>
      <c r="I51" s="2309"/>
      <c r="J51" s="2521" t="s">
        <v>1343</v>
      </c>
      <c r="K51" s="3731" t="s">
        <v>1344</v>
      </c>
      <c r="L51" s="3731"/>
      <c r="M51" s="2521" t="s">
        <v>1345</v>
      </c>
      <c r="N51" s="2521" t="s">
        <v>1346</v>
      </c>
      <c r="O51" s="2521" t="s">
        <v>1347</v>
      </c>
    </row>
    <row r="52" spans="1:35" ht="24" customHeight="1">
      <c r="A52" s="2333" t="s">
        <v>1348</v>
      </c>
      <c r="B52" s="3667" t="s">
        <v>1349</v>
      </c>
      <c r="C52" s="3667"/>
      <c r="D52" s="1087" t="e">
        <f ca="1">ROUND(D45*'数据-取费表'!B41/(1+'数据-取费表'!C42),0)</f>
        <v>#REF!</v>
      </c>
      <c r="E52" s="2332" t="s">
        <v>1350</v>
      </c>
      <c r="F52" s="2551">
        <f>'数据-取费表'!B41</f>
        <v>5.6000000000000001E-2</v>
      </c>
      <c r="G52" s="2552"/>
      <c r="H52" s="2541"/>
      <c r="I52" s="1807"/>
      <c r="J52" s="2520">
        <v>1</v>
      </c>
      <c r="K52" s="3732" t="s">
        <v>1351</v>
      </c>
      <c r="L52" s="3732"/>
      <c r="M52" s="2522" t="b">
        <f>D48</f>
        <v>0</v>
      </c>
      <c r="N52" s="2520" t="str">
        <f>E48</f>
        <v>销售额×税（费）率</v>
      </c>
      <c r="O52" s="2523">
        <f>F48</f>
        <v>5.6000000000000001E-2</v>
      </c>
    </row>
    <row r="53" spans="1:35" ht="12" customHeight="1">
      <c r="A53" s="2333" t="s">
        <v>1352</v>
      </c>
      <c r="B53" s="3693" t="s">
        <v>2283</v>
      </c>
      <c r="C53" s="3694"/>
      <c r="D53" s="1087" t="e">
        <f ca="1">ROUND(D45*'数据-取费表'!B41/(1+'数据-取费表'!C42),0)</f>
        <v>#REF!</v>
      </c>
      <c r="E53" s="2332" t="s">
        <v>1350</v>
      </c>
      <c r="F53" s="2551">
        <f>'数据-取费表'!B41</f>
        <v>5.6000000000000001E-2</v>
      </c>
      <c r="G53" s="2552"/>
      <c r="H53" s="2541"/>
      <c r="I53" s="1807"/>
      <c r="J53" s="2520">
        <v>2</v>
      </c>
      <c r="K53" s="3732" t="s">
        <v>1353</v>
      </c>
      <c r="L53" s="3732"/>
      <c r="M53" s="2522" t="e">
        <f t="shared" ref="M53:O54" ca="1" si="0">D55</f>
        <v>#REF!</v>
      </c>
      <c r="N53" s="2520" t="str">
        <f t="shared" si="0"/>
        <v>销售额×税（费）率</v>
      </c>
      <c r="O53" s="2523" t="str">
        <f t="shared" si="0"/>
        <v>免征</v>
      </c>
    </row>
    <row r="54" spans="1:35" ht="12" customHeight="1">
      <c r="A54" s="2333" t="s">
        <v>1354</v>
      </c>
      <c r="B54" s="3693" t="s">
        <v>2284</v>
      </c>
      <c r="C54" s="3694"/>
      <c r="D54" s="1087" t="e">
        <f ca="1">C68</f>
        <v>#REF!</v>
      </c>
      <c r="E54" s="327" t="s">
        <v>1355</v>
      </c>
      <c r="F54" s="2551">
        <f>'数据-取费表'!B41</f>
        <v>5.6000000000000001E-2</v>
      </c>
      <c r="G54" s="2552"/>
      <c r="H54" s="2553"/>
      <c r="I54" s="1807"/>
      <c r="J54" s="2520">
        <v>3</v>
      </c>
      <c r="K54" s="3732" t="s">
        <v>1356</v>
      </c>
      <c r="L54" s="3732"/>
      <c r="M54" s="2522" t="e">
        <f t="shared" ca="1" si="0"/>
        <v>#REF!</v>
      </c>
      <c r="N54" s="2520" t="str">
        <f t="shared" si="0"/>
        <v>增值额×税（费）率</v>
      </c>
      <c r="O54" s="2524" t="str">
        <f t="shared" si="0"/>
        <v>免征</v>
      </c>
    </row>
    <row r="55" spans="1:35" ht="24" customHeight="1">
      <c r="A55" s="3682" t="s">
        <v>1357</v>
      </c>
      <c r="B55" s="3683"/>
      <c r="C55" s="3683"/>
      <c r="D55" s="2322" t="e">
        <f ca="1">IF(H55="个人住宅",0,ROUND(D45*I55,0))</f>
        <v>#REF!</v>
      </c>
      <c r="E55" s="2332" t="s">
        <v>1358</v>
      </c>
      <c r="F55" s="2551" t="str">
        <f>IF(H55="正常",I55,"免征")</f>
        <v>免征</v>
      </c>
      <c r="G55" s="2552"/>
      <c r="H55" s="2547"/>
      <c r="I55" s="165">
        <f>'数据-取费表'!B49</f>
        <v>5.0000000000000001E-4</v>
      </c>
      <c r="J55" s="2520">
        <f>IF(H59="非个人房产","",4)</f>
        <v>4</v>
      </c>
      <c r="K55" s="3732" t="str">
        <f>IF(H59="非个人房产","——","个人所得税")</f>
        <v>个人所得税</v>
      </c>
      <c r="L55" s="3732"/>
      <c r="M55" s="2525" t="e">
        <f ca="1">D59</f>
        <v>#REF!</v>
      </c>
      <c r="N55" s="2038" t="str">
        <f>E59</f>
        <v>差额计税</v>
      </c>
      <c r="O55" s="2526">
        <f>F59</f>
        <v>0.01</v>
      </c>
    </row>
    <row r="56" spans="1:35" ht="24.75">
      <c r="A56" s="3682" t="s">
        <v>1359</v>
      </c>
      <c r="B56" s="3683"/>
      <c r="C56" s="3683"/>
      <c r="D56" s="2322" t="e">
        <f ca="1">IF(H56="个人住宅",D57,D58)</f>
        <v>#REF!</v>
      </c>
      <c r="E56" s="2332" t="s">
        <v>1360</v>
      </c>
      <c r="F56" s="2551" t="str">
        <f>IF(H56="正常",F58,"免征")</f>
        <v>免征</v>
      </c>
      <c r="G56" s="2554" t="s">
        <v>1361</v>
      </c>
      <c r="H56" s="2555"/>
      <c r="I56" s="1808"/>
      <c r="J56" s="2520" t="str">
        <f>IF(项目基本情况!K6="上海银行",IF(J55="",4,J55+1),"")</f>
        <v/>
      </c>
      <c r="K56" s="3755" t="str">
        <f>IF(项目基本情况!K6="上海银行","其他处置费用","")</f>
        <v/>
      </c>
      <c r="L56" s="3756"/>
      <c r="M56" s="2522" t="str">
        <f>IF(项目基本情况!K6="上海银行",M69,"")</f>
        <v/>
      </c>
      <c r="N56" s="3755" t="str">
        <f>IF(项目基本情况!K6="上海银行","包含处置中涉及的律师、诉讼、拍卖、评估等费用","")</f>
        <v/>
      </c>
      <c r="O56" s="3758"/>
    </row>
    <row r="57" spans="1:35" ht="12.75">
      <c r="A57" s="2333" t="s">
        <v>1337</v>
      </c>
      <c r="B57" s="3693" t="s">
        <v>1362</v>
      </c>
      <c r="C57" s="3694"/>
      <c r="D57" s="1590">
        <v>0</v>
      </c>
      <c r="E57" s="324" t="s">
        <v>1339</v>
      </c>
      <c r="F57" s="302"/>
      <c r="G57" s="2552"/>
      <c r="H57" s="2556"/>
      <c r="I57" s="1808"/>
      <c r="J57" s="3732">
        <f>IF(AND(J55="",J56=""),4,IF(项目基本情况!K6="上海银行",结果表!J56+1,结果表!J55+1))</f>
        <v>5</v>
      </c>
      <c r="K57" s="3732" t="s">
        <v>1363</v>
      </c>
      <c r="L57" s="2527" t="s">
        <v>1364</v>
      </c>
      <c r="M57" s="2528"/>
      <c r="N57" s="2529">
        <f ca="1">SUMIF(M52:M56,"&lt;9e307")</f>
        <v>0</v>
      </c>
      <c r="O57" s="2530"/>
      <c r="P57" s="2687" t="e">
        <f ca="1">N57/M49</f>
        <v>#VALUE!</v>
      </c>
    </row>
    <row r="58" spans="1:35" ht="24.75">
      <c r="A58" s="2333" t="s">
        <v>1348</v>
      </c>
      <c r="B58" s="3693" t="s">
        <v>1365</v>
      </c>
      <c r="C58" s="3667"/>
      <c r="D58" s="2322" t="e">
        <f ca="1">IF(H58="转让取得",C81,C97)</f>
        <v>#REF!</v>
      </c>
      <c r="E58" s="2332" t="s">
        <v>1360</v>
      </c>
      <c r="F58" s="302" t="s">
        <v>24</v>
      </c>
      <c r="G58" s="2552"/>
      <c r="H58" s="2555"/>
      <c r="I58" s="1808"/>
      <c r="J58" s="3732"/>
      <c r="K58" s="3732"/>
      <c r="L58" s="2527" t="s">
        <v>1366</v>
      </c>
      <c r="M58" s="2531"/>
      <c r="N58" s="2532" t="str">
        <f ca="1">NUMBERSTRING(INT(N57*10000),2)&amp;"元整"</f>
        <v>零元整</v>
      </c>
      <c r="O58" s="2533"/>
    </row>
    <row r="59" spans="1:35" ht="24.75" thickBot="1">
      <c r="A59" s="3735" t="s">
        <v>1367</v>
      </c>
      <c r="B59" s="3736"/>
      <c r="C59" s="373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33">
        <f>J57+1</f>
        <v>6</v>
      </c>
      <c r="K59" s="3732" t="s">
        <v>1368</v>
      </c>
      <c r="L59" s="2520" t="s">
        <v>1364</v>
      </c>
      <c r="M59" s="2534"/>
      <c r="N59" s="2535" t="e">
        <f ca="1">M49-N57</f>
        <v>#VALUE!</v>
      </c>
      <c r="O59" s="2536"/>
    </row>
    <row r="60" spans="1:35" ht="12" customHeight="1">
      <c r="A60" s="1809"/>
      <c r="B60" s="1747"/>
      <c r="C60" s="1747"/>
      <c r="D60" s="1747"/>
      <c r="E60" s="1578"/>
      <c r="F60" s="1808"/>
      <c r="G60" s="1808"/>
      <c r="H60" s="1810"/>
      <c r="I60" s="129"/>
      <c r="J60" s="3734"/>
      <c r="K60" s="3732"/>
      <c r="L60" s="2527" t="s">
        <v>1366</v>
      </c>
      <c r="M60" s="2531"/>
      <c r="N60" s="2532" t="e">
        <f ca="1">NUMBERSTRING(INT(N59*10000),2)&amp;"元整"</f>
        <v>#VALUE!</v>
      </c>
      <c r="O60" s="2533"/>
    </row>
    <row r="61" spans="1:35" ht="13.5" thickBot="1">
      <c r="A61" s="3680" t="s">
        <v>1369</v>
      </c>
      <c r="B61" s="3680"/>
      <c r="C61" s="3680"/>
      <c r="D61" s="3680"/>
      <c r="E61" s="3680"/>
      <c r="F61" s="1808"/>
      <c r="G61" s="1808"/>
      <c r="H61" s="1810"/>
      <c r="I61" s="129"/>
      <c r="J61" s="2520">
        <f>J59+1</f>
        <v>7</v>
      </c>
      <c r="K61" s="3732" t="s">
        <v>1370</v>
      </c>
      <c r="L61" s="3732"/>
      <c r="M61" s="2537"/>
      <c r="N61" s="2538" t="e">
        <f ca="1">ROUND(N59*10000/'数据-汇总表'!E3,0)</f>
        <v>#VALUE!</v>
      </c>
      <c r="O61" s="2539"/>
    </row>
    <row r="62" spans="1:35" ht="12.75">
      <c r="A62" s="3698" t="s">
        <v>1371</v>
      </c>
      <c r="B62" s="3699"/>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57"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57"/>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57"/>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57"/>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57"/>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57"/>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57"/>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19" t="s">
        <v>1390</v>
      </c>
      <c r="B70" s="3720"/>
      <c r="C70" s="3720"/>
      <c r="D70" s="3720"/>
      <c r="E70" s="3720"/>
      <c r="F70" s="3720"/>
      <c r="G70" s="3720"/>
      <c r="H70" s="372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8" t="s">
        <v>1371</v>
      </c>
      <c r="B71" s="3699"/>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3" t="s">
        <v>1398</v>
      </c>
      <c r="F76" s="3667"/>
      <c r="G76" s="3667"/>
      <c r="H76" s="37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77" t="s">
        <v>1402</v>
      </c>
      <c r="F78" s="3678"/>
      <c r="G78" s="3678"/>
      <c r="H78" s="36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19" t="s">
        <v>1406</v>
      </c>
      <c r="B83" s="3720"/>
      <c r="C83" s="3720"/>
      <c r="D83" s="3720"/>
      <c r="E83" s="3720"/>
      <c r="F83" s="3720"/>
      <c r="G83" s="3720"/>
      <c r="H83" s="37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8" t="s">
        <v>1371</v>
      </c>
      <c r="B84" s="3699"/>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59" t="s">
        <v>2121</v>
      </c>
      <c r="H90" s="3760"/>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77" t="s">
        <v>1415</v>
      </c>
      <c r="F91" s="3678"/>
      <c r="G91" s="36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77" t="s">
        <v>1418</v>
      </c>
      <c r="F92" s="3678"/>
      <c r="G92" s="3678"/>
      <c r="H92" s="3687"/>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77" t="s">
        <v>1402</v>
      </c>
      <c r="F93" s="3678"/>
      <c r="G93" s="3678"/>
      <c r="H93" s="36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88" t="s">
        <v>1422</v>
      </c>
      <c r="F94" s="3689"/>
      <c r="G94" s="3689"/>
      <c r="H94" s="36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1" t="s">
        <v>1424</v>
      </c>
      <c r="B100" s="3662"/>
      <c r="C100" s="3662"/>
      <c r="D100" s="3679"/>
      <c r="E100" s="3662" t="s">
        <v>1425</v>
      </c>
      <c r="F100" s="3662"/>
      <c r="G100" s="3662"/>
      <c r="H100" s="3679"/>
      <c r="I100" s="129"/>
    </row>
    <row r="101" spans="1:35" ht="18.75" customHeight="1">
      <c r="A101" s="3740" t="s">
        <v>1426</v>
      </c>
      <c r="B101" s="3741"/>
      <c r="C101" s="2582" t="str">
        <f>C4</f>
        <v>比较法-住宅</v>
      </c>
      <c r="D101" s="2583" t="str">
        <f>D4</f>
        <v>收益法 (元)</v>
      </c>
      <c r="E101" s="3754" t="s">
        <v>1427</v>
      </c>
      <c r="F101" s="3711"/>
      <c r="G101" s="1827" t="s">
        <v>1428</v>
      </c>
      <c r="H101" s="2592" t="e">
        <f ca="1">H118</f>
        <v>#REF!</v>
      </c>
      <c r="I101" s="129"/>
    </row>
    <row r="102" spans="1:35" ht="18.75" customHeight="1">
      <c r="A102" s="3713" t="s">
        <v>1429</v>
      </c>
      <c r="B102" s="2581" t="s">
        <v>1428</v>
      </c>
      <c r="C102" s="2582">
        <f ca="1">IF(D32="楼面单价",ROUND(C19,0),C19)</f>
        <v>0</v>
      </c>
      <c r="D102" s="2583" t="e">
        <f ca="1">IF(D32="楼面单价",ROUND(D19,0),D19)</f>
        <v>#DIV/0!</v>
      </c>
      <c r="E102" s="3754"/>
      <c r="F102" s="3711"/>
      <c r="G102" s="1827" t="s">
        <v>1430</v>
      </c>
      <c r="H102" s="2552" t="e">
        <f ca="1">I118</f>
        <v>#REF!</v>
      </c>
      <c r="I102" s="129"/>
    </row>
    <row r="103" spans="1:35" ht="42.75" customHeight="1">
      <c r="A103" s="3713"/>
      <c r="B103" s="2581" t="s">
        <v>1430</v>
      </c>
      <c r="C103" s="2584">
        <f ca="1">C20</f>
        <v>120440</v>
      </c>
      <c r="D103" s="2585">
        <f ca="1">D20</f>
        <v>0</v>
      </c>
      <c r="E103" s="3748" t="s">
        <v>1431</v>
      </c>
      <c r="F103" s="3749"/>
      <c r="G103" s="1828" t="s">
        <v>1432</v>
      </c>
      <c r="H103" s="2592">
        <f>IF(D36="正常操作",H104+H105+H106,H105+H106)</f>
        <v>0</v>
      </c>
      <c r="I103" s="129"/>
    </row>
    <row r="104" spans="1:35" ht="18.75" customHeight="1">
      <c r="A104" s="3713"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10" t="str">
        <f>IF(项目基本情况!E8="已注销","——","3.房地产抵押价值")</f>
        <v>3.房地产抵押价值</v>
      </c>
      <c r="F107" s="3711"/>
      <c r="G107" s="1827" t="s">
        <v>1428</v>
      </c>
      <c r="H107" s="2592" t="e">
        <f ca="1">IF(E107="——","——",H101-H103)</f>
        <v>#REF!</v>
      </c>
      <c r="I107" s="129"/>
    </row>
    <row r="108" spans="1:35" ht="18.75" customHeight="1">
      <c r="A108" s="129"/>
      <c r="B108" s="129"/>
      <c r="C108" s="129"/>
      <c r="D108" s="129"/>
      <c r="E108" s="3710"/>
      <c r="F108" s="3711"/>
      <c r="G108" s="1827" t="s">
        <v>1430</v>
      </c>
      <c r="H108" s="2552">
        <f ca="1">IF(H107=H101,H102,ROUND(H107*10000/'数据-汇总表'!E3,0))</f>
        <v>0</v>
      </c>
      <c r="I108" s="129"/>
    </row>
    <row r="109" spans="1:35" ht="18.75" customHeight="1">
      <c r="A109" s="129"/>
      <c r="B109" s="129"/>
      <c r="C109" s="129"/>
      <c r="D109" s="129"/>
      <c r="E109" s="3710" t="str">
        <f>IF(项目基本情况!E8="已注销及未注销","4.抵押担保权已注销时的房地产抵押价值",IF(项目基本情况!E8="已注销","3.抵押担保权已注销时的房地产抵押价值","——"))</f>
        <v>——</v>
      </c>
      <c r="F109" s="3711"/>
      <c r="G109" s="1827" t="s">
        <v>1428</v>
      </c>
      <c r="H109" s="2595" t="str">
        <f>IF(E109="——","——",H101-H105-H106)</f>
        <v>——</v>
      </c>
      <c r="I109" s="129"/>
    </row>
    <row r="110" spans="1:35" ht="18.75" customHeight="1">
      <c r="A110" s="129"/>
      <c r="B110" s="129"/>
      <c r="C110" s="129"/>
      <c r="D110" s="129"/>
      <c r="E110" s="3710"/>
      <c r="F110" s="3711"/>
      <c r="G110" s="1827" t="s">
        <v>1430</v>
      </c>
      <c r="H110" s="2552" t="str">
        <f>IF(H109="——","——",ROUND(H109*10000/'数据-汇总表'!E3,0))</f>
        <v>——</v>
      </c>
      <c r="I110" s="129"/>
    </row>
    <row r="111" spans="1:35" ht="18.75" customHeight="1">
      <c r="A111" s="129"/>
      <c r="B111" s="129"/>
      <c r="C111" s="129"/>
      <c r="D111" s="129"/>
      <c r="E111" s="3742" t="str">
        <f>IF(项目基本情况!E9="抵押净值",IF(OR(项目基本情况!E8="已注销",项目基本情况!E8="房地产抵押价值"),"4.抵押净值","5.抵押净值"),"——")</f>
        <v>——</v>
      </c>
      <c r="F111" s="3712"/>
      <c r="G111" s="1827" t="s">
        <v>1428</v>
      </c>
      <c r="H111" s="2592" t="str">
        <f>IF(E111="——","——",N59)</f>
        <v>——</v>
      </c>
      <c r="I111" s="129"/>
    </row>
    <row r="112" spans="1:35" ht="18.75" customHeight="1" thickBot="1">
      <c r="A112" s="129"/>
      <c r="B112" s="129"/>
      <c r="C112" s="129"/>
      <c r="D112" s="129"/>
      <c r="E112" s="3743"/>
      <c r="F112" s="3744"/>
      <c r="G112" s="1830" t="s">
        <v>1430</v>
      </c>
      <c r="H112" s="2596" t="str">
        <f>IF(E111="——","——",N61)</f>
        <v>——</v>
      </c>
      <c r="I112" s="129"/>
    </row>
    <row r="113" spans="1:27" ht="18.75" customHeight="1">
      <c r="A113" s="129"/>
      <c r="B113" s="129"/>
      <c r="C113" s="129"/>
      <c r="D113" s="129"/>
      <c r="E113" s="3715" t="s">
        <v>1436</v>
      </c>
      <c r="F113" s="3715"/>
      <c r="G113" s="3715"/>
      <c r="H113" s="3715"/>
      <c r="I113" s="129"/>
    </row>
    <row r="114" spans="1:27" ht="3.75" customHeight="1">
      <c r="A114" s="1747"/>
      <c r="B114" s="1747"/>
      <c r="C114" s="1747"/>
      <c r="D114" s="1747"/>
      <c r="E114" s="1809"/>
      <c r="F114" s="1809"/>
      <c r="G114" s="1809"/>
      <c r="H114" s="1809"/>
      <c r="I114" s="1747"/>
    </row>
    <row r="115" spans="1:27" ht="18.75" customHeight="1">
      <c r="A115" s="3725" t="s">
        <v>1438</v>
      </c>
      <c r="B115" s="3726"/>
      <c r="C115" s="3726"/>
      <c r="D115" s="3726"/>
      <c r="E115" s="3726"/>
      <c r="F115" s="3726"/>
      <c r="G115" s="3726"/>
      <c r="H115" s="3726"/>
      <c r="I115" s="3727"/>
    </row>
    <row r="116" spans="1:27" ht="27" customHeight="1">
      <c r="A116" s="3681" t="s">
        <v>1439</v>
      </c>
      <c r="B116" s="3716" t="s">
        <v>1440</v>
      </c>
      <c r="C116" s="3716" t="s">
        <v>1441</v>
      </c>
      <c r="D116" s="3729" t="s">
        <v>1442</v>
      </c>
      <c r="E116" s="3730"/>
      <c r="F116" s="3724" t="s">
        <v>1443</v>
      </c>
      <c r="G116" s="3724"/>
      <c r="H116" s="3681" t="s">
        <v>1444</v>
      </c>
      <c r="I116" s="3681"/>
    </row>
    <row r="117" spans="1:27" ht="18.75" customHeight="1">
      <c r="A117" s="3681"/>
      <c r="B117" s="3717"/>
      <c r="C117" s="3717"/>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1" t="s">
        <v>1448</v>
      </c>
      <c r="B119" s="3681"/>
      <c r="C119" s="3681"/>
      <c r="D119" s="3721" t="e">
        <f ca="1">NUMBERSTRING(INT(D118*10000),2)&amp;"元整"</f>
        <v>#REF!</v>
      </c>
      <c r="E119" s="3723"/>
      <c r="F119" s="3721" t="e">
        <f ca="1">NUMBERSTRING(INT(F118*10000),2)&amp;"元整"</f>
        <v>#REF!</v>
      </c>
      <c r="G119" s="3723"/>
      <c r="H119" s="3721" t="e">
        <f ca="1">NUMBERSTRING(INT(H118*10000),2)&amp;"元整"</f>
        <v>#REF!</v>
      </c>
      <c r="I119" s="3723"/>
    </row>
    <row r="120" spans="1:27" ht="18.75" customHeight="1">
      <c r="A120" s="3745" t="str">
        <f>IF(项目基本情况!B9="房地产市场价值","",MID(E103,3,LEN(E103)-2))</f>
        <v/>
      </c>
      <c r="B120" s="3746"/>
      <c r="C120" s="3747"/>
      <c r="D120" s="3745">
        <f>H103</f>
        <v>0</v>
      </c>
      <c r="E120" s="3746"/>
      <c r="F120" s="3746"/>
      <c r="G120" s="3746"/>
      <c r="H120" s="3746"/>
      <c r="I120" s="374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1" t="s">
        <v>1448</v>
      </c>
      <c r="B121" s="3722"/>
      <c r="C121" s="3723"/>
      <c r="D121" s="3721" t="str">
        <f>IF(D120=0,"零元整",NUMBERSTRING(INT(D120*10000),2)&amp;"元整")</f>
        <v>零元整</v>
      </c>
      <c r="E121" s="3722"/>
      <c r="F121" s="3722"/>
      <c r="G121" s="3722"/>
      <c r="H121" s="3722"/>
      <c r="I121" s="3723"/>
      <c r="AA121" s="725"/>
    </row>
    <row r="122" spans="1:27" ht="18.75" customHeight="1">
      <c r="A122" s="3712" t="str">
        <f>IF(项目基本情况!B9="房地产市场价值","",MID(E107,3,LEN(E107)-2))</f>
        <v/>
      </c>
      <c r="B122" s="3712"/>
      <c r="C122" s="3712"/>
      <c r="D122" s="3745" t="e">
        <f ca="1">H107</f>
        <v>#REF!</v>
      </c>
      <c r="E122" s="3746"/>
      <c r="F122" s="3746"/>
      <c r="G122" s="3746"/>
      <c r="H122" s="3746"/>
      <c r="I122" s="3747"/>
      <c r="AA122" s="725"/>
    </row>
    <row r="123" spans="1:27" ht="18.75" customHeight="1">
      <c r="A123" s="3681" t="s">
        <v>1448</v>
      </c>
      <c r="B123" s="3681"/>
      <c r="C123" s="3681"/>
      <c r="D123" s="3721" t="e">
        <f ca="1">NUMBERSTRING(INT(D122*10000),2)&amp;"元整"</f>
        <v>#REF!</v>
      </c>
      <c r="E123" s="3722"/>
      <c r="F123" s="3722"/>
      <c r="G123" s="3722"/>
      <c r="H123" s="3722"/>
      <c r="I123" s="3723"/>
      <c r="AA123" s="725"/>
    </row>
    <row r="124" spans="1:27" ht="18.75" customHeight="1">
      <c r="A124" s="3712" t="str">
        <f>IF(项目基本情况!B9="房地产市场价值","",MID(E109,3,LEN(E109)-2))</f>
        <v/>
      </c>
      <c r="B124" s="3712"/>
      <c r="C124" s="3712"/>
      <c r="D124" s="3745" t="str">
        <f>H109</f>
        <v>——</v>
      </c>
      <c r="E124" s="3746"/>
      <c r="F124" s="3746"/>
      <c r="G124" s="3746"/>
      <c r="H124" s="3746"/>
      <c r="I124" s="3747"/>
      <c r="AA124" s="725"/>
    </row>
    <row r="125" spans="1:27" ht="18.75" customHeight="1">
      <c r="A125" s="3681" t="s">
        <v>1448</v>
      </c>
      <c r="B125" s="3681"/>
      <c r="C125" s="3681"/>
      <c r="D125" s="3721" t="e">
        <f>NUMBERSTRING(INT(D124*10000),2)&amp;"元整"</f>
        <v>#VALUE!</v>
      </c>
      <c r="E125" s="3722"/>
      <c r="F125" s="3722"/>
      <c r="G125" s="3722"/>
      <c r="H125" s="3722"/>
      <c r="I125" s="3723"/>
      <c r="AA125" s="725"/>
    </row>
    <row r="126" spans="1:27" ht="18.75" customHeight="1">
      <c r="A126" s="3712" t="str">
        <f>IF(项目基本情况!B9="房地产市场价值","",MID(E111,3,LEN(E111)-2))</f>
        <v/>
      </c>
      <c r="B126" s="3712"/>
      <c r="C126" s="3712"/>
      <c r="D126" s="3745" t="str">
        <f>H111</f>
        <v>——</v>
      </c>
      <c r="E126" s="3746"/>
      <c r="F126" s="3746"/>
      <c r="G126" s="3746"/>
      <c r="H126" s="3746"/>
      <c r="I126" s="3747"/>
      <c r="AA126" s="725"/>
    </row>
    <row r="127" spans="1:27" ht="18.75" customHeight="1">
      <c r="A127" s="3681" t="s">
        <v>1448</v>
      </c>
      <c r="B127" s="3681"/>
      <c r="C127" s="3681"/>
      <c r="D127" s="3721" t="e">
        <f>NUMBERSTRING(INT(D126*10000),2)&amp;"元整"</f>
        <v>#VALUE!</v>
      </c>
      <c r="E127" s="3722"/>
      <c r="F127" s="3722"/>
      <c r="G127" s="3722"/>
      <c r="H127" s="3722"/>
      <c r="I127" s="3723"/>
      <c r="AA127" s="725"/>
    </row>
    <row r="128" spans="1:27" ht="21.75" customHeight="1">
      <c r="A128" s="3728" t="s">
        <v>1449</v>
      </c>
      <c r="B128" s="3728"/>
      <c r="C128" s="3728"/>
      <c r="D128" s="3728"/>
      <c r="E128" s="3728"/>
      <c r="F128" s="3728"/>
      <c r="G128" s="3728"/>
      <c r="H128" s="3728"/>
      <c r="I128" s="3728"/>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1" t="s">
        <v>1540</v>
      </c>
    </row>
    <row r="43" spans="1:7" ht="13.5" customHeight="1">
      <c r="A43" s="780" t="s">
        <v>343</v>
      </c>
      <c r="B43" s="215" t="s">
        <v>1541</v>
      </c>
      <c r="C43" s="238">
        <f ca="1">ROUND(IF('数据-取费表'!B22&lt;=1,C39*F22*'数据-取费表'!B21/2,C39*(POWER((1+F22),'数据-取费表'!B21/2)-1)),0)</f>
        <v>0</v>
      </c>
      <c r="D43" s="238"/>
      <c r="E43" s="238"/>
      <c r="F43" s="239"/>
      <c r="G43" s="3762"/>
    </row>
    <row r="44" spans="1:7" ht="13.5" customHeight="1">
      <c r="A44" s="780" t="s">
        <v>344</v>
      </c>
      <c r="B44" s="215" t="s">
        <v>1542</v>
      </c>
      <c r="C44" s="238">
        <f ca="1">ROUND(IF('数据-取费表'!B22&lt;=1,C40*F22*'数据-取费表'!B21/2,C40*(POWER((1+F22),'数据-取费表'!B21/2)-1)),4)</f>
        <v>6.9999999999999999E-4</v>
      </c>
      <c r="D44" s="238"/>
      <c r="E44" s="238"/>
      <c r="F44" s="239"/>
      <c r="G44" s="376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1" t="s">
        <v>1587</v>
      </c>
    </row>
    <row r="43" spans="1:7" ht="13.5" customHeight="1">
      <c r="A43" s="780" t="s">
        <v>343</v>
      </c>
      <c r="B43" s="215" t="s">
        <v>1541</v>
      </c>
      <c r="C43" s="238">
        <f ca="1">ROUND(IF('数据-取费表'!B22&lt;=1,C39*F22*'数据-取费表'!B20/2,C39*(POWER((1+F22),'数据-取费表'!B20/2)-1)),0)</f>
        <v>20</v>
      </c>
      <c r="D43" s="238"/>
      <c r="E43" s="238"/>
      <c r="F43" s="239"/>
      <c r="G43" s="3762"/>
    </row>
    <row r="44" spans="1:7" ht="13.5" customHeight="1">
      <c r="A44" s="780" t="s">
        <v>344</v>
      </c>
      <c r="B44" s="215" t="s">
        <v>1542</v>
      </c>
      <c r="C44" s="238">
        <f ca="1">ROUND(IF('数据-取费表'!B22&lt;=1,C40*F22*'数据-取费表'!B20/2,C40*(POWER((1+F22),'数据-取费表'!B20/2)-1)),4)</f>
        <v>6.9999999999999999E-4</v>
      </c>
      <c r="D44" s="238"/>
      <c r="E44" s="238"/>
      <c r="F44" s="239"/>
      <c r="G44" s="376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8" t="str">
        <f>项目基本情况!B1</f>
        <v>北京市房地产市场价值预评估</v>
      </c>
      <c r="C37" s="3578"/>
      <c r="D37" s="3578"/>
      <c r="E37" s="3578"/>
      <c r="F37" s="3578"/>
      <c r="G37" s="3578"/>
      <c r="H37" s="3578"/>
      <c r="I37" s="3578"/>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6" t="s">
        <v>690</v>
      </c>
      <c r="C6" s="1074">
        <f ca="1">ROUND(F6*F8*F7*(1-F9)/10000,0)</f>
        <v>0</v>
      </c>
      <c r="D6" s="155" t="s">
        <v>2101</v>
      </c>
      <c r="E6" s="302" t="s">
        <v>692</v>
      </c>
      <c r="F6" s="303">
        <f ca="1">INDIRECT("'数据-取费表'!u"&amp;$G$1)</f>
        <v>0</v>
      </c>
      <c r="G6" s="1384"/>
      <c r="H6" s="1069" t="s">
        <v>394</v>
      </c>
      <c r="I6" s="3766" t="s">
        <v>690</v>
      </c>
      <c r="J6" s="301">
        <f ca="1">ROUND(M6*M8*M7*(1-M9)/10000,0)</f>
        <v>0</v>
      </c>
      <c r="K6" s="155" t="s">
        <v>2100</v>
      </c>
      <c r="L6" s="302" t="s">
        <v>692</v>
      </c>
      <c r="M6" s="303">
        <f ca="1">INDIRECT("'数据-取费表'!z"&amp;$G$1)</f>
        <v>0</v>
      </c>
    </row>
    <row r="7" spans="1:37" ht="18" customHeight="1">
      <c r="A7" s="1073"/>
      <c r="B7" s="3767"/>
      <c r="C7" s="1075"/>
      <c r="D7" s="307"/>
      <c r="E7" s="1076" t="s">
        <v>693</v>
      </c>
      <c r="F7" s="303">
        <f ca="1">IF(INDIRECT("'数据-取费表'!ah"&amp;$G$1)="",INDIRECT("'数据-取费表'!k"&amp;$G$1),INDIRECT("'数据-取费表'!ah"&amp;$G$1))</f>
        <v>0</v>
      </c>
      <c r="G7" s="1384"/>
      <c r="H7" s="304"/>
      <c r="I7" s="3767"/>
      <c r="J7" s="306"/>
      <c r="K7" s="307"/>
      <c r="L7" s="302" t="s">
        <v>693</v>
      </c>
      <c r="M7" s="303">
        <f ca="1">F7</f>
        <v>0</v>
      </c>
    </row>
    <row r="8" spans="1:37" ht="18" customHeight="1">
      <c r="A8" s="304"/>
      <c r="B8" s="3767"/>
      <c r="C8" s="306"/>
      <c r="D8" s="307"/>
      <c r="E8" s="302" t="s">
        <v>694</v>
      </c>
      <c r="F8" s="303">
        <f ca="1">INDIRECT("'数据-取费表'!ai"&amp;$G$1)</f>
        <v>0</v>
      </c>
      <c r="G8" s="1384"/>
      <c r="H8" s="304"/>
      <c r="I8" s="3767"/>
      <c r="J8" s="306"/>
      <c r="K8" s="307"/>
      <c r="L8" s="302" t="s">
        <v>694</v>
      </c>
      <c r="M8" s="303">
        <f ca="1">INDIRECT("'数据-取费表'!ai"&amp;$G$1)</f>
        <v>0</v>
      </c>
    </row>
    <row r="9" spans="1:37" ht="18" customHeight="1">
      <c r="A9" s="304"/>
      <c r="B9" s="3768"/>
      <c r="C9" s="306"/>
      <c r="D9" s="307"/>
      <c r="E9" s="302" t="s">
        <v>695</v>
      </c>
      <c r="F9" s="312">
        <f ca="1">INDIRECT("'数据-取费表'!w"&amp;$G$1)</f>
        <v>0</v>
      </c>
      <c r="G9" s="1384"/>
      <c r="H9" s="304"/>
      <c r="I9" s="376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4" t="s">
        <v>833</v>
      </c>
      <c r="L53" s="3765"/>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6" t="s">
        <v>690</v>
      </c>
      <c r="C6" s="1074">
        <f ca="1">ROUND(F6*F8*F7*(1-F9),0)</f>
        <v>0</v>
      </c>
      <c r="D6" s="155" t="s">
        <v>2098</v>
      </c>
      <c r="E6" s="302" t="s">
        <v>692</v>
      </c>
      <c r="F6" s="303">
        <f ca="1">INDIRECT("'数据-取费表'!u"&amp;$G$1)</f>
        <v>0</v>
      </c>
      <c r="G6" s="1384"/>
      <c r="H6" s="1069" t="s">
        <v>394</v>
      </c>
      <c r="I6" s="3766" t="s">
        <v>690</v>
      </c>
      <c r="J6" s="301">
        <f ca="1">ROUND(M6*M8*M7*(1-M9),0)</f>
        <v>0</v>
      </c>
      <c r="K6" s="1376" t="s">
        <v>2099</v>
      </c>
      <c r="L6" s="302" t="s">
        <v>692</v>
      </c>
      <c r="M6" s="303">
        <f ca="1">INDIRECT("'数据-取费表'!z"&amp;$G$1)</f>
        <v>0</v>
      </c>
    </row>
    <row r="7" spans="1:37" ht="18" customHeight="1">
      <c r="A7" s="1073"/>
      <c r="B7" s="3767"/>
      <c r="C7" s="1075"/>
      <c r="D7" s="307"/>
      <c r="E7" s="1076" t="s">
        <v>693</v>
      </c>
      <c r="F7" s="303">
        <f ca="1">IF(INDIRECT("'数据-取费表'!ah"&amp;$G$1)="",INDIRECT("'数据-取费表'!k"&amp;$G$1),INDIRECT("'数据-取费表'!ah"&amp;$G$1))</f>
        <v>0</v>
      </c>
      <c r="G7" s="1384"/>
      <c r="H7" s="304"/>
      <c r="I7" s="3767"/>
      <c r="J7" s="306"/>
      <c r="K7" s="307"/>
      <c r="L7" s="302" t="s">
        <v>693</v>
      </c>
      <c r="M7" s="303">
        <f ca="1">F7</f>
        <v>0</v>
      </c>
    </row>
    <row r="8" spans="1:37" ht="18" customHeight="1">
      <c r="A8" s="304"/>
      <c r="B8" s="3767"/>
      <c r="C8" s="306"/>
      <c r="D8" s="307"/>
      <c r="E8" s="302" t="s">
        <v>694</v>
      </c>
      <c r="F8" s="303">
        <f ca="1">INDIRECT("'数据-取费表'!ai"&amp;$G$1)</f>
        <v>0</v>
      </c>
      <c r="G8" s="1384"/>
      <c r="H8" s="304"/>
      <c r="I8" s="3767"/>
      <c r="J8" s="306"/>
      <c r="K8" s="307"/>
      <c r="L8" s="302" t="s">
        <v>694</v>
      </c>
      <c r="M8" s="303">
        <f ca="1">INDIRECT("'数据-取费表'!ai"&amp;$G$1)</f>
        <v>0</v>
      </c>
    </row>
    <row r="9" spans="1:37" ht="18" customHeight="1">
      <c r="A9" s="304"/>
      <c r="B9" s="3768"/>
      <c r="C9" s="306"/>
      <c r="D9" s="307"/>
      <c r="E9" s="302" t="s">
        <v>695</v>
      </c>
      <c r="F9" s="312">
        <f ca="1">INDIRECT("'数据-取费表'!w"&amp;$G$1)</f>
        <v>0</v>
      </c>
      <c r="G9" s="1384"/>
      <c r="H9" s="304"/>
      <c r="I9" s="376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4" t="s">
        <v>833</v>
      </c>
      <c r="L53" s="3765"/>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75" t="s">
        <v>2313</v>
      </c>
      <c r="K2" s="3776"/>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7" t="s">
        <v>2323</v>
      </c>
      <c r="K3" s="3778"/>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7" t="s">
        <v>2325</v>
      </c>
      <c r="K4" s="3778"/>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83" t="s">
        <v>2329</v>
      </c>
      <c r="B6" s="3784"/>
      <c r="C6" s="3785"/>
      <c r="D6" s="2867"/>
      <c r="E6" s="2868"/>
      <c r="F6" s="2869"/>
      <c r="G6" s="2870"/>
      <c r="H6" s="2845"/>
      <c r="I6" s="2846"/>
      <c r="J6" s="3769">
        <v>1</v>
      </c>
      <c r="K6" s="3770"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69"/>
      <c r="K7" s="3771"/>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86" t="s">
        <v>2343</v>
      </c>
      <c r="C8" s="3787"/>
      <c r="D8" s="2886" t="s">
        <v>2344</v>
      </c>
      <c r="E8" s="2887" t="s">
        <v>2345</v>
      </c>
      <c r="F8" s="2888" t="s">
        <v>2346</v>
      </c>
      <c r="G8" s="2889"/>
      <c r="H8" s="2845"/>
      <c r="I8" s="2846"/>
      <c r="J8" s="3769"/>
      <c r="K8" s="3771"/>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86" t="s">
        <v>2349</v>
      </c>
      <c r="C9" s="3787"/>
      <c r="D9" s="2886">
        <f>ROUND(D6*E9,0)</f>
        <v>0</v>
      </c>
      <c r="E9" s="2890"/>
      <c r="F9" s="2891" t="s">
        <v>2350</v>
      </c>
      <c r="G9" s="2870"/>
      <c r="H9" s="2845"/>
      <c r="I9" s="2846"/>
      <c r="J9" s="3769"/>
      <c r="K9" s="3771"/>
      <c r="L9" s="2880" t="s">
        <v>2351</v>
      </c>
      <c r="M9" s="2881"/>
      <c r="N9" s="2857"/>
      <c r="O9" s="2882"/>
      <c r="P9" s="2882"/>
      <c r="Q9" s="2883">
        <v>365</v>
      </c>
      <c r="R9" s="2884">
        <f t="shared" si="0"/>
        <v>0</v>
      </c>
      <c r="S9" s="2838"/>
      <c r="T9" s="2838"/>
      <c r="U9" s="2838"/>
      <c r="V9" s="2846"/>
    </row>
    <row r="10" spans="1:22" s="2850" customFormat="1" ht="13.15" customHeight="1">
      <c r="A10" s="2885">
        <v>2</v>
      </c>
      <c r="B10" s="3786" t="s">
        <v>2352</v>
      </c>
      <c r="C10" s="3787"/>
      <c r="D10" s="2886">
        <f>ROUND(D6*E10,0)</f>
        <v>0</v>
      </c>
      <c r="E10" s="2890"/>
      <c r="F10" s="2891" t="s">
        <v>2353</v>
      </c>
      <c r="G10" s="2870"/>
      <c r="H10" s="2845"/>
      <c r="I10" s="2846"/>
      <c r="J10" s="3769"/>
      <c r="K10" s="3771"/>
      <c r="L10" s="2880" t="s">
        <v>2354</v>
      </c>
      <c r="M10" s="2881"/>
      <c r="N10" s="2857"/>
      <c r="O10" s="2882"/>
      <c r="P10" s="2882"/>
      <c r="Q10" s="2883">
        <v>365</v>
      </c>
      <c r="R10" s="2884">
        <f t="shared" si="0"/>
        <v>0</v>
      </c>
      <c r="S10" s="2838"/>
      <c r="T10" s="2838"/>
      <c r="U10" s="2838"/>
      <c r="V10" s="2846"/>
    </row>
    <row r="11" spans="1:22" s="2850" customFormat="1" ht="13.15" customHeight="1">
      <c r="A11" s="2885">
        <v>3</v>
      </c>
      <c r="B11" s="3786" t="s">
        <v>2355</v>
      </c>
      <c r="C11" s="3787"/>
      <c r="D11" s="2886">
        <f>D12+D14+D15+D16</f>
        <v>0</v>
      </c>
      <c r="E11" s="2892" t="e">
        <f>D11/D6</f>
        <v>#DIV/0!</v>
      </c>
      <c r="F11" s="2888"/>
      <c r="G11" s="2889"/>
      <c r="H11" s="2845"/>
      <c r="I11" s="2846"/>
      <c r="J11" s="3769"/>
      <c r="K11" s="3771"/>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79" t="s">
        <v>2358</v>
      </c>
      <c r="C12" s="3780"/>
      <c r="D12" s="2894">
        <f>ROUND(D13*1.2%*(1-30%),0)</f>
        <v>0</v>
      </c>
      <c r="E12" s="2895">
        <v>1.2E-2</v>
      </c>
      <c r="F12" s="2888" t="s">
        <v>2359</v>
      </c>
      <c r="G12" s="2889"/>
      <c r="H12" s="2845"/>
      <c r="I12" s="2846"/>
      <c r="J12" s="3769"/>
      <c r="K12" s="3771"/>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69"/>
      <c r="K13" s="3771"/>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79" t="s">
        <v>2364</v>
      </c>
      <c r="C14" s="3780"/>
      <c r="D14" s="2894">
        <f>ROUND(E14*B5/10000,0)</f>
        <v>0</v>
      </c>
      <c r="E14" s="2883"/>
      <c r="F14" s="2888" t="s">
        <v>2365</v>
      </c>
      <c r="G14" s="2889"/>
      <c r="H14" s="2845"/>
      <c r="I14" s="2846"/>
      <c r="J14" s="3769"/>
      <c r="K14" s="3772"/>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79" t="s">
        <v>2368</v>
      </c>
      <c r="C15" s="3780"/>
      <c r="D15" s="2894">
        <f>ROUND(D6*E15,0)</f>
        <v>0</v>
      </c>
      <c r="E15" s="2895">
        <v>5.5E-2</v>
      </c>
      <c r="F15" s="2888" t="s">
        <v>2369</v>
      </c>
      <c r="G15" s="2870"/>
      <c r="H15" s="2845"/>
      <c r="I15" s="2846"/>
      <c r="J15" s="3769">
        <v>2</v>
      </c>
      <c r="K15" s="3770"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79" t="s">
        <v>2377</v>
      </c>
      <c r="C16" s="3780"/>
      <c r="D16" s="2905">
        <f>D6*E16</f>
        <v>0</v>
      </c>
      <c r="E16" s="2906"/>
      <c r="F16" s="2891" t="s">
        <v>2378</v>
      </c>
      <c r="G16" s="2870"/>
      <c r="H16" s="2845"/>
      <c r="I16" s="2846"/>
      <c r="J16" s="3769"/>
      <c r="K16" s="3771"/>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1" t="s">
        <v>2380</v>
      </c>
      <c r="C17" s="3782"/>
      <c r="D17" s="2908">
        <f>ROUND(D6*E17,0)</f>
        <v>0</v>
      </c>
      <c r="E17" s="2909"/>
      <c r="F17" s="2910" t="s">
        <v>2381</v>
      </c>
      <c r="G17" s="2870"/>
      <c r="H17" s="2845"/>
      <c r="I17" s="2846"/>
      <c r="J17" s="3769"/>
      <c r="K17" s="3771"/>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69"/>
      <c r="K18" s="3771"/>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69"/>
      <c r="K19" s="3772"/>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9">
        <v>3</v>
      </c>
      <c r="K20" s="3770"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69"/>
      <c r="K21" s="3771"/>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69"/>
      <c r="K22" s="3771"/>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69"/>
      <c r="K23" s="3771"/>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69"/>
      <c r="K24" s="3772"/>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73">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75" t="s">
        <v>2313</v>
      </c>
      <c r="K32" s="3776"/>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7" t="s">
        <v>2323</v>
      </c>
      <c r="K33" s="3778"/>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7" t="s">
        <v>2325</v>
      </c>
      <c r="K34" s="377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69">
        <v>1</v>
      </c>
      <c r="K36" s="3770"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69"/>
      <c r="K37" s="3771"/>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9"/>
      <c r="K38" s="3771"/>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69"/>
      <c r="K39" s="3771"/>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69"/>
      <c r="K40" s="3772"/>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3">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8" t="s">
        <v>1650</v>
      </c>
      <c r="C5" s="3789"/>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A28" workbookViewId="0">
      <selection activeCell="F38" sqref="F38:F39"/>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790" t="s">
        <v>3589</v>
      </c>
      <c r="C1" s="3790"/>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791">
        <v>1</v>
      </c>
      <c r="B2" s="3792" t="s">
        <v>3596</v>
      </c>
      <c r="C2" s="3792" t="s">
        <v>3597</v>
      </c>
      <c r="D2" s="3550">
        <v>1025.71</v>
      </c>
      <c r="E2" s="3561">
        <f>I51</f>
        <v>0.92</v>
      </c>
      <c r="F2" s="3791" t="s">
        <v>39</v>
      </c>
      <c r="G2" s="3550">
        <v>1</v>
      </c>
      <c r="H2" s="3561">
        <v>1</v>
      </c>
      <c r="I2" s="3792" t="s">
        <v>3533</v>
      </c>
      <c r="J2" s="3791">
        <v>1985</v>
      </c>
      <c r="K2" s="3794">
        <f>$C$54/100</f>
        <v>0.97400000000000009</v>
      </c>
      <c r="L2" s="3792" t="s">
        <v>669</v>
      </c>
      <c r="M2" s="3793" t="s">
        <v>3682</v>
      </c>
      <c r="N2" s="3799">
        <v>0.85</v>
      </c>
      <c r="O2" s="3803" t="s">
        <v>3678</v>
      </c>
      <c r="P2" s="3800">
        <v>0.6</v>
      </c>
      <c r="Q2" s="3543">
        <f>ROUND($Q$40*E2*H2*K2*N2*$P$2,2)</f>
        <v>3.04</v>
      </c>
      <c r="R2" s="3543">
        <f>ROUND(D2*Q2,2)</f>
        <v>3118.16</v>
      </c>
      <c r="S2" s="3543"/>
      <c r="T2" s="3543"/>
    </row>
    <row r="3" spans="1:20" ht="12.75">
      <c r="A3" s="3791"/>
      <c r="B3" s="3792"/>
      <c r="C3" s="3792"/>
      <c r="D3" s="3577">
        <v>730.64</v>
      </c>
      <c r="E3" s="3561">
        <f>H51</f>
        <v>0.94</v>
      </c>
      <c r="F3" s="3791"/>
      <c r="G3" s="3550">
        <v>2</v>
      </c>
      <c r="H3" s="3561">
        <v>0.7</v>
      </c>
      <c r="I3" s="3792"/>
      <c r="J3" s="3791"/>
      <c r="K3" s="3795"/>
      <c r="L3" s="3792"/>
      <c r="M3" s="3793"/>
      <c r="N3" s="3799"/>
      <c r="O3" s="3804"/>
      <c r="P3" s="3801"/>
      <c r="Q3" s="3543">
        <f>ROUND($Q$40*E3*H3*K2*N2*$P$2,2)</f>
        <v>2.1800000000000002</v>
      </c>
      <c r="R3" s="3543">
        <f t="shared" ref="R3:R42" si="0">ROUND(D3*Q3,2)</f>
        <v>1592.8</v>
      </c>
      <c r="S3" s="3543"/>
      <c r="T3" s="3543"/>
    </row>
    <row r="4" spans="1:20" ht="12.75">
      <c r="A4" s="3791"/>
      <c r="B4" s="3792"/>
      <c r="C4" s="3792" t="s">
        <v>3598</v>
      </c>
      <c r="D4" s="3577">
        <v>491.2</v>
      </c>
      <c r="E4" s="3561">
        <f>G51</f>
        <v>0.96</v>
      </c>
      <c r="F4" s="3791" t="s">
        <v>39</v>
      </c>
      <c r="G4" s="3550">
        <v>1</v>
      </c>
      <c r="H4" s="3561">
        <v>1</v>
      </c>
      <c r="I4" s="3792" t="s">
        <v>3533</v>
      </c>
      <c r="J4" s="3791">
        <v>1985</v>
      </c>
      <c r="K4" s="3794">
        <f>$C$54/100</f>
        <v>0.97400000000000009</v>
      </c>
      <c r="L4" s="3792" t="s">
        <v>669</v>
      </c>
      <c r="M4" s="3793" t="s">
        <v>3682</v>
      </c>
      <c r="N4" s="3799">
        <f>N2</f>
        <v>0.85</v>
      </c>
      <c r="O4" s="3804"/>
      <c r="P4" s="3801"/>
      <c r="Q4" s="3543">
        <f>ROUND($Q$40*E4*H4*K4*N4*$P$2,2)</f>
        <v>3.18</v>
      </c>
      <c r="R4" s="3543">
        <f t="shared" si="0"/>
        <v>1562.02</v>
      </c>
      <c r="S4" s="3543"/>
      <c r="T4" s="3543"/>
    </row>
    <row r="5" spans="1:20" ht="12.75">
      <c r="A5" s="3791"/>
      <c r="B5" s="3792"/>
      <c r="C5" s="3792"/>
      <c r="D5" s="3577">
        <v>512.5</v>
      </c>
      <c r="E5" s="3561">
        <f>H51</f>
        <v>0.94</v>
      </c>
      <c r="F5" s="3791"/>
      <c r="G5" s="3550">
        <v>2</v>
      </c>
      <c r="H5" s="3561">
        <f>H3</f>
        <v>0.7</v>
      </c>
      <c r="I5" s="3792"/>
      <c r="J5" s="3791"/>
      <c r="K5" s="3795"/>
      <c r="L5" s="3792"/>
      <c r="M5" s="3793"/>
      <c r="N5" s="3799"/>
      <c r="O5" s="3804"/>
      <c r="P5" s="3801"/>
      <c r="Q5" s="3543">
        <f>ROUND($Q$40*E5*H5*K4*N4*$P$2,2)</f>
        <v>2.1800000000000002</v>
      </c>
      <c r="R5" s="3543">
        <f t="shared" si="0"/>
        <v>1117.25</v>
      </c>
      <c r="S5" s="3543"/>
      <c r="T5" s="3543"/>
    </row>
    <row r="6" spans="1:20" ht="12.75">
      <c r="A6" s="3791">
        <v>2</v>
      </c>
      <c r="B6" s="3792"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0.7</v>
      </c>
      <c r="O6" s="3804"/>
      <c r="P6" s="3801"/>
      <c r="Q6" s="3543">
        <f t="shared" ref="Q6:Q39" si="1">ROUND($Q$40*E6*H6*K6*N6*$P$2,2)</f>
        <v>2.78</v>
      </c>
      <c r="R6" s="3543">
        <f t="shared" si="0"/>
        <v>187.57</v>
      </c>
      <c r="S6" s="3543"/>
      <c r="T6" s="3543"/>
    </row>
    <row r="7" spans="1:20" ht="12.75">
      <c r="A7" s="3791"/>
      <c r="B7" s="3792"/>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0.7</v>
      </c>
      <c r="O7" s="3804"/>
      <c r="P7" s="3801"/>
      <c r="Q7" s="3543">
        <f t="shared" si="1"/>
        <v>2.72</v>
      </c>
      <c r="R7" s="3543">
        <f t="shared" si="0"/>
        <v>339.89</v>
      </c>
      <c r="S7" s="3543"/>
      <c r="T7" s="3543"/>
    </row>
    <row r="8" spans="1:20" ht="12.75">
      <c r="A8" s="3791"/>
      <c r="B8" s="3792"/>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0.7</v>
      </c>
      <c r="O8" s="3804"/>
      <c r="P8" s="3801"/>
      <c r="Q8" s="3543">
        <f t="shared" si="1"/>
        <v>2.83</v>
      </c>
      <c r="R8" s="3543">
        <f t="shared" si="0"/>
        <v>39.42</v>
      </c>
      <c r="S8" s="3543"/>
      <c r="T8" s="3543"/>
    </row>
    <row r="9" spans="1:20" ht="12.75">
      <c r="A9" s="3791"/>
      <c r="B9" s="3792"/>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0.7</v>
      </c>
      <c r="O9" s="3804"/>
      <c r="P9" s="3801"/>
      <c r="Q9" s="3543">
        <f t="shared" si="1"/>
        <v>2.83</v>
      </c>
      <c r="R9" s="3543">
        <f t="shared" si="0"/>
        <v>54.42</v>
      </c>
      <c r="S9" s="3543"/>
      <c r="T9" s="3543"/>
    </row>
    <row r="10" spans="1:20" ht="12.75">
      <c r="A10" s="3791"/>
      <c r="B10" s="3792"/>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0.7</v>
      </c>
      <c r="O10" s="3804"/>
      <c r="P10" s="3801"/>
      <c r="Q10" s="3543">
        <f t="shared" si="1"/>
        <v>2.83</v>
      </c>
      <c r="R10" s="3543">
        <f t="shared" si="0"/>
        <v>94.15</v>
      </c>
      <c r="S10" s="3543"/>
      <c r="T10" s="3543"/>
    </row>
    <row r="11" spans="1:20" ht="12.75">
      <c r="A11" s="3791"/>
      <c r="B11" s="3792"/>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0.7</v>
      </c>
      <c r="O11" s="3804"/>
      <c r="P11" s="3801"/>
      <c r="Q11" s="3543">
        <f t="shared" si="1"/>
        <v>2.83</v>
      </c>
      <c r="R11" s="3543">
        <f t="shared" si="0"/>
        <v>48.9</v>
      </c>
      <c r="S11" s="3543"/>
      <c r="T11" s="3543"/>
    </row>
    <row r="12" spans="1:20" ht="12.75">
      <c r="A12" s="3791"/>
      <c r="B12" s="3792"/>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0.7</v>
      </c>
      <c r="O12" s="3804"/>
      <c r="P12" s="3801"/>
      <c r="Q12" s="3543">
        <f t="shared" si="1"/>
        <v>2.83</v>
      </c>
      <c r="R12" s="3543">
        <f t="shared" si="0"/>
        <v>44.97</v>
      </c>
      <c r="S12" s="3543"/>
      <c r="T12" s="3543"/>
    </row>
    <row r="13" spans="1:20" ht="12.75">
      <c r="A13" s="3791"/>
      <c r="B13" s="3792"/>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0.7</v>
      </c>
      <c r="O13" s="3804"/>
      <c r="P13" s="3801"/>
      <c r="Q13" s="3543">
        <f t="shared" si="1"/>
        <v>2.83</v>
      </c>
      <c r="R13" s="3543">
        <f t="shared" si="0"/>
        <v>47.32</v>
      </c>
      <c r="S13" s="3543"/>
      <c r="T13" s="3543"/>
    </row>
    <row r="14" spans="1:20" ht="12.75">
      <c r="A14" s="3791"/>
      <c r="B14" s="3792"/>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0.7</v>
      </c>
      <c r="O14" s="3804"/>
      <c r="P14" s="3801"/>
      <c r="Q14" s="3543">
        <f t="shared" si="1"/>
        <v>2.83</v>
      </c>
      <c r="R14" s="3543">
        <f t="shared" si="0"/>
        <v>62.32</v>
      </c>
      <c r="S14" s="3543"/>
      <c r="T14" s="3543"/>
    </row>
    <row r="15" spans="1:20" ht="12.75">
      <c r="A15" s="3791"/>
      <c r="B15" s="3792"/>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0.85</v>
      </c>
      <c r="O15" s="3804"/>
      <c r="P15" s="3801"/>
      <c r="Q15" s="3543">
        <f t="shared" si="1"/>
        <v>3.44</v>
      </c>
      <c r="R15" s="3543">
        <f t="shared" si="0"/>
        <v>66.739999999999995</v>
      </c>
      <c r="S15" s="3543"/>
      <c r="T15" s="3543"/>
    </row>
    <row r="16" spans="1:20" ht="12.75">
      <c r="A16" s="3791"/>
      <c r="B16" s="3792"/>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0.85</v>
      </c>
      <c r="O16" s="3804"/>
      <c r="P16" s="3801"/>
      <c r="Q16" s="3543">
        <f t="shared" si="1"/>
        <v>3.44</v>
      </c>
      <c r="R16" s="3543">
        <f t="shared" si="0"/>
        <v>66.739999999999995</v>
      </c>
      <c r="S16" s="3543"/>
      <c r="T16" s="3543"/>
    </row>
    <row r="17" spans="1:20" ht="12.75">
      <c r="A17" s="3791">
        <v>3</v>
      </c>
      <c r="B17" s="3792" t="s">
        <v>3611</v>
      </c>
      <c r="C17" s="3549" t="s">
        <v>3600</v>
      </c>
      <c r="D17" s="3577">
        <v>41.04</v>
      </c>
      <c r="E17" s="3561">
        <f t="shared" ref="E17:E29" si="6">$C$51</f>
        <v>1.04</v>
      </c>
      <c r="F17" s="3550" t="s">
        <v>39</v>
      </c>
      <c r="G17" s="3550">
        <v>1</v>
      </c>
      <c r="H17" s="3561">
        <v>1</v>
      </c>
      <c r="I17" s="3549" t="s">
        <v>3533</v>
      </c>
      <c r="J17" s="3550">
        <v>2002</v>
      </c>
      <c r="K17" s="3561">
        <f>$I$54/100</f>
        <v>1.008</v>
      </c>
      <c r="L17" s="3549" t="s">
        <v>669</v>
      </c>
      <c r="M17" s="3543" t="s">
        <v>3682</v>
      </c>
      <c r="N17" s="3563">
        <f t="shared" si="5"/>
        <v>0.85</v>
      </c>
      <c r="O17" s="3804"/>
      <c r="P17" s="3801"/>
      <c r="Q17" s="3543">
        <f t="shared" si="1"/>
        <v>3.56</v>
      </c>
      <c r="R17" s="3543">
        <f t="shared" si="0"/>
        <v>146.1</v>
      </c>
      <c r="S17" s="3543"/>
      <c r="T17" s="3543"/>
    </row>
    <row r="18" spans="1:20" ht="12.75">
      <c r="A18" s="3791"/>
      <c r="B18" s="3792"/>
      <c r="C18" s="3549" t="s">
        <v>3601</v>
      </c>
      <c r="D18" s="3577">
        <v>41.04</v>
      </c>
      <c r="E18" s="3561">
        <f t="shared" si="6"/>
        <v>1.04</v>
      </c>
      <c r="F18" s="3550" t="s">
        <v>39</v>
      </c>
      <c r="G18" s="3550">
        <v>1</v>
      </c>
      <c r="H18" s="3561">
        <v>1</v>
      </c>
      <c r="I18" s="3549" t="s">
        <v>3533</v>
      </c>
      <c r="J18" s="3550">
        <v>2002</v>
      </c>
      <c r="K18" s="3561">
        <f t="shared" ref="K18:K29" si="7">$I$54/100</f>
        <v>1.008</v>
      </c>
      <c r="L18" s="3549" t="s">
        <v>669</v>
      </c>
      <c r="M18" s="3543" t="s">
        <v>3682</v>
      </c>
      <c r="N18" s="3563">
        <f t="shared" si="5"/>
        <v>0.85</v>
      </c>
      <c r="O18" s="3804"/>
      <c r="P18" s="3801"/>
      <c r="Q18" s="3543">
        <f t="shared" si="1"/>
        <v>3.56</v>
      </c>
      <c r="R18" s="3543">
        <f t="shared" si="0"/>
        <v>146.1</v>
      </c>
      <c r="S18" s="3543"/>
      <c r="T18" s="3543"/>
    </row>
    <row r="19" spans="1:20" ht="12.75">
      <c r="A19" s="3791"/>
      <c r="B19" s="3792"/>
      <c r="C19" s="3549" t="s">
        <v>3612</v>
      </c>
      <c r="D19" s="3577">
        <v>41.04</v>
      </c>
      <c r="E19" s="3561">
        <f t="shared" si="6"/>
        <v>1.04</v>
      </c>
      <c r="F19" s="3550" t="s">
        <v>39</v>
      </c>
      <c r="G19" s="3550">
        <v>1</v>
      </c>
      <c r="H19" s="3561">
        <v>1</v>
      </c>
      <c r="I19" s="3549" t="s">
        <v>3533</v>
      </c>
      <c r="J19" s="3550">
        <v>2002</v>
      </c>
      <c r="K19" s="3561">
        <f t="shared" si="7"/>
        <v>1.008</v>
      </c>
      <c r="L19" s="3549" t="s">
        <v>669</v>
      </c>
      <c r="M19" s="3543" t="s">
        <v>3682</v>
      </c>
      <c r="N19" s="3563">
        <f t="shared" si="5"/>
        <v>0.85</v>
      </c>
      <c r="O19" s="3804"/>
      <c r="P19" s="3801"/>
      <c r="Q19" s="3543">
        <f t="shared" si="1"/>
        <v>3.56</v>
      </c>
      <c r="R19" s="3543">
        <f t="shared" si="0"/>
        <v>146.1</v>
      </c>
      <c r="S19" s="3543"/>
      <c r="T19" s="3543"/>
    </row>
    <row r="20" spans="1:20" ht="12.75">
      <c r="A20" s="3791"/>
      <c r="B20" s="3792"/>
      <c r="C20" s="3549" t="s">
        <v>3613</v>
      </c>
      <c r="D20" s="3577">
        <v>41.04</v>
      </c>
      <c r="E20" s="3561">
        <f t="shared" si="6"/>
        <v>1.04</v>
      </c>
      <c r="F20" s="3550" t="s">
        <v>39</v>
      </c>
      <c r="G20" s="3550">
        <v>1</v>
      </c>
      <c r="H20" s="3561">
        <v>1</v>
      </c>
      <c r="I20" s="3549" t="s">
        <v>3533</v>
      </c>
      <c r="J20" s="3550">
        <v>2002</v>
      </c>
      <c r="K20" s="3561">
        <f t="shared" si="7"/>
        <v>1.008</v>
      </c>
      <c r="L20" s="3549" t="s">
        <v>669</v>
      </c>
      <c r="M20" s="3543" t="s">
        <v>3682</v>
      </c>
      <c r="N20" s="3563">
        <f t="shared" si="5"/>
        <v>0.85</v>
      </c>
      <c r="O20" s="3804"/>
      <c r="P20" s="3801"/>
      <c r="Q20" s="3543">
        <f t="shared" si="1"/>
        <v>3.56</v>
      </c>
      <c r="R20" s="3543">
        <f t="shared" si="0"/>
        <v>146.1</v>
      </c>
      <c r="S20" s="3543"/>
      <c r="T20" s="3543"/>
    </row>
    <row r="21" spans="1:20" ht="12.75">
      <c r="A21" s="3791"/>
      <c r="B21" s="3792"/>
      <c r="C21" s="3549" t="s">
        <v>3614</v>
      </c>
      <c r="D21" s="3577">
        <v>41.04</v>
      </c>
      <c r="E21" s="3561">
        <f t="shared" si="6"/>
        <v>1.04</v>
      </c>
      <c r="F21" s="3550" t="s">
        <v>39</v>
      </c>
      <c r="G21" s="3550">
        <v>1</v>
      </c>
      <c r="H21" s="3561">
        <v>1</v>
      </c>
      <c r="I21" s="3549" t="s">
        <v>3533</v>
      </c>
      <c r="J21" s="3550">
        <v>2002</v>
      </c>
      <c r="K21" s="3561">
        <f t="shared" si="7"/>
        <v>1.008</v>
      </c>
      <c r="L21" s="3549" t="s">
        <v>669</v>
      </c>
      <c r="M21" s="3543" t="s">
        <v>3682</v>
      </c>
      <c r="N21" s="3563">
        <f t="shared" si="5"/>
        <v>0.85</v>
      </c>
      <c r="O21" s="3804"/>
      <c r="P21" s="3801"/>
      <c r="Q21" s="3543">
        <f t="shared" si="1"/>
        <v>3.56</v>
      </c>
      <c r="R21" s="3543">
        <f t="shared" si="0"/>
        <v>146.1</v>
      </c>
      <c r="S21" s="3543"/>
      <c r="T21" s="3543"/>
    </row>
    <row r="22" spans="1:20" ht="12.75">
      <c r="A22" s="3791"/>
      <c r="B22" s="3792"/>
      <c r="C22" s="3549" t="s">
        <v>3615</v>
      </c>
      <c r="D22" s="3577">
        <v>41.04</v>
      </c>
      <c r="E22" s="3561">
        <f t="shared" si="6"/>
        <v>1.04</v>
      </c>
      <c r="F22" s="3550" t="s">
        <v>39</v>
      </c>
      <c r="G22" s="3550">
        <v>1</v>
      </c>
      <c r="H22" s="3561">
        <v>1</v>
      </c>
      <c r="I22" s="3549" t="s">
        <v>3533</v>
      </c>
      <c r="J22" s="3550">
        <v>2002</v>
      </c>
      <c r="K22" s="3561">
        <f t="shared" si="7"/>
        <v>1.008</v>
      </c>
      <c r="L22" s="3549" t="s">
        <v>669</v>
      </c>
      <c r="M22" s="3543" t="s">
        <v>3682</v>
      </c>
      <c r="N22" s="3563">
        <f t="shared" si="5"/>
        <v>0.85</v>
      </c>
      <c r="O22" s="3804"/>
      <c r="P22" s="3801"/>
      <c r="Q22" s="3543">
        <f t="shared" si="1"/>
        <v>3.56</v>
      </c>
      <c r="R22" s="3543">
        <f t="shared" si="0"/>
        <v>146.1</v>
      </c>
      <c r="S22" s="3543"/>
      <c r="T22" s="3543"/>
    </row>
    <row r="23" spans="1:20" ht="12.75">
      <c r="A23" s="3791"/>
      <c r="B23" s="3792"/>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0.85</v>
      </c>
      <c r="O23" s="3804"/>
      <c r="P23" s="3801"/>
      <c r="Q23" s="3543">
        <f t="shared" si="1"/>
        <v>3.56</v>
      </c>
      <c r="R23" s="3543">
        <f t="shared" si="0"/>
        <v>70.77</v>
      </c>
      <c r="S23" s="3543"/>
      <c r="T23" s="3543"/>
    </row>
    <row r="24" spans="1:20" ht="12.75">
      <c r="A24" s="3791"/>
      <c r="B24" s="3792"/>
      <c r="C24" s="3549" t="s">
        <v>3617</v>
      </c>
      <c r="D24" s="3577">
        <f>D22</f>
        <v>41.04</v>
      </c>
      <c r="E24" s="3561">
        <f t="shared" si="6"/>
        <v>1.04</v>
      </c>
      <c r="F24" s="3550" t="s">
        <v>39</v>
      </c>
      <c r="G24" s="3550">
        <v>1</v>
      </c>
      <c r="H24" s="3561">
        <v>1</v>
      </c>
      <c r="I24" s="3549" t="s">
        <v>3533</v>
      </c>
      <c r="J24" s="3550">
        <v>2002</v>
      </c>
      <c r="K24" s="3561">
        <f t="shared" si="7"/>
        <v>1.008</v>
      </c>
      <c r="L24" s="3549" t="s">
        <v>669</v>
      </c>
      <c r="M24" s="3543" t="s">
        <v>3682</v>
      </c>
      <c r="N24" s="3563">
        <f t="shared" si="5"/>
        <v>0.85</v>
      </c>
      <c r="O24" s="3804"/>
      <c r="P24" s="3801"/>
      <c r="Q24" s="3543">
        <f t="shared" si="1"/>
        <v>3.56</v>
      </c>
      <c r="R24" s="3543">
        <f t="shared" si="0"/>
        <v>146.1</v>
      </c>
      <c r="S24" s="3543"/>
      <c r="T24" s="3543"/>
    </row>
    <row r="25" spans="1:20" ht="12.75">
      <c r="A25" s="3791"/>
      <c r="B25" s="3792"/>
      <c r="C25" s="3549" t="s">
        <v>3618</v>
      </c>
      <c r="D25" s="3577">
        <f>D24</f>
        <v>41.04</v>
      </c>
      <c r="E25" s="3561">
        <f t="shared" si="6"/>
        <v>1.04</v>
      </c>
      <c r="F25" s="3550" t="s">
        <v>39</v>
      </c>
      <c r="G25" s="3550">
        <v>1</v>
      </c>
      <c r="H25" s="3561">
        <v>1</v>
      </c>
      <c r="I25" s="3549" t="s">
        <v>3533</v>
      </c>
      <c r="J25" s="3550">
        <v>2002</v>
      </c>
      <c r="K25" s="3561">
        <f t="shared" si="7"/>
        <v>1.008</v>
      </c>
      <c r="L25" s="3549" t="s">
        <v>669</v>
      </c>
      <c r="M25" s="3543" t="s">
        <v>3682</v>
      </c>
      <c r="N25" s="3563">
        <f t="shared" si="5"/>
        <v>0.85</v>
      </c>
      <c r="O25" s="3804"/>
      <c r="P25" s="3801"/>
      <c r="Q25" s="3543">
        <f t="shared" si="1"/>
        <v>3.56</v>
      </c>
      <c r="R25" s="3543">
        <f t="shared" si="0"/>
        <v>146.1</v>
      </c>
      <c r="S25" s="3543"/>
      <c r="T25" s="3543"/>
    </row>
    <row r="26" spans="1:20" ht="12.75">
      <c r="A26" s="3791">
        <v>3</v>
      </c>
      <c r="B26" s="3792" t="s">
        <v>3611</v>
      </c>
      <c r="C26" s="3549" t="s">
        <v>3619</v>
      </c>
      <c r="D26" s="3577">
        <f t="shared" ref="D26:D29" si="8">D24</f>
        <v>41.04</v>
      </c>
      <c r="E26" s="3561">
        <f t="shared" si="6"/>
        <v>1.04</v>
      </c>
      <c r="F26" s="3550" t="s">
        <v>39</v>
      </c>
      <c r="G26" s="3550">
        <v>1</v>
      </c>
      <c r="H26" s="3561">
        <v>1</v>
      </c>
      <c r="I26" s="3549" t="s">
        <v>3533</v>
      </c>
      <c r="J26" s="3550">
        <v>2002</v>
      </c>
      <c r="K26" s="3561">
        <f t="shared" si="7"/>
        <v>1.008</v>
      </c>
      <c r="L26" s="3549" t="s">
        <v>669</v>
      </c>
      <c r="M26" s="3543" t="s">
        <v>3682</v>
      </c>
      <c r="N26" s="3563">
        <f t="shared" si="5"/>
        <v>0.85</v>
      </c>
      <c r="O26" s="3804"/>
      <c r="P26" s="3801"/>
      <c r="Q26" s="3543">
        <f t="shared" si="1"/>
        <v>3.56</v>
      </c>
      <c r="R26" s="3543">
        <f t="shared" si="0"/>
        <v>146.1</v>
      </c>
      <c r="S26" s="3543"/>
      <c r="T26" s="3543"/>
    </row>
    <row r="27" spans="1:20" ht="12.75">
      <c r="A27" s="3791"/>
      <c r="B27" s="3792"/>
      <c r="C27" s="3549" t="s">
        <v>3620</v>
      </c>
      <c r="D27" s="3577">
        <f t="shared" si="8"/>
        <v>41.04</v>
      </c>
      <c r="E27" s="3561">
        <f t="shared" si="6"/>
        <v>1.04</v>
      </c>
      <c r="F27" s="3550" t="s">
        <v>39</v>
      </c>
      <c r="G27" s="3550">
        <v>1</v>
      </c>
      <c r="H27" s="3561">
        <v>1</v>
      </c>
      <c r="I27" s="3549" t="s">
        <v>3533</v>
      </c>
      <c r="J27" s="3550">
        <v>2002</v>
      </c>
      <c r="K27" s="3561">
        <f t="shared" si="7"/>
        <v>1.008</v>
      </c>
      <c r="L27" s="3549" t="s">
        <v>669</v>
      </c>
      <c r="M27" s="3543" t="s">
        <v>3682</v>
      </c>
      <c r="N27" s="3563">
        <f t="shared" si="5"/>
        <v>0.85</v>
      </c>
      <c r="O27" s="3804"/>
      <c r="P27" s="3801"/>
      <c r="Q27" s="3543">
        <f t="shared" si="1"/>
        <v>3.56</v>
      </c>
      <c r="R27" s="3543">
        <f t="shared" si="0"/>
        <v>146.1</v>
      </c>
      <c r="S27" s="3543"/>
      <c r="T27" s="3543"/>
    </row>
    <row r="28" spans="1:20" ht="12.75">
      <c r="A28" s="3791"/>
      <c r="B28" s="3792"/>
      <c r="C28" s="3549" t="s">
        <v>3621</v>
      </c>
      <c r="D28" s="3577">
        <f t="shared" si="8"/>
        <v>41.04</v>
      </c>
      <c r="E28" s="3561">
        <f t="shared" si="6"/>
        <v>1.04</v>
      </c>
      <c r="F28" s="3550" t="s">
        <v>39</v>
      </c>
      <c r="G28" s="3550">
        <v>1</v>
      </c>
      <c r="H28" s="3561">
        <v>1</v>
      </c>
      <c r="I28" s="3549" t="s">
        <v>3533</v>
      </c>
      <c r="J28" s="3550">
        <v>2002</v>
      </c>
      <c r="K28" s="3561">
        <f t="shared" si="7"/>
        <v>1.008</v>
      </c>
      <c r="L28" s="3549" t="s">
        <v>669</v>
      </c>
      <c r="M28" s="3543" t="s">
        <v>3682</v>
      </c>
      <c r="N28" s="3563">
        <f t="shared" si="5"/>
        <v>0.85</v>
      </c>
      <c r="O28" s="3804"/>
      <c r="P28" s="3801"/>
      <c r="Q28" s="3543">
        <f t="shared" si="1"/>
        <v>3.56</v>
      </c>
      <c r="R28" s="3543">
        <f t="shared" si="0"/>
        <v>146.1</v>
      </c>
      <c r="S28" s="3543"/>
      <c r="T28" s="3543"/>
    </row>
    <row r="29" spans="1:20" ht="12.75">
      <c r="A29" s="3791"/>
      <c r="B29" s="3792"/>
      <c r="C29" s="3549" t="s">
        <v>3622</v>
      </c>
      <c r="D29" s="3577">
        <f t="shared" si="8"/>
        <v>41.04</v>
      </c>
      <c r="E29" s="3561">
        <f t="shared" si="6"/>
        <v>1.04</v>
      </c>
      <c r="F29" s="3550" t="s">
        <v>39</v>
      </c>
      <c r="G29" s="3550">
        <v>1</v>
      </c>
      <c r="H29" s="3561">
        <v>1</v>
      </c>
      <c r="I29" s="3549" t="s">
        <v>3533</v>
      </c>
      <c r="J29" s="3550">
        <v>2002</v>
      </c>
      <c r="K29" s="3561">
        <f t="shared" si="7"/>
        <v>1.008</v>
      </c>
      <c r="L29" s="3549" t="s">
        <v>669</v>
      </c>
      <c r="M29" s="3543" t="s">
        <v>3682</v>
      </c>
      <c r="N29" s="3563">
        <f t="shared" si="5"/>
        <v>0.85</v>
      </c>
      <c r="O29" s="3804"/>
      <c r="P29" s="3801"/>
      <c r="Q29" s="3543">
        <f t="shared" si="1"/>
        <v>3.56</v>
      </c>
      <c r="R29" s="3543">
        <f t="shared" si="0"/>
        <v>146.1</v>
      </c>
      <c r="S29" s="3543"/>
      <c r="T29" s="3543"/>
    </row>
    <row r="30" spans="1:20" ht="12.75">
      <c r="A30" s="3550">
        <v>4</v>
      </c>
      <c r="B30" s="3792" t="s">
        <v>3623</v>
      </c>
      <c r="C30" s="3792"/>
      <c r="D30" s="3577">
        <v>489</v>
      </c>
      <c r="E30" s="3561">
        <f>H51</f>
        <v>0.94</v>
      </c>
      <c r="F30" s="3550" t="s">
        <v>39</v>
      </c>
      <c r="G30" s="3550">
        <v>2</v>
      </c>
      <c r="H30" s="3561">
        <f>H5</f>
        <v>0.7</v>
      </c>
      <c r="I30" s="3549" t="s">
        <v>3533</v>
      </c>
      <c r="J30" s="3550">
        <v>1983</v>
      </c>
      <c r="K30" s="3561">
        <f>B54/100</f>
        <v>0.97</v>
      </c>
      <c r="L30" s="3549" t="s">
        <v>669</v>
      </c>
      <c r="M30" s="3543" t="s">
        <v>3682</v>
      </c>
      <c r="N30" s="3563">
        <f t="shared" si="5"/>
        <v>0.85</v>
      </c>
      <c r="O30" s="3804"/>
      <c r="P30" s="3801"/>
      <c r="Q30" s="3543">
        <f t="shared" si="1"/>
        <v>2.17</v>
      </c>
      <c r="R30" s="3543">
        <f t="shared" si="0"/>
        <v>1061.1300000000001</v>
      </c>
      <c r="S30" s="3543"/>
      <c r="T30" s="3543"/>
    </row>
    <row r="31" spans="1:20" ht="12.75">
      <c r="A31" s="3550">
        <v>5</v>
      </c>
      <c r="B31" s="3792" t="s">
        <v>3624</v>
      </c>
      <c r="C31" s="3792"/>
      <c r="D31" s="3550">
        <v>40</v>
      </c>
      <c r="E31" s="3561">
        <f>C51</f>
        <v>1.04</v>
      </c>
      <c r="F31" s="3550" t="s">
        <v>39</v>
      </c>
      <c r="G31" s="3550">
        <v>1</v>
      </c>
      <c r="H31" s="3561">
        <v>1</v>
      </c>
      <c r="I31" s="3549" t="s">
        <v>3533</v>
      </c>
      <c r="J31" s="3550">
        <v>1985</v>
      </c>
      <c r="K31" s="3561">
        <f>C54/100</f>
        <v>0.97400000000000009</v>
      </c>
      <c r="L31" s="3549" t="s">
        <v>669</v>
      </c>
      <c r="M31" s="3543" t="s">
        <v>3682</v>
      </c>
      <c r="N31" s="3563">
        <f t="shared" si="5"/>
        <v>0.85</v>
      </c>
      <c r="O31" s="3804"/>
      <c r="P31" s="3801"/>
      <c r="Q31" s="3543">
        <f t="shared" si="1"/>
        <v>3.44</v>
      </c>
      <c r="R31" s="3543">
        <f t="shared" si="0"/>
        <v>137.6</v>
      </c>
      <c r="S31" s="3543"/>
      <c r="T31" s="3543"/>
    </row>
    <row r="32" spans="1:20" ht="12.75">
      <c r="A32" s="3791">
        <v>6</v>
      </c>
      <c r="B32" s="3792" t="s">
        <v>3625</v>
      </c>
      <c r="C32" s="3792"/>
      <c r="D32" s="3550">
        <v>321.85000000000002</v>
      </c>
      <c r="E32" s="3561">
        <f>G51</f>
        <v>0.96</v>
      </c>
      <c r="F32" s="3550" t="s">
        <v>39</v>
      </c>
      <c r="G32" s="3550">
        <v>1</v>
      </c>
      <c r="H32" s="3561">
        <v>1</v>
      </c>
      <c r="I32" s="3549" t="s">
        <v>3533</v>
      </c>
      <c r="J32" s="3550">
        <v>1993</v>
      </c>
      <c r="K32" s="3561">
        <f>F54/100</f>
        <v>0.99</v>
      </c>
      <c r="L32" s="3549" t="s">
        <v>669</v>
      </c>
      <c r="M32" s="3543" t="s">
        <v>3682</v>
      </c>
      <c r="N32" s="3563">
        <f t="shared" si="5"/>
        <v>0.85</v>
      </c>
      <c r="O32" s="3804"/>
      <c r="P32" s="3801"/>
      <c r="Q32" s="3543">
        <f t="shared" si="1"/>
        <v>3.23</v>
      </c>
      <c r="R32" s="3543">
        <f t="shared" si="0"/>
        <v>1039.58</v>
      </c>
      <c r="S32" s="3543"/>
      <c r="T32" s="3543"/>
    </row>
    <row r="33" spans="1:20" ht="12.75">
      <c r="A33" s="3791"/>
      <c r="B33" s="3792"/>
      <c r="C33" s="3792"/>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0.85</v>
      </c>
      <c r="O33" s="3804"/>
      <c r="P33" s="3801"/>
      <c r="Q33" s="3543">
        <f t="shared" si="1"/>
        <v>2.35</v>
      </c>
      <c r="R33" s="3543">
        <f t="shared" si="0"/>
        <v>323.17</v>
      </c>
      <c r="S33" s="3543"/>
      <c r="T33" s="3543"/>
    </row>
    <row r="34" spans="1:20" ht="12.75">
      <c r="A34" s="3791">
        <v>7</v>
      </c>
      <c r="B34" s="3792" t="s">
        <v>3626</v>
      </c>
      <c r="C34" s="3792"/>
      <c r="D34" s="3550">
        <v>177.28</v>
      </c>
      <c r="E34" s="3561">
        <f>E51</f>
        <v>1</v>
      </c>
      <c r="F34" s="3791">
        <v>84.62</v>
      </c>
      <c r="G34" s="3550">
        <v>1</v>
      </c>
      <c r="H34" s="3561">
        <v>1</v>
      </c>
      <c r="I34" s="3549" t="s">
        <v>3533</v>
      </c>
      <c r="J34" s="3550">
        <v>1991</v>
      </c>
      <c r="K34" s="3561">
        <f>E54/100</f>
        <v>0.98599999999999999</v>
      </c>
      <c r="L34" s="3549" t="s">
        <v>669</v>
      </c>
      <c r="M34" s="3543" t="s">
        <v>3682</v>
      </c>
      <c r="N34" s="3563">
        <f t="shared" si="5"/>
        <v>0.85</v>
      </c>
      <c r="O34" s="3804"/>
      <c r="P34" s="3801"/>
      <c r="Q34" s="3543">
        <f t="shared" si="1"/>
        <v>3.35</v>
      </c>
      <c r="R34" s="3543">
        <f t="shared" si="0"/>
        <v>593.89</v>
      </c>
      <c r="S34" s="3806">
        <f>ROUND(S43*0.9,0)</f>
        <v>2</v>
      </c>
      <c r="T34" s="3797">
        <f>ROUND(F34*S34,2)</f>
        <v>169.24</v>
      </c>
    </row>
    <row r="35" spans="1:20" ht="12.75">
      <c r="A35" s="3791"/>
      <c r="B35" s="3792"/>
      <c r="C35" s="3792"/>
      <c r="D35" s="3550">
        <v>158.58000000000001</v>
      </c>
      <c r="E35" s="3561">
        <f>E51</f>
        <v>1</v>
      </c>
      <c r="F35" s="3791"/>
      <c r="G35" s="3550">
        <v>2</v>
      </c>
      <c r="H35" s="3561">
        <f>H3</f>
        <v>0.7</v>
      </c>
      <c r="I35" s="3549" t="s">
        <v>3533</v>
      </c>
      <c r="J35" s="3550">
        <v>1991</v>
      </c>
      <c r="K35" s="3561">
        <f>E54/100</f>
        <v>0.98599999999999999</v>
      </c>
      <c r="L35" s="3549" t="s">
        <v>669</v>
      </c>
      <c r="M35" s="3543" t="s">
        <v>3682</v>
      </c>
      <c r="N35" s="3563">
        <f t="shared" si="5"/>
        <v>0.85</v>
      </c>
      <c r="O35" s="3804"/>
      <c r="P35" s="3801"/>
      <c r="Q35" s="3543">
        <f t="shared" si="1"/>
        <v>2.34</v>
      </c>
      <c r="R35" s="3543">
        <f t="shared" si="0"/>
        <v>371.08</v>
      </c>
      <c r="S35" s="3806"/>
      <c r="T35" s="3798"/>
    </row>
    <row r="36" spans="1:20" ht="12.75">
      <c r="A36" s="3550">
        <v>8</v>
      </c>
      <c r="B36" s="3792" t="s">
        <v>3627</v>
      </c>
      <c r="C36" s="3792"/>
      <c r="D36" s="3550">
        <v>45.35</v>
      </c>
      <c r="E36" s="3561">
        <f>C51</f>
        <v>1.04</v>
      </c>
      <c r="F36" s="3550" t="s">
        <v>39</v>
      </c>
      <c r="G36" s="3550">
        <v>1</v>
      </c>
      <c r="H36" s="3561">
        <v>1</v>
      </c>
      <c r="I36" s="3549" t="s">
        <v>3533</v>
      </c>
      <c r="J36" s="3550">
        <v>1998</v>
      </c>
      <c r="K36" s="3561">
        <f>H54</f>
        <v>1</v>
      </c>
      <c r="L36" s="3549" t="s">
        <v>669</v>
      </c>
      <c r="M36" s="3543" t="s">
        <v>3682</v>
      </c>
      <c r="N36" s="3563">
        <f t="shared" si="5"/>
        <v>0.85</v>
      </c>
      <c r="O36" s="3804"/>
      <c r="P36" s="3801"/>
      <c r="Q36" s="3543">
        <f t="shared" si="1"/>
        <v>3.53</v>
      </c>
      <c r="R36" s="3543">
        <f t="shared" si="0"/>
        <v>160.09</v>
      </c>
      <c r="S36" s="3543"/>
      <c r="T36" s="3543"/>
    </row>
    <row r="37" spans="1:20" ht="12.75">
      <c r="A37" s="3550">
        <v>9</v>
      </c>
      <c r="B37" s="3792" t="s">
        <v>3628</v>
      </c>
      <c r="C37" s="3792"/>
      <c r="D37" s="3577">
        <v>73.92</v>
      </c>
      <c r="E37" s="3561">
        <f>E51</f>
        <v>1</v>
      </c>
      <c r="F37" s="3550" t="s">
        <v>39</v>
      </c>
      <c r="G37" s="3550">
        <v>2</v>
      </c>
      <c r="H37" s="3561">
        <f>H3</f>
        <v>0.7</v>
      </c>
      <c r="I37" s="3549" t="s">
        <v>3533</v>
      </c>
      <c r="J37" s="3550">
        <v>1988</v>
      </c>
      <c r="K37" s="3561">
        <f>D54/100</f>
        <v>0.98</v>
      </c>
      <c r="L37" s="3549" t="s">
        <v>669</v>
      </c>
      <c r="M37" s="3543" t="s">
        <v>3682</v>
      </c>
      <c r="N37" s="3563">
        <f t="shared" si="5"/>
        <v>0.85</v>
      </c>
      <c r="O37" s="3804"/>
      <c r="P37" s="3801"/>
      <c r="Q37" s="3543">
        <f t="shared" si="1"/>
        <v>2.33</v>
      </c>
      <c r="R37" s="3543">
        <f t="shared" si="0"/>
        <v>172.23</v>
      </c>
      <c r="S37" s="3543"/>
      <c r="T37" s="3543"/>
    </row>
    <row r="38" spans="1:20" ht="12.75">
      <c r="A38" s="3791">
        <v>10</v>
      </c>
      <c r="B38" s="3792" t="s">
        <v>3629</v>
      </c>
      <c r="C38" s="3792"/>
      <c r="D38" s="3577">
        <v>33.75</v>
      </c>
      <c r="E38" s="3561">
        <f>E51</f>
        <v>1</v>
      </c>
      <c r="F38" s="3988">
        <v>106.95</v>
      </c>
      <c r="G38" s="3550">
        <v>1</v>
      </c>
      <c r="H38" s="3561">
        <v>1</v>
      </c>
      <c r="I38" s="3549" t="s">
        <v>3533</v>
      </c>
      <c r="J38" s="3550">
        <v>1995</v>
      </c>
      <c r="K38" s="3561">
        <f>G54/100</f>
        <v>0.99400000000000011</v>
      </c>
      <c r="L38" s="3549" t="s">
        <v>669</v>
      </c>
      <c r="M38" s="3543" t="s">
        <v>3682</v>
      </c>
      <c r="N38" s="3563">
        <f t="shared" si="5"/>
        <v>0.85</v>
      </c>
      <c r="O38" s="3804"/>
      <c r="P38" s="3801"/>
      <c r="Q38" s="3543">
        <f t="shared" si="1"/>
        <v>3.38</v>
      </c>
      <c r="R38" s="3543">
        <f t="shared" si="0"/>
        <v>114.08</v>
      </c>
      <c r="S38" s="3806">
        <f>ROUND(S43*0.9,0)</f>
        <v>2</v>
      </c>
      <c r="T38" s="3797">
        <f>ROUND(S38*F38,2)</f>
        <v>213.9</v>
      </c>
    </row>
    <row r="39" spans="1:20" ht="12.75">
      <c r="A39" s="3791"/>
      <c r="B39" s="3792"/>
      <c r="C39" s="3792"/>
      <c r="D39" s="3577">
        <v>140.85</v>
      </c>
      <c r="E39" s="3561">
        <f>E51</f>
        <v>1</v>
      </c>
      <c r="F39" s="3988"/>
      <c r="G39" s="3550">
        <v>2</v>
      </c>
      <c r="H39" s="3561">
        <f>H3</f>
        <v>0.7</v>
      </c>
      <c r="I39" s="3549" t="s">
        <v>3533</v>
      </c>
      <c r="J39" s="3550">
        <v>1995</v>
      </c>
      <c r="K39" s="3561">
        <f>G54/100</f>
        <v>0.99400000000000011</v>
      </c>
      <c r="L39" s="3549" t="s">
        <v>669</v>
      </c>
      <c r="M39" s="3543" t="s">
        <v>3682</v>
      </c>
      <c r="N39" s="3563">
        <f t="shared" si="5"/>
        <v>0.85</v>
      </c>
      <c r="O39" s="3804"/>
      <c r="P39" s="3801"/>
      <c r="Q39" s="3543">
        <f t="shared" si="1"/>
        <v>2.36</v>
      </c>
      <c r="R39" s="3543">
        <f t="shared" si="0"/>
        <v>332.41</v>
      </c>
      <c r="S39" s="3806"/>
      <c r="T39" s="3798"/>
    </row>
    <row r="40" spans="1:20" ht="28.5" customHeight="1">
      <c r="A40" s="3553">
        <v>11</v>
      </c>
      <c r="B40" s="3796" t="s">
        <v>3630</v>
      </c>
      <c r="C40" s="3796"/>
      <c r="D40" s="3553">
        <v>140</v>
      </c>
      <c r="E40" s="3562">
        <f>E51</f>
        <v>1</v>
      </c>
      <c r="F40" s="3553" t="s">
        <v>39</v>
      </c>
      <c r="G40" s="3553">
        <v>1</v>
      </c>
      <c r="H40" s="3562">
        <v>1</v>
      </c>
      <c r="I40" s="3554" t="s">
        <v>3533</v>
      </c>
      <c r="J40" s="3553">
        <v>1998</v>
      </c>
      <c r="K40" s="3562">
        <f>H54</f>
        <v>1</v>
      </c>
      <c r="L40" s="3554" t="s">
        <v>669</v>
      </c>
      <c r="M40" s="3555" t="s">
        <v>3684</v>
      </c>
      <c r="N40" s="3565">
        <v>1</v>
      </c>
      <c r="O40" s="3804"/>
      <c r="P40" s="3801"/>
      <c r="Q40" s="3555">
        <f>'租金比较法-商业'!C49*P2</f>
        <v>6.6599999999999993</v>
      </c>
      <c r="R40" s="3543">
        <f t="shared" si="0"/>
        <v>932.4</v>
      </c>
      <c r="S40" s="3566"/>
      <c r="T40" s="3566"/>
    </row>
    <row r="41" spans="1:20" ht="12.75">
      <c r="A41" s="3791">
        <v>12</v>
      </c>
      <c r="B41" s="3792" t="s">
        <v>3631</v>
      </c>
      <c r="C41" s="3792"/>
      <c r="D41" s="3550">
        <v>640</v>
      </c>
      <c r="E41" s="3561">
        <f>H51</f>
        <v>0.94</v>
      </c>
      <c r="F41" s="3550" t="s">
        <v>39</v>
      </c>
      <c r="G41" s="3550" t="s">
        <v>3632</v>
      </c>
      <c r="H41" s="3561">
        <v>0.5</v>
      </c>
      <c r="I41" s="3549" t="s">
        <v>3533</v>
      </c>
      <c r="J41" s="3550">
        <v>2008</v>
      </c>
      <c r="K41" s="3561">
        <f>J54/100</f>
        <v>1.02</v>
      </c>
      <c r="L41" s="3549" t="s">
        <v>669</v>
      </c>
      <c r="M41" s="3793" t="s">
        <v>3685</v>
      </c>
      <c r="N41" s="3563">
        <v>1</v>
      </c>
      <c r="O41" s="3804"/>
      <c r="P41" s="3801"/>
      <c r="Q41" s="3543">
        <f>ROUND($Q$40*E41*H41*K41*N41*$P$2,2)</f>
        <v>1.92</v>
      </c>
      <c r="R41" s="3543">
        <f t="shared" si="0"/>
        <v>1228.8</v>
      </c>
      <c r="S41" s="3543"/>
      <c r="T41" s="3543"/>
    </row>
    <row r="42" spans="1:20" ht="12.75">
      <c r="A42" s="3791"/>
      <c r="B42" s="3792"/>
      <c r="C42" s="3792"/>
      <c r="D42" s="3550">
        <v>640</v>
      </c>
      <c r="E42" s="3561">
        <f>H51</f>
        <v>0.94</v>
      </c>
      <c r="F42" s="3550" t="s">
        <v>39</v>
      </c>
      <c r="G42" s="3550">
        <v>1</v>
      </c>
      <c r="H42" s="3561">
        <v>1</v>
      </c>
      <c r="I42" s="3549" t="s">
        <v>3533</v>
      </c>
      <c r="J42" s="3550">
        <v>2008</v>
      </c>
      <c r="K42" s="3561">
        <f>J54/100</f>
        <v>1.02</v>
      </c>
      <c r="L42" s="3549" t="s">
        <v>669</v>
      </c>
      <c r="M42" s="3793"/>
      <c r="N42" s="3563">
        <v>1</v>
      </c>
      <c r="O42" s="3804"/>
      <c r="P42" s="3801"/>
      <c r="Q42" s="3543">
        <f>ROUND($Q$40*E42*H42*K42*N42*$P$2,2)</f>
        <v>3.83</v>
      </c>
      <c r="R42" s="3543">
        <f t="shared" si="0"/>
        <v>2451.1999999999998</v>
      </c>
      <c r="S42" s="3543"/>
      <c r="T42" s="3543"/>
    </row>
    <row r="43" spans="1:20" ht="12.75">
      <c r="A43" s="3550">
        <v>13</v>
      </c>
      <c r="B43" s="3796" t="s">
        <v>3633</v>
      </c>
      <c r="C43" s="3796"/>
      <c r="D43" s="3550" t="s">
        <v>39</v>
      </c>
      <c r="E43" s="3561"/>
      <c r="F43" s="3550">
        <v>9</v>
      </c>
      <c r="G43" s="3550" t="s">
        <v>39</v>
      </c>
      <c r="H43" s="3561"/>
      <c r="I43" s="3550" t="s">
        <v>3634</v>
      </c>
      <c r="J43" s="3550" t="s">
        <v>39</v>
      </c>
      <c r="K43" s="3561"/>
      <c r="L43" s="3549" t="s">
        <v>669</v>
      </c>
      <c r="M43" s="3543"/>
      <c r="N43" s="3563"/>
      <c r="O43" s="3804"/>
      <c r="P43" s="3801"/>
      <c r="Q43" s="3543"/>
      <c r="R43" s="3543">
        <v>0</v>
      </c>
      <c r="S43" s="3576">
        <f>ROUND(T43/F43,2)</f>
        <v>2.2200000000000002</v>
      </c>
      <c r="T43" s="3576">
        <f>ROUND('土地比较法-住宅、综合'!C47/30*2,2)</f>
        <v>20</v>
      </c>
    </row>
    <row r="44" spans="1:20" ht="12.75">
      <c r="A44" s="3550">
        <v>14</v>
      </c>
      <c r="B44" s="3792" t="s">
        <v>3697</v>
      </c>
      <c r="C44" s="3792"/>
      <c r="D44" s="3550" t="s">
        <v>39</v>
      </c>
      <c r="E44" s="3561"/>
      <c r="F44" s="3550">
        <v>12</v>
      </c>
      <c r="G44" s="3550" t="s">
        <v>39</v>
      </c>
      <c r="H44" s="3561"/>
      <c r="I44" s="3550" t="s">
        <v>3635</v>
      </c>
      <c r="J44" s="3550" t="s">
        <v>39</v>
      </c>
      <c r="K44" s="3561"/>
      <c r="L44" s="3549" t="s">
        <v>669</v>
      </c>
      <c r="M44" s="3543"/>
      <c r="N44" s="3563"/>
      <c r="O44" s="3804"/>
      <c r="P44" s="3801"/>
      <c r="Q44" s="3543"/>
      <c r="R44" s="3543">
        <v>0</v>
      </c>
      <c r="S44" s="3573">
        <f>S43</f>
        <v>2.2200000000000002</v>
      </c>
      <c r="T44" s="3573">
        <f>ROUND(F44*S44,2)</f>
        <v>26.64</v>
      </c>
    </row>
    <row r="45" spans="1:20" ht="12.75">
      <c r="A45" s="3550">
        <v>15</v>
      </c>
      <c r="B45" s="3792" t="s">
        <v>3636</v>
      </c>
      <c r="C45" s="3792"/>
      <c r="D45" s="3550" t="s">
        <v>39</v>
      </c>
      <c r="E45" s="3561"/>
      <c r="F45" s="3577">
        <v>6</v>
      </c>
      <c r="G45" s="3550" t="s">
        <v>39</v>
      </c>
      <c r="H45" s="3561"/>
      <c r="I45" s="3550" t="s">
        <v>3637</v>
      </c>
      <c r="J45" s="3550" t="s">
        <v>39</v>
      </c>
      <c r="K45" s="3561"/>
      <c r="L45" s="3549" t="s">
        <v>669</v>
      </c>
      <c r="M45" s="3543"/>
      <c r="N45" s="3563"/>
      <c r="O45" s="3804"/>
      <c r="P45" s="3801"/>
      <c r="Q45" s="3543"/>
      <c r="R45" s="3543">
        <v>0</v>
      </c>
      <c r="S45" s="3573">
        <f>S43</f>
        <v>2.2200000000000002</v>
      </c>
      <c r="T45" s="3573">
        <f>ROUND(S45*F45,0)</f>
        <v>13</v>
      </c>
    </row>
    <row r="46" spans="1:20" ht="12.75">
      <c r="A46" s="3792" t="s">
        <v>3638</v>
      </c>
      <c r="B46" s="3792"/>
      <c r="C46" s="3792"/>
      <c r="D46" s="3550">
        <f>SUM(D2:D42)</f>
        <v>6680.0800000000008</v>
      </c>
      <c r="E46" s="3561"/>
      <c r="F46" s="3550">
        <f>F34+F38+F43+F44+F45</f>
        <v>218.57</v>
      </c>
      <c r="G46" s="3550" t="s">
        <v>39</v>
      </c>
      <c r="H46" s="3561"/>
      <c r="I46" s="3550" t="s">
        <v>39</v>
      </c>
      <c r="J46" s="3550" t="s">
        <v>39</v>
      </c>
      <c r="K46" s="3561"/>
      <c r="L46" s="3550" t="s">
        <v>39</v>
      </c>
      <c r="M46" s="3543"/>
      <c r="N46" s="3563"/>
      <c r="O46" s="3805"/>
      <c r="P46" s="3802"/>
      <c r="Q46" s="3543"/>
      <c r="R46" s="3543">
        <f>SUM(R2:R45)</f>
        <v>19184.300000000003</v>
      </c>
      <c r="S46" s="3543"/>
      <c r="T46" s="3543">
        <f>SUM(T34:T45)</f>
        <v>442.78</v>
      </c>
    </row>
    <row r="47" spans="1:20">
      <c r="O47" s="3551"/>
      <c r="Q47" s="3572" t="s">
        <v>3686</v>
      </c>
      <c r="R47" s="3572">
        <f>ROUND(R46/D46,2)</f>
        <v>2.87</v>
      </c>
      <c r="T47" s="3551">
        <f>ROUND(T46/F46,2)</f>
        <v>2.0299999999999998</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9">100-$A$54*($H$53-C53)</f>
        <v>97.4</v>
      </c>
      <c r="D54" s="3551">
        <f t="shared" si="9"/>
        <v>98</v>
      </c>
      <c r="E54" s="3551">
        <f t="shared" si="9"/>
        <v>98.6</v>
      </c>
      <c r="F54" s="3551">
        <f t="shared" si="9"/>
        <v>99</v>
      </c>
      <c r="G54" s="3551">
        <f t="shared" si="9"/>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T34:T35"/>
    <mergeCell ref="T38:T39"/>
    <mergeCell ref="N2:N3"/>
    <mergeCell ref="N4:N5"/>
    <mergeCell ref="P2:P46"/>
    <mergeCell ref="O2:O46"/>
    <mergeCell ref="S34:S35"/>
    <mergeCell ref="S38:S39"/>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B38:C39"/>
    <mergeCell ref="F38:F39"/>
    <mergeCell ref="B30:C30"/>
    <mergeCell ref="B31:C31"/>
    <mergeCell ref="A32:A33"/>
    <mergeCell ref="B32:C33"/>
    <mergeCell ref="A34:A35"/>
    <mergeCell ref="B34:C35"/>
    <mergeCell ref="A6:A16"/>
    <mergeCell ref="B6:B16"/>
    <mergeCell ref="A17:A25"/>
    <mergeCell ref="B17:B25"/>
    <mergeCell ref="A26:A29"/>
    <mergeCell ref="B26:B29"/>
    <mergeCell ref="J2:J3"/>
    <mergeCell ref="L2:L3"/>
    <mergeCell ref="C4:C5"/>
    <mergeCell ref="F4:F5"/>
    <mergeCell ref="I4:I5"/>
    <mergeCell ref="J4:J5"/>
    <mergeCell ref="L4:L5"/>
    <mergeCell ref="I2:I3"/>
    <mergeCell ref="B1:C1"/>
    <mergeCell ref="A2:A5"/>
    <mergeCell ref="B2:B5"/>
    <mergeCell ref="C2:C3"/>
    <mergeCell ref="F2:F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4" zoomScale="90" zoomScaleNormal="70" zoomScaleSheetLayoutView="90" workbookViewId="0">
      <selection activeCell="F50" sqref="F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11.1</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1" t="s">
        <v>1764</v>
      </c>
      <c r="AC4" s="3823" t="s">
        <v>1765</v>
      </c>
    </row>
    <row r="5" spans="1:29" ht="15">
      <c r="A5" s="358"/>
      <c r="B5" s="359"/>
      <c r="C5" s="3849" t="s">
        <v>3645</v>
      </c>
      <c r="D5" s="3845"/>
      <c r="E5" s="3854" t="s">
        <v>3643</v>
      </c>
      <c r="F5" s="3855"/>
      <c r="G5" s="3844" t="s">
        <v>1670</v>
      </c>
      <c r="H5" s="3845"/>
      <c r="I5" s="3849" t="s">
        <v>3649</v>
      </c>
      <c r="J5" s="3845"/>
      <c r="K5" s="559"/>
      <c r="L5" s="2712"/>
      <c r="M5" s="2713"/>
      <c r="N5" s="2713"/>
      <c r="O5" s="2713"/>
      <c r="P5" s="3832"/>
      <c r="Q5" s="3833"/>
      <c r="R5" s="3838"/>
      <c r="S5" s="3839"/>
      <c r="T5" s="3838"/>
      <c r="U5" s="3839"/>
      <c r="V5" s="3821"/>
      <c r="W5" s="3821"/>
      <c r="X5" s="1355"/>
      <c r="Y5" s="3838"/>
      <c r="Z5" s="3839"/>
      <c r="AA5" s="3824"/>
      <c r="AB5" s="3821"/>
      <c r="AC5" s="3824"/>
    </row>
    <row r="6" spans="1:29" ht="15.75" thickBot="1">
      <c r="A6" s="360"/>
      <c r="B6" s="361"/>
      <c r="C6" s="3850" t="s">
        <v>3642</v>
      </c>
      <c r="D6" s="3851"/>
      <c r="E6" s="3852" t="s">
        <v>3644</v>
      </c>
      <c r="F6" s="3853"/>
      <c r="G6" s="3842" t="s">
        <v>3646</v>
      </c>
      <c r="H6" s="3843"/>
      <c r="I6" s="3842" t="s">
        <v>3648</v>
      </c>
      <c r="J6" s="3843"/>
      <c r="K6" s="559" t="s">
        <v>1673</v>
      </c>
      <c r="L6" s="2712"/>
      <c r="M6" s="2713"/>
      <c r="N6" s="2713"/>
      <c r="O6" s="2713"/>
      <c r="P6" s="3834"/>
      <c r="Q6" s="3835"/>
      <c r="R6" s="3838"/>
      <c r="S6" s="3839"/>
      <c r="T6" s="3840"/>
      <c r="U6" s="3841"/>
      <c r="V6" s="3821"/>
      <c r="W6" s="3821"/>
      <c r="X6" s="1355"/>
      <c r="Y6" s="3840"/>
      <c r="Z6" s="3841"/>
      <c r="AA6" s="3825"/>
      <c r="AB6" s="3821"/>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2"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2"/>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2"/>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2"/>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2"/>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2"/>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12" t="s">
        <v>1686</v>
      </c>
      <c r="Q15" s="1352" t="str">
        <f t="shared" si="6"/>
        <v>商业繁华度</v>
      </c>
      <c r="R15" s="705" t="s">
        <v>14</v>
      </c>
      <c r="S15" s="706">
        <f t="shared" si="0"/>
        <v>100</v>
      </c>
      <c r="T15" s="705" t="s">
        <v>14</v>
      </c>
      <c r="U15" s="706">
        <f t="shared" si="1"/>
        <v>100</v>
      </c>
      <c r="V15" s="705" t="s">
        <v>14</v>
      </c>
      <c r="W15" s="706">
        <f t="shared" si="2"/>
        <v>100</v>
      </c>
      <c r="X15" s="1355"/>
      <c r="Y15" s="3814"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13"/>
      <c r="Q16" s="1352"/>
      <c r="R16" s="705"/>
      <c r="S16" s="706"/>
      <c r="T16" s="705"/>
      <c r="U16" s="706"/>
      <c r="V16" s="705"/>
      <c r="W16" s="706"/>
      <c r="X16" s="1355"/>
      <c r="Y16" s="381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13"/>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13"/>
      <c r="Q18" s="1352"/>
      <c r="R18" s="705"/>
      <c r="S18" s="706"/>
      <c r="T18" s="705"/>
      <c r="U18" s="706"/>
      <c r="V18" s="705"/>
      <c r="W18" s="706"/>
      <c r="X18" s="1355"/>
      <c r="Y18" s="381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13"/>
      <c r="Q20" s="1352"/>
      <c r="R20" s="705"/>
      <c r="S20" s="706"/>
      <c r="T20" s="705"/>
      <c r="U20" s="706"/>
      <c r="V20" s="705"/>
      <c r="W20" s="706"/>
      <c r="X20" s="1355"/>
      <c r="Y20" s="381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13"/>
      <c r="Q22" s="1352"/>
      <c r="R22" s="705"/>
      <c r="S22" s="706"/>
      <c r="T22" s="705"/>
      <c r="U22" s="706"/>
      <c r="V22" s="705"/>
      <c r="W22" s="706"/>
      <c r="X22" s="1355"/>
      <c r="Y22" s="381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13"/>
      <c r="Q23" s="1352" t="str">
        <f>B23</f>
        <v>自然及人文环境</v>
      </c>
      <c r="R23" s="705" t="s">
        <v>14</v>
      </c>
      <c r="S23" s="706">
        <f>F23</f>
        <v>100</v>
      </c>
      <c r="T23" s="705" t="s">
        <v>14</v>
      </c>
      <c r="U23" s="706">
        <f>H23</f>
        <v>100</v>
      </c>
      <c r="V23" s="705" t="s">
        <v>14</v>
      </c>
      <c r="W23" s="706">
        <f>J23</f>
        <v>100</v>
      </c>
      <c r="X23" s="1355"/>
      <c r="Y23" s="3815"/>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13"/>
      <c r="Q24" s="1352"/>
      <c r="R24" s="705"/>
      <c r="S24" s="706"/>
      <c r="T24" s="705"/>
      <c r="U24" s="706"/>
      <c r="V24" s="705"/>
      <c r="W24" s="706"/>
      <c r="X24" s="1355"/>
      <c r="Y24" s="3815"/>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13"/>
      <c r="Q25" s="1352" t="str">
        <f t="shared" ref="Q25:Q46" si="11">B25</f>
        <v>临街状况</v>
      </c>
      <c r="R25" s="705" t="s">
        <v>14</v>
      </c>
      <c r="S25" s="706">
        <f>F25</f>
        <v>95</v>
      </c>
      <c r="T25" s="705" t="s">
        <v>14</v>
      </c>
      <c r="U25" s="706">
        <f>H25</f>
        <v>85</v>
      </c>
      <c r="V25" s="705" t="s">
        <v>14</v>
      </c>
      <c r="W25" s="706">
        <f>J25</f>
        <v>95</v>
      </c>
      <c r="X25" s="1355"/>
      <c r="Y25" s="3815"/>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13"/>
      <c r="Q26" s="1352" t="str">
        <f t="shared" si="11"/>
        <v>平面位置/可视性</v>
      </c>
      <c r="R26" s="705" t="s">
        <v>14</v>
      </c>
      <c r="S26" s="706">
        <f>F26</f>
        <v>100</v>
      </c>
      <c r="T26" s="705" t="s">
        <v>14</v>
      </c>
      <c r="U26" s="706">
        <f>H26</f>
        <v>100</v>
      </c>
      <c r="V26" s="705" t="s">
        <v>14</v>
      </c>
      <c r="W26" s="706">
        <f>J26</f>
        <v>100</v>
      </c>
      <c r="X26" s="1355"/>
      <c r="Y26" s="3815"/>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13"/>
      <c r="Q27" s="1343" t="str">
        <f t="shared" si="11"/>
        <v>人流量</v>
      </c>
      <c r="R27" s="701" t="s">
        <v>14</v>
      </c>
      <c r="S27" s="702">
        <f>F27</f>
        <v>100</v>
      </c>
      <c r="T27" s="701" t="s">
        <v>14</v>
      </c>
      <c r="U27" s="702">
        <f>H27</f>
        <v>100</v>
      </c>
      <c r="V27" s="701" t="s">
        <v>14</v>
      </c>
      <c r="W27" s="702">
        <f>J27</f>
        <v>100</v>
      </c>
      <c r="X27" s="703"/>
      <c r="Y27" s="3815"/>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3"/>
      <c r="Q29" s="1352">
        <f t="shared" si="11"/>
        <v>111</v>
      </c>
      <c r="R29" s="705" t="s">
        <v>14</v>
      </c>
      <c r="S29" s="706">
        <f t="shared" si="12"/>
        <v>100</v>
      </c>
      <c r="T29" s="705" t="s">
        <v>14</v>
      </c>
      <c r="U29" s="706">
        <f t="shared" si="13"/>
        <v>100</v>
      </c>
      <c r="V29" s="705" t="s">
        <v>14</v>
      </c>
      <c r="W29" s="706">
        <f t="shared" si="14"/>
        <v>100</v>
      </c>
      <c r="X29" s="1355"/>
      <c r="Y29" s="38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16" t="s">
        <v>1691</v>
      </c>
      <c r="Q32" s="1352" t="str">
        <f t="shared" si="11"/>
        <v>商业类型</v>
      </c>
      <c r="R32" s="705" t="s">
        <v>14</v>
      </c>
      <c r="S32" s="706">
        <f t="shared" si="12"/>
        <v>104</v>
      </c>
      <c r="T32" s="705" t="s">
        <v>14</v>
      </c>
      <c r="U32" s="706">
        <f t="shared" si="13"/>
        <v>104</v>
      </c>
      <c r="V32" s="705" t="s">
        <v>14</v>
      </c>
      <c r="W32" s="706">
        <f t="shared" si="14"/>
        <v>104</v>
      </c>
      <c r="X32" s="1355"/>
      <c r="Y32" s="3819"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17"/>
      <c r="Q33" s="707" t="str">
        <f t="shared" si="11"/>
        <v>项目建筑规模</v>
      </c>
      <c r="R33" s="708" t="s">
        <v>14</v>
      </c>
      <c r="S33" s="709">
        <f t="shared" si="12"/>
        <v>100</v>
      </c>
      <c r="T33" s="708" t="s">
        <v>14</v>
      </c>
      <c r="U33" s="709">
        <f t="shared" si="13"/>
        <v>102</v>
      </c>
      <c r="V33" s="708" t="s">
        <v>14</v>
      </c>
      <c r="W33" s="709">
        <f t="shared" si="14"/>
        <v>98</v>
      </c>
      <c r="X33" s="710"/>
      <c r="Y33" s="3819"/>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104</v>
      </c>
      <c r="G34" s="1911" t="s">
        <v>3531</v>
      </c>
      <c r="H34" s="386">
        <f>SUMIF(105:105,G34,106:106)-SUMIF(105:105,C34,106:106)+100</f>
        <v>104</v>
      </c>
      <c r="I34" s="1911" t="s">
        <v>3531</v>
      </c>
      <c r="J34" s="386">
        <f>SUMIF(105:105,I34,106:106)-SUMIF(105:105,C34,106:106)+100</f>
        <v>104</v>
      </c>
      <c r="K34" s="561">
        <v>2</v>
      </c>
      <c r="L34" s="2719"/>
      <c r="M34" s="2713"/>
      <c r="N34" s="2713"/>
      <c r="O34" s="2713"/>
      <c r="P34" s="3817"/>
      <c r="Q34" s="1352" t="str">
        <f t="shared" si="11"/>
        <v>建筑结构</v>
      </c>
      <c r="R34" s="705" t="s">
        <v>14</v>
      </c>
      <c r="S34" s="706">
        <f t="shared" si="12"/>
        <v>104</v>
      </c>
      <c r="T34" s="705" t="s">
        <v>14</v>
      </c>
      <c r="U34" s="706">
        <f t="shared" si="13"/>
        <v>104</v>
      </c>
      <c r="V34" s="705" t="s">
        <v>14</v>
      </c>
      <c r="W34" s="706">
        <f t="shared" si="14"/>
        <v>104</v>
      </c>
      <c r="X34" s="1355"/>
      <c r="Y34" s="3819"/>
      <c r="Z34" s="1356" t="str">
        <f t="shared" si="15"/>
        <v>建筑结构</v>
      </c>
      <c r="AA34" s="1353">
        <f t="shared" si="3"/>
        <v>0.96153846153846156</v>
      </c>
      <c r="AB34" s="1353">
        <f t="shared" si="4"/>
        <v>0.96153846153846156</v>
      </c>
      <c r="AC34" s="1353">
        <f t="shared" si="5"/>
        <v>0.96153846153846156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17"/>
      <c r="Q35" s="1352" t="str">
        <f t="shared" si="11"/>
        <v>公共部分装修</v>
      </c>
      <c r="R35" s="705" t="s">
        <v>14</v>
      </c>
      <c r="S35" s="706">
        <f t="shared" si="12"/>
        <v>100</v>
      </c>
      <c r="T35" s="705" t="s">
        <v>14</v>
      </c>
      <c r="U35" s="706">
        <f t="shared" si="13"/>
        <v>100</v>
      </c>
      <c r="V35" s="705" t="s">
        <v>14</v>
      </c>
      <c r="W35" s="706">
        <f t="shared" si="14"/>
        <v>100</v>
      </c>
      <c r="X35" s="1355"/>
      <c r="Y35" s="3819"/>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17"/>
      <c r="Q36" s="1352" t="str">
        <f t="shared" si="11"/>
        <v>成新度</v>
      </c>
      <c r="R36" s="705" t="s">
        <v>14</v>
      </c>
      <c r="S36" s="706">
        <f t="shared" si="12"/>
        <v>100</v>
      </c>
      <c r="T36" s="705" t="s">
        <v>14</v>
      </c>
      <c r="U36" s="706">
        <f t="shared" si="13"/>
        <v>100</v>
      </c>
      <c r="V36" s="705" t="s">
        <v>14</v>
      </c>
      <c r="W36" s="706">
        <f t="shared" si="14"/>
        <v>100</v>
      </c>
      <c r="X36" s="1355"/>
      <c r="Y36" s="3819"/>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17"/>
      <c r="Q37" s="1343" t="str">
        <f t="shared" si="11"/>
        <v>市政基础设施</v>
      </c>
      <c r="R37" s="701" t="s">
        <v>14</v>
      </c>
      <c r="S37" s="702">
        <f t="shared" si="12"/>
        <v>100</v>
      </c>
      <c r="T37" s="701" t="s">
        <v>14</v>
      </c>
      <c r="U37" s="702">
        <f t="shared" si="13"/>
        <v>100</v>
      </c>
      <c r="V37" s="701" t="s">
        <v>14</v>
      </c>
      <c r="W37" s="702">
        <f t="shared" si="14"/>
        <v>100</v>
      </c>
      <c r="X37" s="703"/>
      <c r="Y37" s="3819"/>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17" t="s">
        <v>1691</v>
      </c>
      <c r="Q38" s="1352" t="str">
        <f t="shared" si="11"/>
        <v>业态</v>
      </c>
      <c r="R38" s="705" t="s">
        <v>14</v>
      </c>
      <c r="S38" s="706">
        <f t="shared" si="12"/>
        <v>100</v>
      </c>
      <c r="T38" s="705" t="s">
        <v>14</v>
      </c>
      <c r="U38" s="706">
        <f t="shared" si="13"/>
        <v>100</v>
      </c>
      <c r="V38" s="705" t="s">
        <v>14</v>
      </c>
      <c r="W38" s="706">
        <f t="shared" si="14"/>
        <v>100</v>
      </c>
      <c r="X38" s="1355"/>
      <c r="Y38" s="3819"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17"/>
      <c r="Q39" s="1352" t="str">
        <f t="shared" si="11"/>
        <v>层高</v>
      </c>
      <c r="R39" s="705" t="s">
        <v>14</v>
      </c>
      <c r="S39" s="706">
        <f t="shared" si="12"/>
        <v>100</v>
      </c>
      <c r="T39" s="705" t="s">
        <v>14</v>
      </c>
      <c r="U39" s="706">
        <f t="shared" si="13"/>
        <v>100</v>
      </c>
      <c r="V39" s="705" t="s">
        <v>14</v>
      </c>
      <c r="W39" s="706">
        <f t="shared" si="14"/>
        <v>100</v>
      </c>
      <c r="X39" s="1355"/>
      <c r="Y39" s="3819"/>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7"/>
      <c r="Q40" s="1352" t="str">
        <f t="shared" si="11"/>
        <v>单套建筑面积</v>
      </c>
      <c r="R40" s="705" t="s">
        <v>14</v>
      </c>
      <c r="S40" s="706">
        <f t="shared" si="12"/>
        <v>100</v>
      </c>
      <c r="T40" s="705" t="s">
        <v>14</v>
      </c>
      <c r="U40" s="706">
        <f t="shared" si="13"/>
        <v>100</v>
      </c>
      <c r="V40" s="705" t="s">
        <v>14</v>
      </c>
      <c r="W40" s="706">
        <f t="shared" si="14"/>
        <v>100</v>
      </c>
      <c r="X40" s="1355"/>
      <c r="Y40" s="3819"/>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7"/>
      <c r="Q41" s="707" t="str">
        <f t="shared" si="11"/>
        <v>进深比</v>
      </c>
      <c r="R41" s="708" t="s">
        <v>14</v>
      </c>
      <c r="S41" s="709">
        <f t="shared" si="12"/>
        <v>100</v>
      </c>
      <c r="T41" s="708" t="s">
        <v>14</v>
      </c>
      <c r="U41" s="709">
        <f t="shared" si="13"/>
        <v>100</v>
      </c>
      <c r="V41" s="708" t="s">
        <v>14</v>
      </c>
      <c r="W41" s="709">
        <f t="shared" si="14"/>
        <v>100</v>
      </c>
      <c r="X41" s="710"/>
      <c r="Y41" s="3819"/>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17"/>
      <c r="Q42" s="1352" t="str">
        <f t="shared" si="11"/>
        <v>内部装修</v>
      </c>
      <c r="R42" s="705" t="s">
        <v>14</v>
      </c>
      <c r="S42" s="706">
        <f t="shared" si="12"/>
        <v>100</v>
      </c>
      <c r="T42" s="705" t="s">
        <v>14</v>
      </c>
      <c r="U42" s="706">
        <f t="shared" si="13"/>
        <v>100</v>
      </c>
      <c r="V42" s="705" t="s">
        <v>14</v>
      </c>
      <c r="W42" s="706">
        <f t="shared" si="14"/>
        <v>100</v>
      </c>
      <c r="X42" s="1355"/>
      <c r="Y42" s="3819"/>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17"/>
      <c r="Q43" s="1352" t="str">
        <f t="shared" si="11"/>
        <v>内部装修维护情况</v>
      </c>
      <c r="R43" s="705" t="s">
        <v>14</v>
      </c>
      <c r="S43" s="706">
        <f t="shared" si="12"/>
        <v>100</v>
      </c>
      <c r="T43" s="705" t="s">
        <v>14</v>
      </c>
      <c r="U43" s="706">
        <f t="shared" si="13"/>
        <v>100</v>
      </c>
      <c r="V43" s="705" t="s">
        <v>14</v>
      </c>
      <c r="W43" s="706">
        <f t="shared" si="14"/>
        <v>100</v>
      </c>
      <c r="X43" s="1355"/>
      <c r="Y43" s="38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7"/>
      <c r="Q44" s="1343">
        <f t="shared" si="11"/>
        <v>111</v>
      </c>
      <c r="R44" s="701" t="s">
        <v>14</v>
      </c>
      <c r="S44" s="702">
        <f t="shared" si="12"/>
        <v>100</v>
      </c>
      <c r="T44" s="701" t="s">
        <v>14</v>
      </c>
      <c r="U44" s="702">
        <f t="shared" si="13"/>
        <v>100</v>
      </c>
      <c r="V44" s="701" t="s">
        <v>14</v>
      </c>
      <c r="W44" s="702">
        <f t="shared" si="14"/>
        <v>100</v>
      </c>
      <c r="X44" s="703"/>
      <c r="Y44" s="38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7"/>
      <c r="Q45" s="1352">
        <f t="shared" si="11"/>
        <v>111</v>
      </c>
      <c r="R45" s="705" t="s">
        <v>14</v>
      </c>
      <c r="S45" s="706">
        <f t="shared" si="12"/>
        <v>100</v>
      </c>
      <c r="T45" s="705" t="s">
        <v>14</v>
      </c>
      <c r="U45" s="706">
        <f t="shared" si="13"/>
        <v>100</v>
      </c>
      <c r="V45" s="705" t="s">
        <v>14</v>
      </c>
      <c r="W45" s="706">
        <f t="shared" si="14"/>
        <v>100</v>
      </c>
      <c r="X45" s="1355"/>
      <c r="Y45" s="38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8"/>
      <c r="Q46" s="1352">
        <f t="shared" si="11"/>
        <v>111</v>
      </c>
      <c r="R46" s="705" t="s">
        <v>14</v>
      </c>
      <c r="S46" s="706">
        <f t="shared" si="12"/>
        <v>100</v>
      </c>
      <c r="T46" s="705" t="s">
        <v>14</v>
      </c>
      <c r="U46" s="706">
        <f t="shared" si="13"/>
        <v>100</v>
      </c>
      <c r="V46" s="705" t="s">
        <v>14</v>
      </c>
      <c r="W46" s="706">
        <f t="shared" si="14"/>
        <v>100</v>
      </c>
      <c r="X46" s="1355"/>
      <c r="Y46" s="3820"/>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07" t="str">
        <f>A47</f>
        <v>成交单价（元/平方米）</v>
      </c>
      <c r="Q47" s="3807"/>
      <c r="R47" s="3821">
        <f>E47</f>
        <v>11</v>
      </c>
      <c r="S47" s="3821"/>
      <c r="T47" s="3821">
        <f>G47</f>
        <v>10.199999999999999</v>
      </c>
      <c r="U47" s="3821"/>
      <c r="V47" s="3821">
        <f>I47</f>
        <v>11.73</v>
      </c>
      <c r="W47" s="3821"/>
      <c r="X47" s="690"/>
      <c r="Y47" s="712"/>
      <c r="Z47" s="690"/>
      <c r="AA47" s="690"/>
      <c r="AB47" s="690"/>
      <c r="AC47" s="690"/>
    </row>
    <row r="48" spans="1:29" ht="15.75" thickBot="1">
      <c r="A48" s="437" t="s">
        <v>1785</v>
      </c>
      <c r="B48" s="438"/>
      <c r="C48" s="1160">
        <f>R49</f>
        <v>11.1</v>
      </c>
      <c r="D48" s="2315" t="s">
        <v>2130</v>
      </c>
      <c r="E48" s="1161">
        <f>R48</f>
        <v>10.7</v>
      </c>
      <c r="F48" s="2316"/>
      <c r="G48" s="1160">
        <f>T48</f>
        <v>10.9</v>
      </c>
      <c r="H48" s="2316"/>
      <c r="I48" s="1161">
        <f>V48</f>
        <v>11.6</v>
      </c>
      <c r="J48" s="2316"/>
      <c r="K48" s="2318">
        <f>F48+H48+J48</f>
        <v>0</v>
      </c>
      <c r="L48" s="2721"/>
      <c r="M48" s="2722"/>
      <c r="N48" s="2713"/>
      <c r="O48" s="2722"/>
      <c r="P48" s="3807" t="str">
        <f>A48</f>
        <v>比较价值（元/平方米）</v>
      </c>
      <c r="Q48" s="3807"/>
      <c r="R48" s="3808">
        <f>IF(F1="售价",ROUND(PRODUCT(R47,AA7:AA46),0),ROUND(PRODUCT(R47,AA7:AA46),1))</f>
        <v>10.7</v>
      </c>
      <c r="S48" s="3808"/>
      <c r="T48" s="3808">
        <f>IF(F1="售价",ROUND(PRODUCT(T47,AB7:AB46),0),ROUND(PRODUCT(T47,AB7:AB46),1))</f>
        <v>10.9</v>
      </c>
      <c r="U48" s="3808"/>
      <c r="V48" s="3808">
        <f>IF(F1="售价",ROUND(PRODUCT(V47,AC7:AC46),0),ROUND(PRODUCT(V47,AC7:AC46),1))</f>
        <v>11.6</v>
      </c>
      <c r="W48" s="3808"/>
      <c r="X48" s="690"/>
      <c r="Y48" s="690"/>
      <c r="Z48" s="690"/>
      <c r="AA48" s="690"/>
      <c r="AB48" s="690"/>
      <c r="AC48" s="690"/>
    </row>
    <row r="49" spans="1:29" ht="15.75" thickBot="1">
      <c r="A49" s="441" t="s">
        <v>1786</v>
      </c>
      <c r="B49" s="442"/>
      <c r="C49" s="1163">
        <f>R49</f>
        <v>11.1</v>
      </c>
      <c r="D49" s="1163"/>
      <c r="E49" s="1163"/>
      <c r="F49" s="1163"/>
      <c r="G49" s="1163"/>
      <c r="H49" s="1163"/>
      <c r="I49" s="1163"/>
      <c r="J49" s="1163"/>
      <c r="K49" s="715"/>
      <c r="L49" s="2721"/>
      <c r="M49" s="2722"/>
      <c r="N49" s="2713"/>
      <c r="O49" s="2722"/>
      <c r="P49" s="3809" t="str">
        <f>A49</f>
        <v>估价对象XX用房的比较价值（楼面单价，元/平方米）</v>
      </c>
      <c r="Q49" s="3810"/>
      <c r="R49" s="3811">
        <f>IF(F1="售价",ROUND(IF(D48="简单平均",AVERAGE(R48:V48),R48*F48+T48*H48+V48*J48),0),ROUND(IF(D48="简单平均",AVERAGE(R48:V48),R48*F48+T48*H48+V48*J48),1))</f>
        <v>11.1</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2.8037383177570208E-2</v>
      </c>
      <c r="F52" s="449" t="str">
        <f>IF(OR(E52&gt;=0.3,E52&lt;=-0.3),"超过30%","")</f>
        <v/>
      </c>
      <c r="G52" s="448">
        <f>IF(G47&lt;G48,G48/G47-1,G47/G48-1)</f>
        <v>6.8627450980392357E-2</v>
      </c>
      <c r="H52" s="449" t="str">
        <f>IF(OR(G52&gt;=0.3,G52&lt;=-0.3),"超过30%","")</f>
        <v/>
      </c>
      <c r="I52" s="448">
        <f>IF(I47&lt;I48,I48/I47-1,I47/I48-1)</f>
        <v>1.1206896551724244E-2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1.8691588785046731E-2</v>
      </c>
      <c r="F53" s="449" t="str">
        <f>IF(OR(E53&gt;=0.2,E53&lt;=-0.2),"超过20%","")</f>
        <v/>
      </c>
      <c r="G53" s="448">
        <f>IF(G48&lt;I48,I48/G48-1,G48/I48-1)</f>
        <v>6.4220183486238369E-2</v>
      </c>
      <c r="H53" s="449" t="str">
        <f>IF(OR(G53&gt;=0.2,G53&lt;=-0.2),"超过20%","")</f>
        <v/>
      </c>
      <c r="I53" s="448">
        <f>IF(I48&lt;E48,E48/I48-1,I48/E48-1)</f>
        <v>8.4112149532710401E-2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6" t="s">
        <v>1662</v>
      </c>
      <c r="D4" s="3827"/>
      <c r="E4" s="3828" t="s">
        <v>1663</v>
      </c>
      <c r="F4" s="3829"/>
      <c r="G4" s="3826" t="s">
        <v>1664</v>
      </c>
      <c r="H4" s="3827"/>
      <c r="I4" s="3826" t="s">
        <v>1665</v>
      </c>
      <c r="J4" s="3827"/>
      <c r="K4" s="1889" t="s">
        <v>1666</v>
      </c>
      <c r="L4" s="2712"/>
      <c r="M4" s="2713"/>
      <c r="N4" s="2713"/>
      <c r="O4" s="2713"/>
      <c r="P4" s="3830" t="s">
        <v>1667</v>
      </c>
      <c r="Q4" s="3831"/>
      <c r="R4" s="3836" t="s">
        <v>1663</v>
      </c>
      <c r="S4" s="3837"/>
      <c r="T4" s="3836" t="s">
        <v>1664</v>
      </c>
      <c r="U4" s="3837"/>
      <c r="V4" s="3821" t="s">
        <v>1665</v>
      </c>
      <c r="W4" s="3821"/>
      <c r="X4" s="3449"/>
      <c r="Y4" s="3836" t="s">
        <v>1667</v>
      </c>
      <c r="Z4" s="3837"/>
      <c r="AA4" s="3823" t="s">
        <v>1663</v>
      </c>
      <c r="AB4" s="3823" t="s">
        <v>1664</v>
      </c>
      <c r="AC4" s="3823" t="s">
        <v>1665</v>
      </c>
    </row>
    <row r="5" spans="1:29" ht="15.75" thickBot="1">
      <c r="A5" s="358"/>
      <c r="B5" s="359"/>
      <c r="C5" s="3849" t="s">
        <v>3500</v>
      </c>
      <c r="D5" s="3845"/>
      <c r="E5" s="3856" t="str">
        <f>C5</f>
        <v>双榆树西里</v>
      </c>
      <c r="F5" s="3855"/>
      <c r="G5" s="3844" t="str">
        <f>C5</f>
        <v>双榆树西里</v>
      </c>
      <c r="H5" s="3845"/>
      <c r="I5" s="3844" t="str">
        <f>C5</f>
        <v>双榆树西里</v>
      </c>
      <c r="J5" s="3845"/>
      <c r="K5" s="1890"/>
      <c r="L5" s="2712"/>
      <c r="M5" s="2713"/>
      <c r="N5" s="2713"/>
      <c r="O5" s="2713"/>
      <c r="P5" s="3832"/>
      <c r="Q5" s="3833"/>
      <c r="R5" s="3838"/>
      <c r="S5" s="3839"/>
      <c r="T5" s="3838"/>
      <c r="U5" s="3839"/>
      <c r="V5" s="3821"/>
      <c r="W5" s="3821"/>
      <c r="X5" s="3449"/>
      <c r="Y5" s="3838"/>
      <c r="Z5" s="3839"/>
      <c r="AA5" s="3824"/>
      <c r="AB5" s="3824"/>
      <c r="AC5" s="3824"/>
    </row>
    <row r="6" spans="1:29" ht="15.75" hidden="1" thickBot="1">
      <c r="A6" s="360"/>
      <c r="B6" s="361"/>
      <c r="C6" s="3857" t="s">
        <v>1672</v>
      </c>
      <c r="D6" s="3843"/>
      <c r="E6" s="3858" t="s">
        <v>1672</v>
      </c>
      <c r="F6" s="3853"/>
      <c r="G6" s="3857" t="s">
        <v>1672</v>
      </c>
      <c r="H6" s="3843"/>
      <c r="I6" s="3857" t="s">
        <v>1672</v>
      </c>
      <c r="J6" s="3843"/>
      <c r="K6" s="1890" t="s">
        <v>1673</v>
      </c>
      <c r="L6" s="2712"/>
      <c r="M6" s="2713"/>
      <c r="N6" s="2713"/>
      <c r="O6" s="2713"/>
      <c r="P6" s="3834"/>
      <c r="Q6" s="3835"/>
      <c r="R6" s="3838"/>
      <c r="S6" s="3839"/>
      <c r="T6" s="3840"/>
      <c r="U6" s="3841"/>
      <c r="V6" s="3821"/>
      <c r="W6" s="3821"/>
      <c r="X6" s="3449"/>
      <c r="Y6" s="3840"/>
      <c r="Z6" s="3841"/>
      <c r="AA6" s="3825"/>
      <c r="AB6" s="3825"/>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2" t="s">
        <v>1681</v>
      </c>
      <c r="Q9" s="3446" t="str">
        <f t="shared" ref="Q9:Q15" si="6">B9</f>
        <v>用途</v>
      </c>
      <c r="R9" s="701" t="s">
        <v>14</v>
      </c>
      <c r="S9" s="702">
        <f t="shared" si="0"/>
        <v>100</v>
      </c>
      <c r="T9" s="701" t="s">
        <v>14</v>
      </c>
      <c r="U9" s="702">
        <f t="shared" si="1"/>
        <v>100</v>
      </c>
      <c r="V9" s="701" t="s">
        <v>14</v>
      </c>
      <c r="W9" s="702">
        <f t="shared" si="2"/>
        <v>100</v>
      </c>
      <c r="X9" s="703"/>
      <c r="Y9" s="366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2"/>
      <c r="Q10" s="3446" t="str">
        <f t="shared" si="6"/>
        <v>土地使用年限（年）</v>
      </c>
      <c r="R10" s="701" t="s">
        <v>14</v>
      </c>
      <c r="S10" s="702">
        <f t="shared" si="0"/>
        <v>100</v>
      </c>
      <c r="T10" s="701" t="s">
        <v>14</v>
      </c>
      <c r="U10" s="702">
        <f t="shared" si="1"/>
        <v>100</v>
      </c>
      <c r="V10" s="701" t="s">
        <v>14</v>
      </c>
      <c r="W10" s="702">
        <f t="shared" si="2"/>
        <v>100</v>
      </c>
      <c r="X10" s="703"/>
      <c r="Y10" s="3668"/>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2"/>
      <c r="Q11" s="3446" t="str">
        <f t="shared" si="6"/>
        <v>容积率</v>
      </c>
      <c r="R11" s="701" t="s">
        <v>14</v>
      </c>
      <c r="S11" s="702">
        <f t="shared" si="0"/>
        <v>100</v>
      </c>
      <c r="T11" s="701" t="s">
        <v>14</v>
      </c>
      <c r="U11" s="702">
        <f t="shared" si="1"/>
        <v>100</v>
      </c>
      <c r="V11" s="701" t="s">
        <v>14</v>
      </c>
      <c r="W11" s="702">
        <f t="shared" si="2"/>
        <v>100</v>
      </c>
      <c r="X11" s="703"/>
      <c r="Y11" s="3668"/>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2"/>
      <c r="Q12" s="3446">
        <f t="shared" si="6"/>
        <v>111</v>
      </c>
      <c r="R12" s="701" t="s">
        <v>14</v>
      </c>
      <c r="S12" s="702">
        <f t="shared" si="0"/>
        <v>100</v>
      </c>
      <c r="T12" s="701" t="s">
        <v>14</v>
      </c>
      <c r="U12" s="702">
        <f t="shared" si="1"/>
        <v>100</v>
      </c>
      <c r="V12" s="701" t="s">
        <v>14</v>
      </c>
      <c r="W12" s="702">
        <f t="shared" si="2"/>
        <v>100</v>
      </c>
      <c r="X12" s="703"/>
      <c r="Y12" s="3668"/>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2"/>
      <c r="Q13" s="3446">
        <f t="shared" si="6"/>
        <v>111</v>
      </c>
      <c r="R13" s="701" t="s">
        <v>14</v>
      </c>
      <c r="S13" s="702">
        <f t="shared" si="0"/>
        <v>100</v>
      </c>
      <c r="T13" s="701" t="s">
        <v>14</v>
      </c>
      <c r="U13" s="702">
        <f t="shared" si="1"/>
        <v>100</v>
      </c>
      <c r="V13" s="701" t="s">
        <v>14</v>
      </c>
      <c r="W13" s="702">
        <f t="shared" si="2"/>
        <v>100</v>
      </c>
      <c r="X13" s="703"/>
      <c r="Y13" s="366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2"/>
      <c r="Q14" s="3446">
        <f t="shared" si="6"/>
        <v>111</v>
      </c>
      <c r="R14" s="701" t="s">
        <v>14</v>
      </c>
      <c r="S14" s="702">
        <f t="shared" si="0"/>
        <v>100</v>
      </c>
      <c r="T14" s="701" t="s">
        <v>14</v>
      </c>
      <c r="U14" s="702">
        <f t="shared" si="1"/>
        <v>100</v>
      </c>
      <c r="V14" s="701" t="s">
        <v>14</v>
      </c>
      <c r="W14" s="702">
        <f t="shared" si="2"/>
        <v>100</v>
      </c>
      <c r="X14" s="703"/>
      <c r="Y14" s="366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2" t="s">
        <v>1686</v>
      </c>
      <c r="Q15" s="3447" t="str">
        <f t="shared" si="6"/>
        <v>居住社区成熟度</v>
      </c>
      <c r="R15" s="705" t="s">
        <v>14</v>
      </c>
      <c r="S15" s="706">
        <f t="shared" si="0"/>
        <v>100</v>
      </c>
      <c r="T15" s="705" t="s">
        <v>14</v>
      </c>
      <c r="U15" s="706">
        <f t="shared" si="1"/>
        <v>100</v>
      </c>
      <c r="V15" s="705" t="s">
        <v>14</v>
      </c>
      <c r="W15" s="706">
        <f t="shared" si="2"/>
        <v>100</v>
      </c>
      <c r="X15" s="3449"/>
      <c r="Y15" s="3814"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3"/>
      <c r="Q16" s="3447"/>
      <c r="R16" s="705"/>
      <c r="S16" s="706"/>
      <c r="T16" s="705"/>
      <c r="U16" s="706"/>
      <c r="V16" s="705"/>
      <c r="W16" s="706"/>
      <c r="X16" s="3449"/>
      <c r="Y16" s="3815"/>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3"/>
      <c r="Q17" s="3447" t="str">
        <f>B17</f>
        <v>交通便捷度</v>
      </c>
      <c r="R17" s="705" t="s">
        <v>14</v>
      </c>
      <c r="S17" s="706">
        <f>F17</f>
        <v>100</v>
      </c>
      <c r="T17" s="705" t="s">
        <v>14</v>
      </c>
      <c r="U17" s="706">
        <f>H17</f>
        <v>100</v>
      </c>
      <c r="V17" s="705" t="s">
        <v>14</v>
      </c>
      <c r="W17" s="706">
        <f>J17</f>
        <v>100</v>
      </c>
      <c r="X17" s="3449"/>
      <c r="Y17" s="3815"/>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3"/>
      <c r="Q18" s="3447"/>
      <c r="R18" s="705"/>
      <c r="S18" s="706"/>
      <c r="T18" s="705"/>
      <c r="U18" s="706"/>
      <c r="V18" s="705"/>
      <c r="W18" s="706"/>
      <c r="X18" s="3449"/>
      <c r="Y18" s="3815"/>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3"/>
      <c r="Q19" s="3447" t="str">
        <f>B19</f>
        <v>公共配套设施</v>
      </c>
      <c r="R19" s="705" t="s">
        <v>14</v>
      </c>
      <c r="S19" s="706">
        <f>F19</f>
        <v>100</v>
      </c>
      <c r="T19" s="705" t="s">
        <v>14</v>
      </c>
      <c r="U19" s="706">
        <f>H19</f>
        <v>100</v>
      </c>
      <c r="V19" s="705" t="s">
        <v>14</v>
      </c>
      <c r="W19" s="706">
        <f>J19</f>
        <v>100</v>
      </c>
      <c r="X19" s="3449"/>
      <c r="Y19" s="3815"/>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3"/>
      <c r="Q20" s="3447"/>
      <c r="R20" s="705"/>
      <c r="S20" s="706"/>
      <c r="T20" s="705"/>
      <c r="U20" s="706"/>
      <c r="V20" s="705"/>
      <c r="W20" s="706"/>
      <c r="X20" s="3449"/>
      <c r="Y20" s="3815"/>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3"/>
      <c r="Q21" s="3447" t="str">
        <f>B21</f>
        <v>基础设施水平</v>
      </c>
      <c r="R21" s="705" t="s">
        <v>14</v>
      </c>
      <c r="S21" s="706">
        <f>F21</f>
        <v>100</v>
      </c>
      <c r="T21" s="705" t="s">
        <v>14</v>
      </c>
      <c r="U21" s="706">
        <f>H21</f>
        <v>100</v>
      </c>
      <c r="V21" s="705" t="s">
        <v>14</v>
      </c>
      <c r="W21" s="706">
        <f>J21</f>
        <v>100</v>
      </c>
      <c r="X21" s="3449"/>
      <c r="Y21" s="3815"/>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3"/>
      <c r="Q22" s="3447"/>
      <c r="R22" s="705"/>
      <c r="S22" s="706"/>
      <c r="T22" s="705"/>
      <c r="U22" s="706"/>
      <c r="V22" s="705"/>
      <c r="W22" s="706"/>
      <c r="X22" s="3449"/>
      <c r="Y22" s="3815"/>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3"/>
      <c r="Q23" s="3447" t="str">
        <f>B23</f>
        <v>自然及人文环境</v>
      </c>
      <c r="R23" s="705" t="s">
        <v>14</v>
      </c>
      <c r="S23" s="706">
        <f>F23</f>
        <v>100</v>
      </c>
      <c r="T23" s="705" t="s">
        <v>14</v>
      </c>
      <c r="U23" s="706">
        <f>H23</f>
        <v>100</v>
      </c>
      <c r="V23" s="705" t="s">
        <v>14</v>
      </c>
      <c r="W23" s="706">
        <f>J23</f>
        <v>100</v>
      </c>
      <c r="X23" s="3449"/>
      <c r="Y23" s="3815"/>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3"/>
      <c r="Q24" s="3447"/>
      <c r="R24" s="705"/>
      <c r="S24" s="706"/>
      <c r="T24" s="705"/>
      <c r="U24" s="706"/>
      <c r="V24" s="705"/>
      <c r="W24" s="706"/>
      <c r="X24" s="3449"/>
      <c r="Y24" s="3815"/>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3"/>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5"/>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13"/>
      <c r="Q26" s="3447" t="str">
        <f t="shared" si="11"/>
        <v>朝向</v>
      </c>
      <c r="R26" s="705" t="s">
        <v>14</v>
      </c>
      <c r="S26" s="706">
        <f t="shared" si="12"/>
        <v>99</v>
      </c>
      <c r="T26" s="705" t="s">
        <v>14</v>
      </c>
      <c r="U26" s="706">
        <f t="shared" si="13"/>
        <v>99.5</v>
      </c>
      <c r="V26" s="705" t="s">
        <v>14</v>
      </c>
      <c r="W26" s="706">
        <f t="shared" si="14"/>
        <v>99.5</v>
      </c>
      <c r="X26" s="3449"/>
      <c r="Y26" s="3815"/>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13"/>
      <c r="Q27" s="3446" t="str">
        <f t="shared" si="11"/>
        <v>楼层</v>
      </c>
      <c r="R27" s="701" t="s">
        <v>14</v>
      </c>
      <c r="S27" s="702">
        <f t="shared" si="12"/>
        <v>100</v>
      </c>
      <c r="T27" s="701" t="s">
        <v>14</v>
      </c>
      <c r="U27" s="702">
        <f t="shared" si="13"/>
        <v>98</v>
      </c>
      <c r="V27" s="701" t="s">
        <v>14</v>
      </c>
      <c r="W27" s="702">
        <f t="shared" si="14"/>
        <v>98</v>
      </c>
      <c r="X27" s="703"/>
      <c r="Y27" s="3815"/>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3"/>
      <c r="Q28" s="3447">
        <f t="shared" si="11"/>
        <v>111</v>
      </c>
      <c r="R28" s="705" t="s">
        <v>14</v>
      </c>
      <c r="S28" s="706">
        <f t="shared" si="12"/>
        <v>100</v>
      </c>
      <c r="T28" s="705" t="s">
        <v>14</v>
      </c>
      <c r="U28" s="706">
        <f t="shared" si="13"/>
        <v>100</v>
      </c>
      <c r="V28" s="705" t="s">
        <v>14</v>
      </c>
      <c r="W28" s="706">
        <f t="shared" si="14"/>
        <v>100</v>
      </c>
      <c r="X28" s="3449"/>
      <c r="Y28" s="3815"/>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3"/>
      <c r="Q29" s="3447">
        <f t="shared" si="11"/>
        <v>111</v>
      </c>
      <c r="R29" s="705" t="s">
        <v>14</v>
      </c>
      <c r="S29" s="706">
        <f t="shared" si="12"/>
        <v>100</v>
      </c>
      <c r="T29" s="705" t="s">
        <v>14</v>
      </c>
      <c r="U29" s="706">
        <f t="shared" si="13"/>
        <v>100</v>
      </c>
      <c r="V29" s="705" t="s">
        <v>14</v>
      </c>
      <c r="W29" s="706">
        <f t="shared" si="14"/>
        <v>100</v>
      </c>
      <c r="X29" s="3449"/>
      <c r="Y29" s="3815"/>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3"/>
      <c r="Q30" s="3447">
        <f t="shared" si="11"/>
        <v>111</v>
      </c>
      <c r="R30" s="705" t="s">
        <v>14</v>
      </c>
      <c r="S30" s="706">
        <f t="shared" si="12"/>
        <v>100</v>
      </c>
      <c r="T30" s="705" t="s">
        <v>14</v>
      </c>
      <c r="U30" s="706">
        <f t="shared" si="13"/>
        <v>100</v>
      </c>
      <c r="V30" s="705" t="s">
        <v>14</v>
      </c>
      <c r="W30" s="706">
        <f t="shared" si="14"/>
        <v>100</v>
      </c>
      <c r="X30" s="3449"/>
      <c r="Y30" s="3815"/>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3"/>
      <c r="Q31" s="3447">
        <f t="shared" si="11"/>
        <v>111</v>
      </c>
      <c r="R31" s="705" t="s">
        <v>14</v>
      </c>
      <c r="S31" s="706">
        <f t="shared" si="12"/>
        <v>100</v>
      </c>
      <c r="T31" s="705" t="s">
        <v>14</v>
      </c>
      <c r="U31" s="706">
        <f t="shared" si="13"/>
        <v>100</v>
      </c>
      <c r="V31" s="705" t="s">
        <v>14</v>
      </c>
      <c r="W31" s="706">
        <f t="shared" si="14"/>
        <v>100</v>
      </c>
      <c r="X31" s="3449"/>
      <c r="Y31" s="3815"/>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6" t="s">
        <v>1691</v>
      </c>
      <c r="Q32" s="3447" t="str">
        <f t="shared" si="11"/>
        <v>建筑类型</v>
      </c>
      <c r="R32" s="705" t="s">
        <v>14</v>
      </c>
      <c r="S32" s="706">
        <f t="shared" si="12"/>
        <v>100</v>
      </c>
      <c r="T32" s="705" t="s">
        <v>14</v>
      </c>
      <c r="U32" s="706">
        <f t="shared" si="13"/>
        <v>100</v>
      </c>
      <c r="V32" s="705" t="s">
        <v>14</v>
      </c>
      <c r="W32" s="706">
        <f t="shared" si="14"/>
        <v>100</v>
      </c>
      <c r="X32" s="3449"/>
      <c r="Y32" s="3819"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17"/>
      <c r="Q33" s="707" t="str">
        <f t="shared" si="11"/>
        <v>项目建筑规模</v>
      </c>
      <c r="R33" s="708" t="s">
        <v>14</v>
      </c>
      <c r="S33" s="709">
        <f t="shared" si="12"/>
        <v>104</v>
      </c>
      <c r="T33" s="708" t="s">
        <v>14</v>
      </c>
      <c r="U33" s="709">
        <f t="shared" si="13"/>
        <v>104</v>
      </c>
      <c r="V33" s="708" t="s">
        <v>14</v>
      </c>
      <c r="W33" s="709">
        <f t="shared" si="14"/>
        <v>104</v>
      </c>
      <c r="X33" s="710"/>
      <c r="Y33" s="3819"/>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7"/>
      <c r="Q34" s="3447" t="str">
        <f t="shared" si="11"/>
        <v>建筑结构</v>
      </c>
      <c r="R34" s="705" t="s">
        <v>14</v>
      </c>
      <c r="S34" s="706">
        <f t="shared" si="12"/>
        <v>100</v>
      </c>
      <c r="T34" s="705" t="s">
        <v>14</v>
      </c>
      <c r="U34" s="706">
        <f t="shared" si="13"/>
        <v>100</v>
      </c>
      <c r="V34" s="705" t="s">
        <v>14</v>
      </c>
      <c r="W34" s="706">
        <f t="shared" si="14"/>
        <v>100</v>
      </c>
      <c r="X34" s="3449"/>
      <c r="Y34" s="3819"/>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7"/>
      <c r="Q35" s="3447" t="str">
        <f t="shared" si="11"/>
        <v>建筑品质</v>
      </c>
      <c r="R35" s="705" t="s">
        <v>14</v>
      </c>
      <c r="S35" s="706">
        <f t="shared" si="12"/>
        <v>100</v>
      </c>
      <c r="T35" s="705" t="s">
        <v>14</v>
      </c>
      <c r="U35" s="706">
        <f t="shared" si="13"/>
        <v>100</v>
      </c>
      <c r="V35" s="705" t="s">
        <v>14</v>
      </c>
      <c r="W35" s="706">
        <f t="shared" si="14"/>
        <v>100</v>
      </c>
      <c r="X35" s="3449"/>
      <c r="Y35" s="3819"/>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7"/>
      <c r="Q36" s="3447" t="str">
        <f t="shared" si="11"/>
        <v>公共部分装修</v>
      </c>
      <c r="R36" s="705" t="s">
        <v>14</v>
      </c>
      <c r="S36" s="706">
        <f t="shared" si="12"/>
        <v>100</v>
      </c>
      <c r="T36" s="705" t="s">
        <v>14</v>
      </c>
      <c r="U36" s="706">
        <f t="shared" si="13"/>
        <v>100</v>
      </c>
      <c r="V36" s="705" t="s">
        <v>14</v>
      </c>
      <c r="W36" s="706">
        <f t="shared" si="14"/>
        <v>100</v>
      </c>
      <c r="X36" s="3449"/>
      <c r="Y36" s="3819"/>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7"/>
      <c r="Q37" s="3446" t="str">
        <f t="shared" si="11"/>
        <v>成新度</v>
      </c>
      <c r="R37" s="701" t="s">
        <v>14</v>
      </c>
      <c r="S37" s="702">
        <f t="shared" si="12"/>
        <v>100</v>
      </c>
      <c r="T37" s="701" t="s">
        <v>14</v>
      </c>
      <c r="U37" s="702">
        <f t="shared" si="13"/>
        <v>100</v>
      </c>
      <c r="V37" s="701" t="s">
        <v>14</v>
      </c>
      <c r="W37" s="702">
        <f t="shared" si="14"/>
        <v>100</v>
      </c>
      <c r="X37" s="703"/>
      <c r="Y37" s="3819"/>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7" t="s">
        <v>1691</v>
      </c>
      <c r="Q38" s="3447" t="str">
        <f t="shared" si="11"/>
        <v>物业管理</v>
      </c>
      <c r="R38" s="705" t="s">
        <v>14</v>
      </c>
      <c r="S38" s="706">
        <f t="shared" si="12"/>
        <v>100</v>
      </c>
      <c r="T38" s="705" t="s">
        <v>14</v>
      </c>
      <c r="U38" s="706">
        <f t="shared" si="13"/>
        <v>100</v>
      </c>
      <c r="V38" s="705" t="s">
        <v>14</v>
      </c>
      <c r="W38" s="706">
        <f t="shared" si="14"/>
        <v>100</v>
      </c>
      <c r="X38" s="3449"/>
      <c r="Y38" s="3819"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7"/>
      <c r="Q39" s="3447" t="str">
        <f t="shared" si="11"/>
        <v>市政基础设施</v>
      </c>
      <c r="R39" s="705" t="s">
        <v>14</v>
      </c>
      <c r="S39" s="706">
        <f t="shared" si="12"/>
        <v>100</v>
      </c>
      <c r="T39" s="705" t="s">
        <v>14</v>
      </c>
      <c r="U39" s="706">
        <f t="shared" si="13"/>
        <v>100</v>
      </c>
      <c r="V39" s="705" t="s">
        <v>14</v>
      </c>
      <c r="W39" s="706">
        <f t="shared" si="14"/>
        <v>100</v>
      </c>
      <c r="X39" s="3449"/>
      <c r="Y39" s="3819"/>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7"/>
      <c r="Q40" s="3447" t="str">
        <f t="shared" si="11"/>
        <v>房型</v>
      </c>
      <c r="R40" s="705" t="s">
        <v>14</v>
      </c>
      <c r="S40" s="706">
        <f t="shared" si="12"/>
        <v>100</v>
      </c>
      <c r="T40" s="705" t="s">
        <v>14</v>
      </c>
      <c r="U40" s="706">
        <f t="shared" si="13"/>
        <v>100</v>
      </c>
      <c r="V40" s="705" t="s">
        <v>14</v>
      </c>
      <c r="W40" s="706">
        <f t="shared" si="14"/>
        <v>100</v>
      </c>
      <c r="X40" s="3449"/>
      <c r="Y40" s="3819"/>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7"/>
      <c r="Q41" s="707" t="str">
        <f t="shared" si="11"/>
        <v>单套/主力户型建筑面积</v>
      </c>
      <c r="R41" s="708" t="s">
        <v>14</v>
      </c>
      <c r="S41" s="709">
        <f t="shared" si="12"/>
        <v>100</v>
      </c>
      <c r="T41" s="708" t="s">
        <v>14</v>
      </c>
      <c r="U41" s="709">
        <f t="shared" si="13"/>
        <v>100</v>
      </c>
      <c r="V41" s="708" t="s">
        <v>14</v>
      </c>
      <c r="W41" s="709">
        <f t="shared" si="14"/>
        <v>100</v>
      </c>
      <c r="X41" s="710"/>
      <c r="Y41" s="3819"/>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17"/>
      <c r="Q42" s="3447" t="str">
        <f t="shared" si="11"/>
        <v>内部装修</v>
      </c>
      <c r="R42" s="705" t="s">
        <v>14</v>
      </c>
      <c r="S42" s="706">
        <f t="shared" si="12"/>
        <v>100</v>
      </c>
      <c r="T42" s="705" t="s">
        <v>14</v>
      </c>
      <c r="U42" s="706">
        <f t="shared" si="13"/>
        <v>100</v>
      </c>
      <c r="V42" s="705" t="s">
        <v>14</v>
      </c>
      <c r="W42" s="706">
        <f t="shared" si="14"/>
        <v>100</v>
      </c>
      <c r="X42" s="3449"/>
      <c r="Y42" s="3819"/>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7"/>
      <c r="Q43" s="3447" t="str">
        <f t="shared" si="11"/>
        <v>内部装修维护情况</v>
      </c>
      <c r="R43" s="705" t="s">
        <v>14</v>
      </c>
      <c r="S43" s="706">
        <f t="shared" si="12"/>
        <v>100</v>
      </c>
      <c r="T43" s="705" t="s">
        <v>14</v>
      </c>
      <c r="U43" s="706">
        <f t="shared" si="13"/>
        <v>100</v>
      </c>
      <c r="V43" s="705" t="s">
        <v>14</v>
      </c>
      <c r="W43" s="706">
        <f t="shared" si="14"/>
        <v>100</v>
      </c>
      <c r="X43" s="3449"/>
      <c r="Y43" s="3819"/>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7"/>
      <c r="Q44" s="3446">
        <f t="shared" si="11"/>
        <v>111</v>
      </c>
      <c r="R44" s="701" t="s">
        <v>14</v>
      </c>
      <c r="S44" s="702">
        <f t="shared" si="12"/>
        <v>100</v>
      </c>
      <c r="T44" s="701" t="s">
        <v>14</v>
      </c>
      <c r="U44" s="702">
        <f t="shared" si="13"/>
        <v>100</v>
      </c>
      <c r="V44" s="701" t="s">
        <v>14</v>
      </c>
      <c r="W44" s="702">
        <f t="shared" si="14"/>
        <v>100</v>
      </c>
      <c r="X44" s="703"/>
      <c r="Y44" s="3819"/>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7"/>
      <c r="Q45" s="3447">
        <f t="shared" si="11"/>
        <v>111</v>
      </c>
      <c r="R45" s="705" t="s">
        <v>14</v>
      </c>
      <c r="S45" s="706">
        <f t="shared" si="12"/>
        <v>100</v>
      </c>
      <c r="T45" s="705" t="s">
        <v>14</v>
      </c>
      <c r="U45" s="706">
        <f t="shared" si="13"/>
        <v>100</v>
      </c>
      <c r="V45" s="705" t="s">
        <v>14</v>
      </c>
      <c r="W45" s="706">
        <f t="shared" si="14"/>
        <v>100</v>
      </c>
      <c r="X45" s="3449"/>
      <c r="Y45" s="3819"/>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8"/>
      <c r="Q46" s="3447">
        <f t="shared" si="11"/>
        <v>111</v>
      </c>
      <c r="R46" s="705" t="s">
        <v>14</v>
      </c>
      <c r="S46" s="706">
        <f t="shared" si="12"/>
        <v>100</v>
      </c>
      <c r="T46" s="705" t="s">
        <v>14</v>
      </c>
      <c r="U46" s="706">
        <f t="shared" si="13"/>
        <v>100</v>
      </c>
      <c r="V46" s="705" t="s">
        <v>14</v>
      </c>
      <c r="W46" s="706">
        <f t="shared" si="14"/>
        <v>100</v>
      </c>
      <c r="X46" s="3449"/>
      <c r="Y46" s="3820"/>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07" t="str">
        <f>A47</f>
        <v>成交单价（元/平方米）</v>
      </c>
      <c r="Q47" s="3807"/>
      <c r="R47" s="3808">
        <f>E47</f>
        <v>123551</v>
      </c>
      <c r="S47" s="3808"/>
      <c r="T47" s="3808">
        <f>G47</f>
        <v>124556</v>
      </c>
      <c r="U47" s="3808"/>
      <c r="V47" s="3808">
        <f>I47</f>
        <v>120169</v>
      </c>
      <c r="W47" s="3808"/>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07" t="str">
        <f>A48</f>
        <v>比较价值（元/平方米）</v>
      </c>
      <c r="Q48" s="3807"/>
      <c r="R48" s="3808">
        <f>IF(F1="售价",ROUND(PRODUCT(R47,AA7:AA46),0),ROUND(PRODUCT(R47,AA7:AA46),1))</f>
        <v>119999</v>
      </c>
      <c r="S48" s="3808"/>
      <c r="T48" s="3808">
        <f>IF(F1="售价",ROUND(PRODUCT(T47,AB7:AB46),0),ROUND(PRODUCT(T47,AB7:AB46),1))</f>
        <v>122824</v>
      </c>
      <c r="U48" s="3808"/>
      <c r="V48" s="3808">
        <f>IF(F1="售价",ROUND(PRODUCT(V47,AC7:AC46),0),ROUND(PRODUCT(V47,AC7:AC46),1))</f>
        <v>118498</v>
      </c>
      <c r="W48" s="3808"/>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09" t="str">
        <f>A49</f>
        <v>估价对象住宅用房的比较价值（月租金单价，元/平方米/月）</v>
      </c>
      <c r="Q49" s="3810"/>
      <c r="R49" s="3811">
        <f>IF(F1="售价",ROUND(IF(D48="简单平均",AVERAGE(R48:V48),R48*F48+T48*H48+V48*J48),0),ROUND(IF(D48="简单平均",AVERAGE(R48:V48),R48*F48+T48*H48+V48*J48),1))</f>
        <v>120440</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793" t="s">
        <v>3513</v>
      </c>
      <c r="L2" s="3504" t="s">
        <v>3514</v>
      </c>
      <c r="M2" s="3504" t="s">
        <v>3550</v>
      </c>
      <c r="N2" s="3504" t="s">
        <v>3515</v>
      </c>
      <c r="O2" s="3504" t="s">
        <v>3510</v>
      </c>
    </row>
    <row r="3" spans="11:15">
      <c r="K3" s="3793"/>
      <c r="L3" s="3505">
        <v>59.49</v>
      </c>
      <c r="M3" s="3505">
        <v>123551</v>
      </c>
      <c r="N3" s="3505" t="s">
        <v>3551</v>
      </c>
      <c r="O3" s="3505" t="s">
        <v>3553</v>
      </c>
    </row>
    <row r="4" spans="11:15">
      <c r="K4" s="3793"/>
      <c r="L4" s="3505">
        <v>59.09</v>
      </c>
      <c r="M4" s="3505">
        <v>124556</v>
      </c>
      <c r="N4" s="3505" t="s">
        <v>3552</v>
      </c>
      <c r="O4" s="3505" t="s">
        <v>3519</v>
      </c>
    </row>
    <row r="5" spans="11:15">
      <c r="K5" s="3793"/>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6" t="s">
        <v>1662</v>
      </c>
      <c r="D4" s="3827"/>
      <c r="E4" s="3828" t="s">
        <v>1663</v>
      </c>
      <c r="F4" s="3829"/>
      <c r="G4" s="3826" t="s">
        <v>1664</v>
      </c>
      <c r="H4" s="3827"/>
      <c r="I4" s="3826" t="s">
        <v>1665</v>
      </c>
      <c r="J4" s="3827"/>
      <c r="K4" s="1889" t="s">
        <v>1666</v>
      </c>
      <c r="L4" s="2712"/>
      <c r="M4" s="2713"/>
      <c r="N4" s="2713"/>
      <c r="O4" s="2713"/>
      <c r="P4" s="3830" t="s">
        <v>1667</v>
      </c>
      <c r="Q4" s="3831"/>
      <c r="R4" s="3836" t="s">
        <v>1663</v>
      </c>
      <c r="S4" s="3837"/>
      <c r="T4" s="3836" t="s">
        <v>1664</v>
      </c>
      <c r="U4" s="3837"/>
      <c r="V4" s="3821" t="s">
        <v>1665</v>
      </c>
      <c r="W4" s="3821"/>
      <c r="X4" s="3449"/>
      <c r="Y4" s="3836" t="s">
        <v>1667</v>
      </c>
      <c r="Z4" s="3837"/>
      <c r="AA4" s="3823" t="s">
        <v>1663</v>
      </c>
      <c r="AB4" s="3823" t="s">
        <v>1664</v>
      </c>
      <c r="AC4" s="3823" t="s">
        <v>1665</v>
      </c>
    </row>
    <row r="5" spans="1:29" ht="15.75" thickBot="1">
      <c r="A5" s="358"/>
      <c r="B5" s="359"/>
      <c r="C5" s="3849" t="s">
        <v>3500</v>
      </c>
      <c r="D5" s="3845"/>
      <c r="E5" s="3856" t="str">
        <f>C5</f>
        <v>双榆树西里</v>
      </c>
      <c r="F5" s="3855"/>
      <c r="G5" s="3844" t="str">
        <f>C5</f>
        <v>双榆树西里</v>
      </c>
      <c r="H5" s="3845"/>
      <c r="I5" s="3844" t="str">
        <f>C5</f>
        <v>双榆树西里</v>
      </c>
      <c r="J5" s="3845"/>
      <c r="K5" s="1890"/>
      <c r="L5" s="2712"/>
      <c r="M5" s="2713"/>
      <c r="N5" s="2713"/>
      <c r="O5" s="2713"/>
      <c r="P5" s="3832"/>
      <c r="Q5" s="3833"/>
      <c r="R5" s="3838"/>
      <c r="S5" s="3839"/>
      <c r="T5" s="3838"/>
      <c r="U5" s="3839"/>
      <c r="V5" s="3821"/>
      <c r="W5" s="3821"/>
      <c r="X5" s="3449"/>
      <c r="Y5" s="3838"/>
      <c r="Z5" s="3839"/>
      <c r="AA5" s="3824"/>
      <c r="AB5" s="3824"/>
      <c r="AC5" s="3824"/>
    </row>
    <row r="6" spans="1:29" ht="15.75" hidden="1" thickBot="1">
      <c r="A6" s="360"/>
      <c r="B6" s="361"/>
      <c r="C6" s="3857" t="s">
        <v>1672</v>
      </c>
      <c r="D6" s="3843"/>
      <c r="E6" s="3858" t="s">
        <v>1672</v>
      </c>
      <c r="F6" s="3853"/>
      <c r="G6" s="3857" t="s">
        <v>1672</v>
      </c>
      <c r="H6" s="3843"/>
      <c r="I6" s="3857" t="s">
        <v>1672</v>
      </c>
      <c r="J6" s="3843"/>
      <c r="K6" s="1890" t="s">
        <v>1673</v>
      </c>
      <c r="L6" s="2712"/>
      <c r="M6" s="2713"/>
      <c r="N6" s="2713"/>
      <c r="O6" s="2713"/>
      <c r="P6" s="3834"/>
      <c r="Q6" s="3835"/>
      <c r="R6" s="3838"/>
      <c r="S6" s="3839"/>
      <c r="T6" s="3840"/>
      <c r="U6" s="3841"/>
      <c r="V6" s="3821"/>
      <c r="W6" s="3821"/>
      <c r="X6" s="3449"/>
      <c r="Y6" s="3840"/>
      <c r="Z6" s="3841"/>
      <c r="AA6" s="3825"/>
      <c r="AB6" s="3825"/>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2" t="s">
        <v>1681</v>
      </c>
      <c r="Q9" s="3446" t="str">
        <f t="shared" ref="Q9:Q15" si="6">B9</f>
        <v>用途</v>
      </c>
      <c r="R9" s="701" t="s">
        <v>14</v>
      </c>
      <c r="S9" s="702">
        <f t="shared" si="0"/>
        <v>100</v>
      </c>
      <c r="T9" s="701" t="s">
        <v>14</v>
      </c>
      <c r="U9" s="702">
        <f t="shared" si="1"/>
        <v>100</v>
      </c>
      <c r="V9" s="701" t="s">
        <v>14</v>
      </c>
      <c r="W9" s="702">
        <f t="shared" si="2"/>
        <v>100</v>
      </c>
      <c r="X9" s="703"/>
      <c r="Y9" s="366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2"/>
      <c r="Q10" s="3446" t="str">
        <f t="shared" si="6"/>
        <v>土地使用年限（年）</v>
      </c>
      <c r="R10" s="701" t="s">
        <v>14</v>
      </c>
      <c r="S10" s="702">
        <f t="shared" si="0"/>
        <v>100</v>
      </c>
      <c r="T10" s="701" t="s">
        <v>14</v>
      </c>
      <c r="U10" s="702">
        <f t="shared" si="1"/>
        <v>100</v>
      </c>
      <c r="V10" s="701" t="s">
        <v>14</v>
      </c>
      <c r="W10" s="702">
        <f t="shared" si="2"/>
        <v>100</v>
      </c>
      <c r="X10" s="703"/>
      <c r="Y10" s="3668"/>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2"/>
      <c r="Q11" s="3446" t="str">
        <f t="shared" si="6"/>
        <v>容积率</v>
      </c>
      <c r="R11" s="701" t="s">
        <v>14</v>
      </c>
      <c r="S11" s="702">
        <f t="shared" si="0"/>
        <v>100</v>
      </c>
      <c r="T11" s="701" t="s">
        <v>14</v>
      </c>
      <c r="U11" s="702">
        <f t="shared" si="1"/>
        <v>100</v>
      </c>
      <c r="V11" s="701" t="s">
        <v>14</v>
      </c>
      <c r="W11" s="702">
        <f t="shared" si="2"/>
        <v>100</v>
      </c>
      <c r="X11" s="703"/>
      <c r="Y11" s="3668"/>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2"/>
      <c r="Q12" s="3446">
        <f t="shared" si="6"/>
        <v>111</v>
      </c>
      <c r="R12" s="701" t="s">
        <v>14</v>
      </c>
      <c r="S12" s="702">
        <f t="shared" si="0"/>
        <v>100</v>
      </c>
      <c r="T12" s="701" t="s">
        <v>14</v>
      </c>
      <c r="U12" s="702">
        <f t="shared" si="1"/>
        <v>100</v>
      </c>
      <c r="V12" s="701" t="s">
        <v>14</v>
      </c>
      <c r="W12" s="702">
        <f t="shared" si="2"/>
        <v>100</v>
      </c>
      <c r="X12" s="703"/>
      <c r="Y12" s="3668"/>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2"/>
      <c r="Q13" s="3446">
        <f t="shared" si="6"/>
        <v>111</v>
      </c>
      <c r="R13" s="701" t="s">
        <v>14</v>
      </c>
      <c r="S13" s="702">
        <f t="shared" si="0"/>
        <v>100</v>
      </c>
      <c r="T13" s="701" t="s">
        <v>14</v>
      </c>
      <c r="U13" s="702">
        <f t="shared" si="1"/>
        <v>100</v>
      </c>
      <c r="V13" s="701" t="s">
        <v>14</v>
      </c>
      <c r="W13" s="702">
        <f t="shared" si="2"/>
        <v>100</v>
      </c>
      <c r="X13" s="703"/>
      <c r="Y13" s="366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2"/>
      <c r="Q14" s="3446">
        <f t="shared" si="6"/>
        <v>111</v>
      </c>
      <c r="R14" s="701" t="s">
        <v>14</v>
      </c>
      <c r="S14" s="702">
        <f t="shared" si="0"/>
        <v>100</v>
      </c>
      <c r="T14" s="701" t="s">
        <v>14</v>
      </c>
      <c r="U14" s="702">
        <f t="shared" si="1"/>
        <v>100</v>
      </c>
      <c r="V14" s="701" t="s">
        <v>14</v>
      </c>
      <c r="W14" s="702">
        <f t="shared" si="2"/>
        <v>100</v>
      </c>
      <c r="X14" s="703"/>
      <c r="Y14" s="366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2" t="s">
        <v>1686</v>
      </c>
      <c r="Q15" s="3447" t="str">
        <f t="shared" si="6"/>
        <v>居住社区成熟度</v>
      </c>
      <c r="R15" s="705" t="s">
        <v>14</v>
      </c>
      <c r="S15" s="706">
        <f t="shared" si="0"/>
        <v>100</v>
      </c>
      <c r="T15" s="705" t="s">
        <v>14</v>
      </c>
      <c r="U15" s="706">
        <f t="shared" si="1"/>
        <v>100</v>
      </c>
      <c r="V15" s="705" t="s">
        <v>14</v>
      </c>
      <c r="W15" s="706">
        <f t="shared" si="2"/>
        <v>100</v>
      </c>
      <c r="X15" s="3449"/>
      <c r="Y15" s="3814"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3"/>
      <c r="Q16" s="3447"/>
      <c r="R16" s="705"/>
      <c r="S16" s="706"/>
      <c r="T16" s="705"/>
      <c r="U16" s="706"/>
      <c r="V16" s="705"/>
      <c r="W16" s="706"/>
      <c r="X16" s="3449"/>
      <c r="Y16" s="3815"/>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3"/>
      <c r="Q17" s="3447" t="str">
        <f>B17</f>
        <v>交通便捷度</v>
      </c>
      <c r="R17" s="705" t="s">
        <v>14</v>
      </c>
      <c r="S17" s="706">
        <f>F17</f>
        <v>100</v>
      </c>
      <c r="T17" s="705" t="s">
        <v>14</v>
      </c>
      <c r="U17" s="706">
        <f>H17</f>
        <v>100</v>
      </c>
      <c r="V17" s="705" t="s">
        <v>14</v>
      </c>
      <c r="W17" s="706">
        <f>J17</f>
        <v>100</v>
      </c>
      <c r="X17" s="3449"/>
      <c r="Y17" s="3815"/>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3"/>
      <c r="Q18" s="3447"/>
      <c r="R18" s="705"/>
      <c r="S18" s="706"/>
      <c r="T18" s="705"/>
      <c r="U18" s="706"/>
      <c r="V18" s="705"/>
      <c r="W18" s="706"/>
      <c r="X18" s="3449"/>
      <c r="Y18" s="3815"/>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3"/>
      <c r="Q19" s="3447" t="str">
        <f>B19</f>
        <v>公共配套设施</v>
      </c>
      <c r="R19" s="705" t="s">
        <v>14</v>
      </c>
      <c r="S19" s="706">
        <f>F19</f>
        <v>100</v>
      </c>
      <c r="T19" s="705" t="s">
        <v>14</v>
      </c>
      <c r="U19" s="706">
        <f>H19</f>
        <v>100</v>
      </c>
      <c r="V19" s="705" t="s">
        <v>14</v>
      </c>
      <c r="W19" s="706">
        <f>J19</f>
        <v>100</v>
      </c>
      <c r="X19" s="3449"/>
      <c r="Y19" s="3815"/>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3"/>
      <c r="Q20" s="3447"/>
      <c r="R20" s="705"/>
      <c r="S20" s="706"/>
      <c r="T20" s="705"/>
      <c r="U20" s="706"/>
      <c r="V20" s="705"/>
      <c r="W20" s="706"/>
      <c r="X20" s="3449"/>
      <c r="Y20" s="3815"/>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3"/>
      <c r="Q21" s="3447" t="str">
        <f>B21</f>
        <v>基础设施水平</v>
      </c>
      <c r="R21" s="705" t="s">
        <v>14</v>
      </c>
      <c r="S21" s="706">
        <f>F21</f>
        <v>100</v>
      </c>
      <c r="T21" s="705" t="s">
        <v>14</v>
      </c>
      <c r="U21" s="706">
        <f>H21</f>
        <v>100</v>
      </c>
      <c r="V21" s="705" t="s">
        <v>14</v>
      </c>
      <c r="W21" s="706">
        <f>J21</f>
        <v>100</v>
      </c>
      <c r="X21" s="3449"/>
      <c r="Y21" s="3815"/>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3"/>
      <c r="Q22" s="3447"/>
      <c r="R22" s="705"/>
      <c r="S22" s="706"/>
      <c r="T22" s="705"/>
      <c r="U22" s="706"/>
      <c r="V22" s="705"/>
      <c r="W22" s="706"/>
      <c r="X22" s="3449"/>
      <c r="Y22" s="3815"/>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3"/>
      <c r="Q23" s="3447" t="str">
        <f>B23</f>
        <v>自然及人文环境</v>
      </c>
      <c r="R23" s="705" t="s">
        <v>14</v>
      </c>
      <c r="S23" s="706">
        <f>F23</f>
        <v>100</v>
      </c>
      <c r="T23" s="705" t="s">
        <v>14</v>
      </c>
      <c r="U23" s="706">
        <f>H23</f>
        <v>100</v>
      </c>
      <c r="V23" s="705" t="s">
        <v>14</v>
      </c>
      <c r="W23" s="706">
        <f>J23</f>
        <v>100</v>
      </c>
      <c r="X23" s="3449"/>
      <c r="Y23" s="3815"/>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3"/>
      <c r="Q24" s="3447"/>
      <c r="R24" s="705"/>
      <c r="S24" s="706"/>
      <c r="T24" s="705"/>
      <c r="U24" s="706"/>
      <c r="V24" s="705"/>
      <c r="W24" s="706"/>
      <c r="X24" s="3449"/>
      <c r="Y24" s="3815"/>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3"/>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5"/>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13"/>
      <c r="Q26" s="3447" t="str">
        <f t="shared" si="11"/>
        <v>朝向</v>
      </c>
      <c r="R26" s="705" t="s">
        <v>14</v>
      </c>
      <c r="S26" s="706">
        <f t="shared" si="12"/>
        <v>100</v>
      </c>
      <c r="T26" s="705" t="s">
        <v>14</v>
      </c>
      <c r="U26" s="706">
        <f t="shared" si="13"/>
        <v>100</v>
      </c>
      <c r="V26" s="705" t="s">
        <v>14</v>
      </c>
      <c r="W26" s="706">
        <f t="shared" si="14"/>
        <v>100</v>
      </c>
      <c r="X26" s="3449"/>
      <c r="Y26" s="3815"/>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13"/>
      <c r="Q27" s="3446" t="str">
        <f t="shared" si="11"/>
        <v>楼层</v>
      </c>
      <c r="R27" s="701" t="s">
        <v>14</v>
      </c>
      <c r="S27" s="702">
        <f t="shared" si="12"/>
        <v>96</v>
      </c>
      <c r="T27" s="701" t="s">
        <v>14</v>
      </c>
      <c r="U27" s="702">
        <f t="shared" si="13"/>
        <v>98</v>
      </c>
      <c r="V27" s="701" t="s">
        <v>14</v>
      </c>
      <c r="W27" s="702">
        <f t="shared" si="14"/>
        <v>98</v>
      </c>
      <c r="X27" s="703"/>
      <c r="Y27" s="3815"/>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3"/>
      <c r="Q28" s="3447">
        <f t="shared" si="11"/>
        <v>111</v>
      </c>
      <c r="R28" s="705" t="s">
        <v>14</v>
      </c>
      <c r="S28" s="706">
        <f t="shared" si="12"/>
        <v>100</v>
      </c>
      <c r="T28" s="705" t="s">
        <v>14</v>
      </c>
      <c r="U28" s="706">
        <f t="shared" si="13"/>
        <v>100</v>
      </c>
      <c r="V28" s="705" t="s">
        <v>14</v>
      </c>
      <c r="W28" s="706">
        <f t="shared" si="14"/>
        <v>100</v>
      </c>
      <c r="X28" s="3449"/>
      <c r="Y28" s="3815"/>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3"/>
      <c r="Q29" s="3447">
        <f t="shared" si="11"/>
        <v>111</v>
      </c>
      <c r="R29" s="705" t="s">
        <v>14</v>
      </c>
      <c r="S29" s="706">
        <f t="shared" si="12"/>
        <v>100</v>
      </c>
      <c r="T29" s="705" t="s">
        <v>14</v>
      </c>
      <c r="U29" s="706">
        <f t="shared" si="13"/>
        <v>100</v>
      </c>
      <c r="V29" s="705" t="s">
        <v>14</v>
      </c>
      <c r="W29" s="706">
        <f t="shared" si="14"/>
        <v>100</v>
      </c>
      <c r="X29" s="3449"/>
      <c r="Y29" s="3815"/>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3"/>
      <c r="Q30" s="3447">
        <f t="shared" si="11"/>
        <v>111</v>
      </c>
      <c r="R30" s="705" t="s">
        <v>14</v>
      </c>
      <c r="S30" s="706">
        <f t="shared" si="12"/>
        <v>100</v>
      </c>
      <c r="T30" s="705" t="s">
        <v>14</v>
      </c>
      <c r="U30" s="706">
        <f t="shared" si="13"/>
        <v>100</v>
      </c>
      <c r="V30" s="705" t="s">
        <v>14</v>
      </c>
      <c r="W30" s="706">
        <f t="shared" si="14"/>
        <v>100</v>
      </c>
      <c r="X30" s="3449"/>
      <c r="Y30" s="3815"/>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3"/>
      <c r="Q31" s="3447">
        <f t="shared" si="11"/>
        <v>111</v>
      </c>
      <c r="R31" s="705" t="s">
        <v>14</v>
      </c>
      <c r="S31" s="706">
        <f t="shared" si="12"/>
        <v>100</v>
      </c>
      <c r="T31" s="705" t="s">
        <v>14</v>
      </c>
      <c r="U31" s="706">
        <f t="shared" si="13"/>
        <v>100</v>
      </c>
      <c r="V31" s="705" t="s">
        <v>14</v>
      </c>
      <c r="W31" s="706">
        <f t="shared" si="14"/>
        <v>100</v>
      </c>
      <c r="X31" s="3449"/>
      <c r="Y31" s="3815"/>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6" t="s">
        <v>1691</v>
      </c>
      <c r="Q32" s="3447" t="str">
        <f t="shared" si="11"/>
        <v>建筑类型</v>
      </c>
      <c r="R32" s="705" t="s">
        <v>14</v>
      </c>
      <c r="S32" s="706">
        <f t="shared" si="12"/>
        <v>100</v>
      </c>
      <c r="T32" s="705" t="s">
        <v>14</v>
      </c>
      <c r="U32" s="706">
        <f t="shared" si="13"/>
        <v>100</v>
      </c>
      <c r="V32" s="705" t="s">
        <v>14</v>
      </c>
      <c r="W32" s="706">
        <f t="shared" si="14"/>
        <v>100</v>
      </c>
      <c r="X32" s="3449"/>
      <c r="Y32" s="3819"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17"/>
      <c r="Q33" s="707" t="str">
        <f t="shared" si="11"/>
        <v>项目建筑规模</v>
      </c>
      <c r="R33" s="708" t="s">
        <v>14</v>
      </c>
      <c r="S33" s="709" t="e">
        <f t="shared" si="12"/>
        <v>#REF!</v>
      </c>
      <c r="T33" s="708" t="s">
        <v>14</v>
      </c>
      <c r="U33" s="709" t="e">
        <f t="shared" si="13"/>
        <v>#REF!</v>
      </c>
      <c r="V33" s="708" t="s">
        <v>14</v>
      </c>
      <c r="W33" s="709" t="e">
        <f t="shared" si="14"/>
        <v>#REF!</v>
      </c>
      <c r="X33" s="710"/>
      <c r="Y33" s="3819"/>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7"/>
      <c r="Q34" s="3447" t="str">
        <f t="shared" si="11"/>
        <v>建筑结构</v>
      </c>
      <c r="R34" s="705" t="s">
        <v>14</v>
      </c>
      <c r="S34" s="706">
        <f t="shared" si="12"/>
        <v>100</v>
      </c>
      <c r="T34" s="705" t="s">
        <v>14</v>
      </c>
      <c r="U34" s="706">
        <f t="shared" si="13"/>
        <v>100</v>
      </c>
      <c r="V34" s="705" t="s">
        <v>14</v>
      </c>
      <c r="W34" s="706">
        <f t="shared" si="14"/>
        <v>100</v>
      </c>
      <c r="X34" s="3449"/>
      <c r="Y34" s="3819"/>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7"/>
      <c r="Q35" s="3447" t="str">
        <f t="shared" si="11"/>
        <v>建筑品质</v>
      </c>
      <c r="R35" s="705" t="s">
        <v>14</v>
      </c>
      <c r="S35" s="706">
        <f t="shared" si="12"/>
        <v>100</v>
      </c>
      <c r="T35" s="705" t="s">
        <v>14</v>
      </c>
      <c r="U35" s="706">
        <f t="shared" si="13"/>
        <v>100</v>
      </c>
      <c r="V35" s="705" t="s">
        <v>14</v>
      </c>
      <c r="W35" s="706">
        <f t="shared" si="14"/>
        <v>100</v>
      </c>
      <c r="X35" s="3449"/>
      <c r="Y35" s="3819"/>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7"/>
      <c r="Q36" s="3447" t="str">
        <f t="shared" si="11"/>
        <v>公共部分装修</v>
      </c>
      <c r="R36" s="705" t="s">
        <v>14</v>
      </c>
      <c r="S36" s="706">
        <f t="shared" si="12"/>
        <v>100</v>
      </c>
      <c r="T36" s="705" t="s">
        <v>14</v>
      </c>
      <c r="U36" s="706">
        <f t="shared" si="13"/>
        <v>100</v>
      </c>
      <c r="V36" s="705" t="s">
        <v>14</v>
      </c>
      <c r="W36" s="706">
        <f t="shared" si="14"/>
        <v>100</v>
      </c>
      <c r="X36" s="3449"/>
      <c r="Y36" s="3819"/>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7"/>
      <c r="Q37" s="3446" t="str">
        <f t="shared" si="11"/>
        <v>成新度</v>
      </c>
      <c r="R37" s="701" t="s">
        <v>14</v>
      </c>
      <c r="S37" s="702">
        <f t="shared" si="12"/>
        <v>100</v>
      </c>
      <c r="T37" s="701" t="s">
        <v>14</v>
      </c>
      <c r="U37" s="702">
        <f t="shared" si="13"/>
        <v>100</v>
      </c>
      <c r="V37" s="701" t="s">
        <v>14</v>
      </c>
      <c r="W37" s="702">
        <f t="shared" si="14"/>
        <v>100</v>
      </c>
      <c r="X37" s="703"/>
      <c r="Y37" s="3819"/>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7" t="s">
        <v>1691</v>
      </c>
      <c r="Q38" s="3447" t="str">
        <f t="shared" si="11"/>
        <v>物业管理</v>
      </c>
      <c r="R38" s="705" t="s">
        <v>14</v>
      </c>
      <c r="S38" s="706">
        <f t="shared" si="12"/>
        <v>100</v>
      </c>
      <c r="T38" s="705" t="s">
        <v>14</v>
      </c>
      <c r="U38" s="706">
        <f t="shared" si="13"/>
        <v>100</v>
      </c>
      <c r="V38" s="705" t="s">
        <v>14</v>
      </c>
      <c r="W38" s="706">
        <f t="shared" si="14"/>
        <v>100</v>
      </c>
      <c r="X38" s="3449"/>
      <c r="Y38" s="3819"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7"/>
      <c r="Q39" s="3447" t="str">
        <f t="shared" si="11"/>
        <v>市政基础设施</v>
      </c>
      <c r="R39" s="705" t="s">
        <v>14</v>
      </c>
      <c r="S39" s="706">
        <f t="shared" si="12"/>
        <v>100</v>
      </c>
      <c r="T39" s="705" t="s">
        <v>14</v>
      </c>
      <c r="U39" s="706">
        <f t="shared" si="13"/>
        <v>100</v>
      </c>
      <c r="V39" s="705" t="s">
        <v>14</v>
      </c>
      <c r="W39" s="706">
        <f t="shared" si="14"/>
        <v>100</v>
      </c>
      <c r="X39" s="3449"/>
      <c r="Y39" s="3819"/>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7"/>
      <c r="Q40" s="3447" t="str">
        <f t="shared" si="11"/>
        <v>房型</v>
      </c>
      <c r="R40" s="705" t="s">
        <v>14</v>
      </c>
      <c r="S40" s="706">
        <f t="shared" si="12"/>
        <v>100</v>
      </c>
      <c r="T40" s="705" t="s">
        <v>14</v>
      </c>
      <c r="U40" s="706">
        <f t="shared" si="13"/>
        <v>100</v>
      </c>
      <c r="V40" s="705" t="s">
        <v>14</v>
      </c>
      <c r="W40" s="706">
        <f t="shared" si="14"/>
        <v>100</v>
      </c>
      <c r="X40" s="3449"/>
      <c r="Y40" s="3819"/>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7"/>
      <c r="Q41" s="707" t="str">
        <f t="shared" si="11"/>
        <v>单套/主力户型建筑面积</v>
      </c>
      <c r="R41" s="708" t="s">
        <v>14</v>
      </c>
      <c r="S41" s="709">
        <f t="shared" si="12"/>
        <v>100</v>
      </c>
      <c r="T41" s="708" t="s">
        <v>14</v>
      </c>
      <c r="U41" s="709">
        <f t="shared" si="13"/>
        <v>100</v>
      </c>
      <c r="V41" s="708" t="s">
        <v>14</v>
      </c>
      <c r="W41" s="709">
        <f t="shared" si="14"/>
        <v>100</v>
      </c>
      <c r="X41" s="710"/>
      <c r="Y41" s="3819"/>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17"/>
      <c r="Q42" s="3447" t="str">
        <f t="shared" si="11"/>
        <v>内部装修</v>
      </c>
      <c r="R42" s="705" t="s">
        <v>14</v>
      </c>
      <c r="S42" s="706">
        <f t="shared" si="12"/>
        <v>100</v>
      </c>
      <c r="T42" s="705" t="s">
        <v>14</v>
      </c>
      <c r="U42" s="706">
        <f t="shared" si="13"/>
        <v>100</v>
      </c>
      <c r="V42" s="705" t="s">
        <v>14</v>
      </c>
      <c r="W42" s="706">
        <f t="shared" si="14"/>
        <v>100</v>
      </c>
      <c r="X42" s="3449"/>
      <c r="Y42" s="3819"/>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7"/>
      <c r="Q43" s="3447" t="str">
        <f t="shared" si="11"/>
        <v>内部装修维护情况</v>
      </c>
      <c r="R43" s="705" t="s">
        <v>14</v>
      </c>
      <c r="S43" s="706">
        <f t="shared" si="12"/>
        <v>100</v>
      </c>
      <c r="T43" s="705" t="s">
        <v>14</v>
      </c>
      <c r="U43" s="706">
        <f t="shared" si="13"/>
        <v>100</v>
      </c>
      <c r="V43" s="705" t="s">
        <v>14</v>
      </c>
      <c r="W43" s="706">
        <f t="shared" si="14"/>
        <v>100</v>
      </c>
      <c r="X43" s="3449"/>
      <c r="Y43" s="3819"/>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17"/>
      <c r="Q44" s="3446" t="str">
        <f t="shared" si="11"/>
        <v>室内设备设施</v>
      </c>
      <c r="R44" s="701" t="s">
        <v>14</v>
      </c>
      <c r="S44" s="702">
        <f t="shared" si="12"/>
        <v>90</v>
      </c>
      <c r="T44" s="701" t="s">
        <v>14</v>
      </c>
      <c r="U44" s="702">
        <f t="shared" si="13"/>
        <v>90</v>
      </c>
      <c r="V44" s="701" t="s">
        <v>14</v>
      </c>
      <c r="W44" s="702">
        <f t="shared" si="14"/>
        <v>90</v>
      </c>
      <c r="X44" s="703"/>
      <c r="Y44" s="3819"/>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7"/>
      <c r="Q45" s="3447">
        <f t="shared" si="11"/>
        <v>111</v>
      </c>
      <c r="R45" s="705" t="s">
        <v>14</v>
      </c>
      <c r="S45" s="706">
        <f t="shared" si="12"/>
        <v>100</v>
      </c>
      <c r="T45" s="705" t="s">
        <v>14</v>
      </c>
      <c r="U45" s="706">
        <f t="shared" si="13"/>
        <v>100</v>
      </c>
      <c r="V45" s="705" t="s">
        <v>14</v>
      </c>
      <c r="W45" s="706">
        <f t="shared" si="14"/>
        <v>100</v>
      </c>
      <c r="X45" s="3449"/>
      <c r="Y45" s="3819"/>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8"/>
      <c r="Q46" s="3447">
        <f t="shared" si="11"/>
        <v>111</v>
      </c>
      <c r="R46" s="705" t="s">
        <v>14</v>
      </c>
      <c r="S46" s="706">
        <f t="shared" si="12"/>
        <v>100</v>
      </c>
      <c r="T46" s="705" t="s">
        <v>14</v>
      </c>
      <c r="U46" s="706">
        <f t="shared" si="13"/>
        <v>100</v>
      </c>
      <c r="V46" s="705" t="s">
        <v>14</v>
      </c>
      <c r="W46" s="706">
        <f t="shared" si="14"/>
        <v>100</v>
      </c>
      <c r="X46" s="3449"/>
      <c r="Y46" s="3820"/>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07" t="str">
        <f>A47</f>
        <v>成交单价（元/平方米）</v>
      </c>
      <c r="Q47" s="3807"/>
      <c r="R47" s="3808" t="e">
        <f>E47</f>
        <v>#REF!</v>
      </c>
      <c r="S47" s="3808"/>
      <c r="T47" s="3808" t="e">
        <f>G47</f>
        <v>#REF!</v>
      </c>
      <c r="U47" s="3808"/>
      <c r="V47" s="3808" t="e">
        <f>I47</f>
        <v>#REF!</v>
      </c>
      <c r="W47" s="3808"/>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07" t="str">
        <f>A48</f>
        <v>比较价值（元/平方米）</v>
      </c>
      <c r="Q48" s="3807"/>
      <c r="R48" s="3808" t="e">
        <f>IF(F1="售价",ROUND(PRODUCT(R47,AA7:AA46),2),ROUND(PRODUCT(R47,AA7:AA46),2))</f>
        <v>#REF!</v>
      </c>
      <c r="S48" s="3808"/>
      <c r="T48" s="3808" t="e">
        <f>IF(F1="售价",ROUND(PRODUCT(T47,AB7:AB46),2),ROUND(PRODUCT(T47,AB7:AB46),2))</f>
        <v>#REF!</v>
      </c>
      <c r="U48" s="3808"/>
      <c r="V48" s="3808" t="e">
        <f>IF(F1="售价",ROUND(PRODUCT(V47,AC7:AC46),2),ROUND(PRODUCT(V47,AC7:AC46),1))</f>
        <v>#REF!</v>
      </c>
      <c r="W48" s="3808"/>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09" t="str">
        <f>A49</f>
        <v>估价对象住宅用房的比较价值（月租金单价，元/平方米/月）</v>
      </c>
      <c r="Q49" s="3810"/>
      <c r="R49" s="3811" t="e">
        <f>IF(F1="售价",ROUND(IF(D48="简单平均",AVERAGE(R48:V48),R48*F48+T48*H48+V48*J48),2),ROUND(IF(D48="简单平均",AVERAGE(R48:V48),R48*F48+T48*H48+V48*J48),1))</f>
        <v>#REF!</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65" t="s">
        <v>1767</v>
      </c>
      <c r="Q4" s="3866"/>
      <c r="R4" s="3869" t="s">
        <v>1763</v>
      </c>
      <c r="S4" s="3870"/>
      <c r="T4" s="3869" t="s">
        <v>1764</v>
      </c>
      <c r="U4" s="3870"/>
      <c r="V4" s="3871" t="s">
        <v>1765</v>
      </c>
      <c r="W4" s="3871"/>
      <c r="X4" s="1956"/>
      <c r="Y4" s="3869" t="s">
        <v>1767</v>
      </c>
      <c r="Z4" s="3870"/>
      <c r="AA4" s="3873" t="s">
        <v>1763</v>
      </c>
      <c r="AB4" s="3873" t="s">
        <v>1764</v>
      </c>
      <c r="AC4" s="3862" t="s">
        <v>1765</v>
      </c>
    </row>
    <row r="5" spans="1:29" ht="15">
      <c r="A5" s="358"/>
      <c r="B5" s="359"/>
      <c r="C5" s="3844" t="s">
        <v>1668</v>
      </c>
      <c r="D5" s="3845"/>
      <c r="E5" s="3856" t="s">
        <v>1669</v>
      </c>
      <c r="F5" s="3855"/>
      <c r="G5" s="3844" t="s">
        <v>1670</v>
      </c>
      <c r="H5" s="3845"/>
      <c r="I5" s="3844" t="s">
        <v>1671</v>
      </c>
      <c r="J5" s="3845"/>
      <c r="K5" s="559"/>
      <c r="L5" s="2712"/>
      <c r="M5" s="2713"/>
      <c r="N5" s="2713"/>
      <c r="O5" s="2713"/>
      <c r="P5" s="3867"/>
      <c r="Q5" s="3833"/>
      <c r="R5" s="3838"/>
      <c r="S5" s="3839"/>
      <c r="T5" s="3838"/>
      <c r="U5" s="3839"/>
      <c r="V5" s="3821"/>
      <c r="W5" s="3821"/>
      <c r="X5" s="1355"/>
      <c r="Y5" s="3838"/>
      <c r="Z5" s="3839"/>
      <c r="AA5" s="3824"/>
      <c r="AB5" s="3824"/>
      <c r="AC5" s="3863"/>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68"/>
      <c r="Q6" s="3835"/>
      <c r="R6" s="3838"/>
      <c r="S6" s="3839"/>
      <c r="T6" s="3840"/>
      <c r="U6" s="3841"/>
      <c r="V6" s="3821"/>
      <c r="W6" s="3821"/>
      <c r="X6" s="1355"/>
      <c r="Y6" s="3840"/>
      <c r="Z6" s="3841"/>
      <c r="AA6" s="3825"/>
      <c r="AB6" s="3825"/>
      <c r="AC6" s="3864"/>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2"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2" t="s">
        <v>1678</v>
      </c>
      <c r="Q8" s="3847"/>
      <c r="R8" s="701" t="s">
        <v>14</v>
      </c>
      <c r="S8" s="702">
        <f t="shared" si="0"/>
        <v>100</v>
      </c>
      <c r="T8" s="701" t="s">
        <v>14</v>
      </c>
      <c r="U8" s="702">
        <f t="shared" si="1"/>
        <v>100</v>
      </c>
      <c r="V8" s="701" t="s">
        <v>14</v>
      </c>
      <c r="W8" s="702">
        <f t="shared" si="2"/>
        <v>100</v>
      </c>
      <c r="X8" s="703"/>
      <c r="Y8" s="3846" t="s">
        <v>1678</v>
      </c>
      <c r="Z8" s="3847"/>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2"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2"/>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2"/>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2"/>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2"/>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2"/>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2" t="s">
        <v>1686</v>
      </c>
      <c r="Q15" s="1352" t="str">
        <f t="shared" si="6"/>
        <v>办公集聚程度</v>
      </c>
      <c r="R15" s="705" t="s">
        <v>14</v>
      </c>
      <c r="S15" s="706">
        <f t="shared" si="0"/>
        <v>100</v>
      </c>
      <c r="T15" s="705" t="s">
        <v>14</v>
      </c>
      <c r="U15" s="706">
        <f t="shared" si="1"/>
        <v>100</v>
      </c>
      <c r="V15" s="705" t="s">
        <v>14</v>
      </c>
      <c r="W15" s="706">
        <f t="shared" si="2"/>
        <v>100</v>
      </c>
      <c r="X15" s="1355"/>
      <c r="Y15" s="381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13"/>
      <c r="Q16" s="1352"/>
      <c r="R16" s="705"/>
      <c r="S16" s="706"/>
      <c r="T16" s="705"/>
      <c r="U16" s="706"/>
      <c r="V16" s="705"/>
      <c r="W16" s="706"/>
      <c r="X16" s="1355"/>
      <c r="Y16" s="381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3"/>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13"/>
      <c r="Q18" s="1352"/>
      <c r="R18" s="705"/>
      <c r="S18" s="706"/>
      <c r="T18" s="705"/>
      <c r="U18" s="706"/>
      <c r="V18" s="705"/>
      <c r="W18" s="706"/>
      <c r="X18" s="1355"/>
      <c r="Y18" s="381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13"/>
      <c r="Q20" s="1352"/>
      <c r="R20" s="705"/>
      <c r="S20" s="706"/>
      <c r="T20" s="705"/>
      <c r="U20" s="706"/>
      <c r="V20" s="705"/>
      <c r="W20" s="706"/>
      <c r="X20" s="1355"/>
      <c r="Y20" s="381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13"/>
      <c r="Q22" s="1352"/>
      <c r="R22" s="705"/>
      <c r="S22" s="706"/>
      <c r="T22" s="705"/>
      <c r="U22" s="706"/>
      <c r="V22" s="705"/>
      <c r="W22" s="706"/>
      <c r="X22" s="1355"/>
      <c r="Y22" s="381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3"/>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13"/>
      <c r="Q24" s="1352"/>
      <c r="R24" s="705"/>
      <c r="S24" s="706"/>
      <c r="T24" s="705"/>
      <c r="U24" s="706"/>
      <c r="V24" s="705"/>
      <c r="W24" s="706"/>
      <c r="X24" s="1355"/>
      <c r="Y24" s="381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3"/>
      <c r="Q25" s="1352" t="str">
        <f>B25</f>
        <v>毗邻道路的类型与等级</v>
      </c>
      <c r="R25" s="705" t="s">
        <v>14</v>
      </c>
      <c r="S25" s="706">
        <f>F25</f>
        <v>100</v>
      </c>
      <c r="T25" s="705" t="s">
        <v>14</v>
      </c>
      <c r="U25" s="706">
        <f>H25</f>
        <v>100</v>
      </c>
      <c r="V25" s="705" t="s">
        <v>14</v>
      </c>
      <c r="W25" s="706">
        <f>J25</f>
        <v>100</v>
      </c>
      <c r="X25" s="1355"/>
      <c r="Y25" s="381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13"/>
      <c r="Q26" s="1352"/>
      <c r="R26" s="705"/>
      <c r="S26" s="706"/>
      <c r="T26" s="705"/>
      <c r="U26" s="706"/>
      <c r="V26" s="705"/>
      <c r="W26" s="706"/>
      <c r="X26" s="1355"/>
      <c r="Y26" s="381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3"/>
      <c r="Q27" s="1352" t="str">
        <f t="shared" ref="Q27:Q47" si="11">B27</f>
        <v>楼层</v>
      </c>
      <c r="R27" s="705" t="s">
        <v>14</v>
      </c>
      <c r="S27" s="706">
        <f>F27</f>
        <v>100</v>
      </c>
      <c r="T27" s="705" t="s">
        <v>14</v>
      </c>
      <c r="U27" s="706">
        <f>H27</f>
        <v>100</v>
      </c>
      <c r="V27" s="705" t="s">
        <v>14</v>
      </c>
      <c r="W27" s="706">
        <f>J27</f>
        <v>100</v>
      </c>
      <c r="X27" s="1355"/>
      <c r="Y27" s="381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13"/>
      <c r="Q28" s="1343" t="str">
        <f t="shared" si="11"/>
        <v>朝向</v>
      </c>
      <c r="R28" s="701" t="s">
        <v>14</v>
      </c>
      <c r="S28" s="702">
        <f>F28</f>
        <v>100</v>
      </c>
      <c r="T28" s="701" t="s">
        <v>14</v>
      </c>
      <c r="U28" s="702">
        <f>H28</f>
        <v>100</v>
      </c>
      <c r="V28" s="701" t="s">
        <v>14</v>
      </c>
      <c r="W28" s="702">
        <f>J28</f>
        <v>100</v>
      </c>
      <c r="X28" s="703"/>
      <c r="Y28" s="381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13"/>
      <c r="Q29" s="1352">
        <f t="shared" si="11"/>
        <v>111</v>
      </c>
      <c r="R29" s="705" t="s">
        <v>14</v>
      </c>
      <c r="S29" s="706">
        <f t="shared" ref="S29:S47" si="12">F29</f>
        <v>100</v>
      </c>
      <c r="T29" s="705" t="s">
        <v>14</v>
      </c>
      <c r="U29" s="706">
        <f t="shared" ref="U29:U47" si="13">H29</f>
        <v>100</v>
      </c>
      <c r="V29" s="705" t="s">
        <v>14</v>
      </c>
      <c r="W29" s="706">
        <f t="shared" ref="W29:W47" si="14">J29</f>
        <v>100</v>
      </c>
      <c r="X29" s="1355"/>
      <c r="Y29" s="381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13"/>
      <c r="Q32" s="1352">
        <f t="shared" si="11"/>
        <v>111</v>
      </c>
      <c r="R32" s="705" t="s">
        <v>14</v>
      </c>
      <c r="S32" s="706">
        <f t="shared" si="12"/>
        <v>100</v>
      </c>
      <c r="T32" s="705" t="s">
        <v>14</v>
      </c>
      <c r="U32" s="706">
        <f t="shared" si="13"/>
        <v>100</v>
      </c>
      <c r="V32" s="705" t="s">
        <v>14</v>
      </c>
      <c r="W32" s="706">
        <f t="shared" si="14"/>
        <v>100</v>
      </c>
      <c r="X32" s="1355"/>
      <c r="Y32" s="381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16" t="s">
        <v>1691</v>
      </c>
      <c r="Q33" s="1352" t="str">
        <f t="shared" si="11"/>
        <v>建筑类型</v>
      </c>
      <c r="R33" s="705" t="s">
        <v>14</v>
      </c>
      <c r="S33" s="706">
        <f t="shared" si="12"/>
        <v>100</v>
      </c>
      <c r="T33" s="705" t="s">
        <v>14</v>
      </c>
      <c r="U33" s="706">
        <f t="shared" si="13"/>
        <v>100</v>
      </c>
      <c r="V33" s="705" t="s">
        <v>14</v>
      </c>
      <c r="W33" s="706">
        <f t="shared" si="14"/>
        <v>100</v>
      </c>
      <c r="X33" s="1355"/>
      <c r="Y33" s="381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7"/>
      <c r="Q34" s="707" t="str">
        <f t="shared" si="11"/>
        <v>项目建筑规模</v>
      </c>
      <c r="R34" s="708" t="s">
        <v>14</v>
      </c>
      <c r="S34" s="709" t="e">
        <f t="shared" si="12"/>
        <v>#N/A</v>
      </c>
      <c r="T34" s="708" t="s">
        <v>14</v>
      </c>
      <c r="U34" s="709" t="e">
        <f t="shared" si="13"/>
        <v>#N/A</v>
      </c>
      <c r="V34" s="708" t="s">
        <v>14</v>
      </c>
      <c r="W34" s="709" t="e">
        <f t="shared" si="14"/>
        <v>#N/A</v>
      </c>
      <c r="X34" s="710"/>
      <c r="Y34" s="381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7"/>
      <c r="Q35" s="1352" t="str">
        <f t="shared" si="11"/>
        <v>建筑结构</v>
      </c>
      <c r="R35" s="705" t="s">
        <v>14</v>
      </c>
      <c r="S35" s="706">
        <f t="shared" si="12"/>
        <v>100</v>
      </c>
      <c r="T35" s="705" t="s">
        <v>14</v>
      </c>
      <c r="U35" s="706">
        <f t="shared" si="13"/>
        <v>100</v>
      </c>
      <c r="V35" s="705" t="s">
        <v>14</v>
      </c>
      <c r="W35" s="706">
        <f t="shared" si="14"/>
        <v>100</v>
      </c>
      <c r="X35" s="1355"/>
      <c r="Y35" s="381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7"/>
      <c r="Q36" s="1352" t="str">
        <f t="shared" si="11"/>
        <v>公共部分装修</v>
      </c>
      <c r="R36" s="705" t="s">
        <v>14</v>
      </c>
      <c r="S36" s="706">
        <f t="shared" si="12"/>
        <v>100</v>
      </c>
      <c r="T36" s="705" t="s">
        <v>14</v>
      </c>
      <c r="U36" s="706">
        <f t="shared" si="13"/>
        <v>100</v>
      </c>
      <c r="V36" s="705" t="s">
        <v>14</v>
      </c>
      <c r="W36" s="706">
        <f t="shared" si="14"/>
        <v>100</v>
      </c>
      <c r="X36" s="1355"/>
      <c r="Y36" s="381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7"/>
      <c r="Q37" s="1352" t="str">
        <f t="shared" si="11"/>
        <v>成新度</v>
      </c>
      <c r="R37" s="705" t="s">
        <v>14</v>
      </c>
      <c r="S37" s="706" t="e">
        <f t="shared" si="12"/>
        <v>#N/A</v>
      </c>
      <c r="T37" s="705" t="s">
        <v>14</v>
      </c>
      <c r="U37" s="706" t="e">
        <f t="shared" si="13"/>
        <v>#N/A</v>
      </c>
      <c r="V37" s="705" t="s">
        <v>14</v>
      </c>
      <c r="W37" s="706" t="e">
        <f t="shared" si="14"/>
        <v>#N/A</v>
      </c>
      <c r="X37" s="1355"/>
      <c r="Y37" s="381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7"/>
      <c r="Q38" s="1343" t="str">
        <f t="shared" si="11"/>
        <v>写字楼等级</v>
      </c>
      <c r="R38" s="701" t="s">
        <v>14</v>
      </c>
      <c r="S38" s="702">
        <f t="shared" si="12"/>
        <v>100</v>
      </c>
      <c r="T38" s="701" t="s">
        <v>14</v>
      </c>
      <c r="U38" s="702">
        <f t="shared" si="13"/>
        <v>100</v>
      </c>
      <c r="V38" s="701" t="s">
        <v>14</v>
      </c>
      <c r="W38" s="702">
        <f t="shared" si="14"/>
        <v>100</v>
      </c>
      <c r="X38" s="703"/>
      <c r="Y38" s="381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7" t="s">
        <v>1691</v>
      </c>
      <c r="Q39" s="1352" t="str">
        <f t="shared" si="11"/>
        <v>物业管理</v>
      </c>
      <c r="R39" s="705" t="s">
        <v>14</v>
      </c>
      <c r="S39" s="706">
        <f t="shared" si="12"/>
        <v>100</v>
      </c>
      <c r="T39" s="705" t="s">
        <v>14</v>
      </c>
      <c r="U39" s="706">
        <f t="shared" si="13"/>
        <v>100</v>
      </c>
      <c r="V39" s="705" t="s">
        <v>14</v>
      </c>
      <c r="W39" s="706">
        <f t="shared" si="14"/>
        <v>100</v>
      </c>
      <c r="X39" s="1355"/>
      <c r="Y39" s="381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7"/>
      <c r="Q40" s="1352" t="str">
        <f t="shared" si="11"/>
        <v>市政基础设施</v>
      </c>
      <c r="R40" s="705" t="s">
        <v>14</v>
      </c>
      <c r="S40" s="706">
        <f t="shared" si="12"/>
        <v>100</v>
      </c>
      <c r="T40" s="705" t="s">
        <v>14</v>
      </c>
      <c r="U40" s="706">
        <f t="shared" si="13"/>
        <v>100</v>
      </c>
      <c r="V40" s="705" t="s">
        <v>14</v>
      </c>
      <c r="W40" s="706">
        <f t="shared" si="14"/>
        <v>100</v>
      </c>
      <c r="X40" s="1355"/>
      <c r="Y40" s="381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7"/>
      <c r="Q41" s="1352" t="str">
        <f t="shared" si="11"/>
        <v>层高</v>
      </c>
      <c r="R41" s="705" t="s">
        <v>14</v>
      </c>
      <c r="S41" s="706">
        <f t="shared" si="12"/>
        <v>100</v>
      </c>
      <c r="T41" s="705" t="s">
        <v>14</v>
      </c>
      <c r="U41" s="706">
        <f t="shared" si="13"/>
        <v>100</v>
      </c>
      <c r="V41" s="705" t="s">
        <v>14</v>
      </c>
      <c r="W41" s="706">
        <f t="shared" si="14"/>
        <v>100</v>
      </c>
      <c r="X41" s="1355"/>
      <c r="Y41" s="381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7"/>
      <c r="Q42" s="707" t="str">
        <f t="shared" si="11"/>
        <v>单套建筑面积</v>
      </c>
      <c r="R42" s="708" t="s">
        <v>14</v>
      </c>
      <c r="S42" s="709">
        <f t="shared" si="12"/>
        <v>100</v>
      </c>
      <c r="T42" s="708" t="s">
        <v>14</v>
      </c>
      <c r="U42" s="709">
        <f t="shared" si="13"/>
        <v>100</v>
      </c>
      <c r="V42" s="708" t="s">
        <v>14</v>
      </c>
      <c r="W42" s="709">
        <f t="shared" si="14"/>
        <v>100</v>
      </c>
      <c r="X42" s="710"/>
      <c r="Y42" s="381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7"/>
      <c r="Q43" s="1352" t="str">
        <f t="shared" si="11"/>
        <v>内部装修</v>
      </c>
      <c r="R43" s="705" t="s">
        <v>14</v>
      </c>
      <c r="S43" s="706">
        <f t="shared" si="12"/>
        <v>100</v>
      </c>
      <c r="T43" s="705" t="s">
        <v>14</v>
      </c>
      <c r="U43" s="706">
        <f t="shared" si="13"/>
        <v>100</v>
      </c>
      <c r="V43" s="705" t="s">
        <v>14</v>
      </c>
      <c r="W43" s="706">
        <f t="shared" si="14"/>
        <v>100</v>
      </c>
      <c r="X43" s="1355"/>
      <c r="Y43" s="381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7"/>
      <c r="Q44" s="1352" t="str">
        <f t="shared" si="11"/>
        <v>内部装修维护情况</v>
      </c>
      <c r="R44" s="705" t="s">
        <v>14</v>
      </c>
      <c r="S44" s="706">
        <f t="shared" si="12"/>
        <v>100</v>
      </c>
      <c r="T44" s="705" t="s">
        <v>14</v>
      </c>
      <c r="U44" s="706">
        <f t="shared" si="13"/>
        <v>100</v>
      </c>
      <c r="V44" s="705" t="s">
        <v>14</v>
      </c>
      <c r="W44" s="706">
        <f t="shared" si="14"/>
        <v>100</v>
      </c>
      <c r="X44" s="1355"/>
      <c r="Y44" s="381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7"/>
      <c r="Q45" s="1343">
        <f t="shared" si="11"/>
        <v>111</v>
      </c>
      <c r="R45" s="701" t="s">
        <v>14</v>
      </c>
      <c r="S45" s="702">
        <f t="shared" si="12"/>
        <v>100</v>
      </c>
      <c r="T45" s="701" t="s">
        <v>14</v>
      </c>
      <c r="U45" s="702">
        <f t="shared" si="13"/>
        <v>100</v>
      </c>
      <c r="V45" s="701" t="s">
        <v>14</v>
      </c>
      <c r="W45" s="702">
        <f t="shared" si="14"/>
        <v>100</v>
      </c>
      <c r="X45" s="703"/>
      <c r="Y45" s="381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7"/>
      <c r="Q46" s="1352">
        <f t="shared" si="11"/>
        <v>111</v>
      </c>
      <c r="R46" s="705" t="s">
        <v>14</v>
      </c>
      <c r="S46" s="706">
        <f t="shared" si="12"/>
        <v>100</v>
      </c>
      <c r="T46" s="705" t="s">
        <v>14</v>
      </c>
      <c r="U46" s="706">
        <f t="shared" si="13"/>
        <v>100</v>
      </c>
      <c r="V46" s="705" t="s">
        <v>14</v>
      </c>
      <c r="W46" s="706">
        <f t="shared" si="14"/>
        <v>100</v>
      </c>
      <c r="X46" s="1355"/>
      <c r="Y46" s="381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8"/>
      <c r="Q47" s="1352">
        <f t="shared" si="11"/>
        <v>111</v>
      </c>
      <c r="R47" s="705" t="s">
        <v>14</v>
      </c>
      <c r="S47" s="706">
        <f t="shared" si="12"/>
        <v>100</v>
      </c>
      <c r="T47" s="705" t="s">
        <v>14</v>
      </c>
      <c r="U47" s="706">
        <f t="shared" si="13"/>
        <v>100</v>
      </c>
      <c r="V47" s="705" t="s">
        <v>14</v>
      </c>
      <c r="W47" s="706">
        <f t="shared" si="14"/>
        <v>100</v>
      </c>
      <c r="X47" s="1355"/>
      <c r="Y47" s="382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2" t="str">
        <f>A48</f>
        <v>成交单价（元/平方米）</v>
      </c>
      <c r="Q48" s="3807"/>
      <c r="R48" s="3808">
        <f>E48</f>
        <v>0</v>
      </c>
      <c r="S48" s="3808"/>
      <c r="T48" s="3808">
        <f>G48</f>
        <v>0</v>
      </c>
      <c r="U48" s="3808"/>
      <c r="V48" s="3808">
        <f>I48</f>
        <v>0</v>
      </c>
      <c r="W48" s="380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2"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59" t="str">
        <f>A50</f>
        <v>估价对象XX用房的比较价值（楼面单价，元/平方米）</v>
      </c>
      <c r="Q50" s="3860"/>
      <c r="R50" s="3861" t="e">
        <f>IF(F1="售价",ROUND(IF(D49="简单平均",AVERAGE(R49:V49),R49*F49+T49*H49+V49*J49),0),ROUND(IF(D49="简单平均",AVERAGE(R49:V49),R49*F49+T49*H49+V49*J49),1))</f>
        <v>#DIV/0!</v>
      </c>
      <c r="S50" s="3861"/>
      <c r="T50" s="3861"/>
      <c r="U50" s="3861"/>
      <c r="V50" s="3861"/>
      <c r="W50" s="386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913"/>
      <c r="M4" s="914"/>
      <c r="N4" s="914"/>
      <c r="O4" s="914"/>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913"/>
      <c r="M5" s="914"/>
      <c r="N5" s="914"/>
      <c r="O5" s="914"/>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913"/>
      <c r="M6" s="914"/>
      <c r="N6" s="914"/>
      <c r="O6" s="914"/>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46"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6" t="s">
        <v>1678</v>
      </c>
      <c r="Q8" s="3847"/>
      <c r="R8" s="701" t="s">
        <v>14</v>
      </c>
      <c r="S8" s="702">
        <f t="shared" si="0"/>
        <v>100</v>
      </c>
      <c r="T8" s="701" t="s">
        <v>14</v>
      </c>
      <c r="U8" s="702">
        <f t="shared" si="1"/>
        <v>100</v>
      </c>
      <c r="V8" s="701" t="s">
        <v>14</v>
      </c>
      <c r="W8" s="702">
        <f t="shared" si="2"/>
        <v>100</v>
      </c>
      <c r="X8" s="703"/>
      <c r="Y8" s="3846" t="s">
        <v>1678</v>
      </c>
      <c r="Z8" s="384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7"/>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4" t="s">
        <v>1686</v>
      </c>
      <c r="Q15" s="1352" t="str">
        <f t="shared" si="6"/>
        <v>产业集聚程度</v>
      </c>
      <c r="R15" s="705" t="s">
        <v>14</v>
      </c>
      <c r="S15" s="706">
        <f t="shared" si="0"/>
        <v>100</v>
      </c>
      <c r="T15" s="705" t="s">
        <v>14</v>
      </c>
      <c r="U15" s="706">
        <f t="shared" si="1"/>
        <v>100</v>
      </c>
      <c r="V15" s="705" t="s">
        <v>14</v>
      </c>
      <c r="W15" s="706">
        <f t="shared" si="2"/>
        <v>100</v>
      </c>
      <c r="X15" s="1355"/>
      <c r="Y15" s="381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5"/>
      <c r="Q16" s="1352"/>
      <c r="R16" s="705"/>
      <c r="S16" s="706"/>
      <c r="T16" s="705"/>
      <c r="U16" s="706"/>
      <c r="V16" s="705"/>
      <c r="W16" s="706"/>
      <c r="X16" s="1355"/>
      <c r="Y16" s="381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5"/>
      <c r="Q18" s="1352"/>
      <c r="R18" s="705"/>
      <c r="S18" s="706"/>
      <c r="T18" s="705"/>
      <c r="U18" s="706"/>
      <c r="V18" s="705"/>
      <c r="W18" s="706"/>
      <c r="X18" s="1355"/>
      <c r="Y18" s="381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5"/>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5"/>
      <c r="Q20" s="1352"/>
      <c r="R20" s="705"/>
      <c r="S20" s="706"/>
      <c r="T20" s="705"/>
      <c r="U20" s="706"/>
      <c r="V20" s="705"/>
      <c r="W20" s="706"/>
      <c r="X20" s="1355"/>
      <c r="Y20" s="381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5"/>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5"/>
      <c r="Q22" s="1352"/>
      <c r="R22" s="705"/>
      <c r="S22" s="706"/>
      <c r="T22" s="705"/>
      <c r="U22" s="706"/>
      <c r="V22" s="705"/>
      <c r="W22" s="706"/>
      <c r="X22" s="1355"/>
      <c r="Y22" s="381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5"/>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5"/>
      <c r="Q24" s="1352"/>
      <c r="R24" s="705"/>
      <c r="S24" s="706"/>
      <c r="T24" s="705"/>
      <c r="U24" s="706"/>
      <c r="V24" s="705"/>
      <c r="W24" s="706"/>
      <c r="X24" s="1355"/>
      <c r="Y24" s="38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5"/>
      <c r="Q25" s="1352">
        <f>B25</f>
        <v>111</v>
      </c>
      <c r="R25" s="705" t="s">
        <v>14</v>
      </c>
      <c r="S25" s="706">
        <f>F25</f>
        <v>100</v>
      </c>
      <c r="T25" s="705" t="s">
        <v>14</v>
      </c>
      <c r="U25" s="706">
        <f>H25</f>
        <v>100</v>
      </c>
      <c r="V25" s="705" t="s">
        <v>14</v>
      </c>
      <c r="W25" s="706">
        <f>J25</f>
        <v>100</v>
      </c>
      <c r="X25" s="1355"/>
      <c r="Y25" s="38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5"/>
      <c r="Q26" s="1352">
        <f t="shared" ref="Q26:Q40" si="11">B26</f>
        <v>111</v>
      </c>
      <c r="R26" s="705" t="s">
        <v>14</v>
      </c>
      <c r="S26" s="706">
        <f>F26</f>
        <v>100</v>
      </c>
      <c r="T26" s="705" t="s">
        <v>14</v>
      </c>
      <c r="U26" s="706">
        <f>H26</f>
        <v>100</v>
      </c>
      <c r="V26" s="705" t="s">
        <v>14</v>
      </c>
      <c r="W26" s="706">
        <f>J26</f>
        <v>100</v>
      </c>
      <c r="X26" s="1355"/>
      <c r="Y26" s="38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5"/>
      <c r="Q27" s="1343">
        <f t="shared" si="11"/>
        <v>111</v>
      </c>
      <c r="R27" s="701" t="s">
        <v>14</v>
      </c>
      <c r="S27" s="702">
        <f>F27</f>
        <v>100</v>
      </c>
      <c r="T27" s="701" t="s">
        <v>14</v>
      </c>
      <c r="U27" s="702">
        <f>H27</f>
        <v>100</v>
      </c>
      <c r="V27" s="701" t="s">
        <v>14</v>
      </c>
      <c r="W27" s="702">
        <f>J27</f>
        <v>100</v>
      </c>
      <c r="X27" s="703"/>
      <c r="Y27" s="38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5"/>
      <c r="Q28" s="1352">
        <f t="shared" si="11"/>
        <v>111</v>
      </c>
      <c r="R28" s="705" t="s">
        <v>14</v>
      </c>
      <c r="S28" s="706">
        <f t="shared" ref="S28:S40" si="12">F28</f>
        <v>100</v>
      </c>
      <c r="T28" s="705" t="s">
        <v>14</v>
      </c>
      <c r="U28" s="706">
        <f t="shared" ref="U28:U40" si="13">H28</f>
        <v>100</v>
      </c>
      <c r="V28" s="705" t="s">
        <v>14</v>
      </c>
      <c r="W28" s="706">
        <f t="shared" ref="W28:W40" si="14">J28</f>
        <v>100</v>
      </c>
      <c r="X28" s="1355"/>
      <c r="Y28" s="381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4" t="s">
        <v>1691</v>
      </c>
      <c r="Q29" s="1352" t="str">
        <f t="shared" si="11"/>
        <v>建筑类型</v>
      </c>
      <c r="R29" s="705" t="s">
        <v>14</v>
      </c>
      <c r="S29" s="706">
        <f t="shared" si="12"/>
        <v>100</v>
      </c>
      <c r="T29" s="705" t="s">
        <v>14</v>
      </c>
      <c r="U29" s="706">
        <f t="shared" si="13"/>
        <v>100</v>
      </c>
      <c r="V29" s="705" t="s">
        <v>14</v>
      </c>
      <c r="W29" s="706">
        <f t="shared" si="14"/>
        <v>100</v>
      </c>
      <c r="X29" s="1355"/>
      <c r="Y29" s="381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9"/>
      <c r="Q30" s="707" t="str">
        <f t="shared" si="11"/>
        <v>项目建筑规模</v>
      </c>
      <c r="R30" s="708" t="s">
        <v>14</v>
      </c>
      <c r="S30" s="709" t="e">
        <f t="shared" si="12"/>
        <v>#N/A</v>
      </c>
      <c r="T30" s="708" t="s">
        <v>14</v>
      </c>
      <c r="U30" s="709" t="e">
        <f t="shared" si="13"/>
        <v>#N/A</v>
      </c>
      <c r="V30" s="708" t="s">
        <v>14</v>
      </c>
      <c r="W30" s="709" t="e">
        <f t="shared" si="14"/>
        <v>#N/A</v>
      </c>
      <c r="X30" s="710"/>
      <c r="Y30" s="381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9"/>
      <c r="Q31" s="1352" t="str">
        <f t="shared" si="11"/>
        <v>建筑结构</v>
      </c>
      <c r="R31" s="705" t="s">
        <v>14</v>
      </c>
      <c r="S31" s="706">
        <f t="shared" si="12"/>
        <v>100</v>
      </c>
      <c r="T31" s="705" t="s">
        <v>14</v>
      </c>
      <c r="U31" s="706">
        <f t="shared" si="13"/>
        <v>100</v>
      </c>
      <c r="V31" s="705" t="s">
        <v>14</v>
      </c>
      <c r="W31" s="706">
        <f t="shared" si="14"/>
        <v>100</v>
      </c>
      <c r="X31" s="1355"/>
      <c r="Y31" s="381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9"/>
      <c r="Q32" s="1352" t="str">
        <f t="shared" si="11"/>
        <v>公共部分装修</v>
      </c>
      <c r="R32" s="705" t="s">
        <v>14</v>
      </c>
      <c r="S32" s="706">
        <f t="shared" si="12"/>
        <v>100</v>
      </c>
      <c r="T32" s="705" t="s">
        <v>14</v>
      </c>
      <c r="U32" s="706">
        <f t="shared" si="13"/>
        <v>100</v>
      </c>
      <c r="V32" s="705" t="s">
        <v>14</v>
      </c>
      <c r="W32" s="706">
        <f t="shared" si="14"/>
        <v>100</v>
      </c>
      <c r="X32" s="1355"/>
      <c r="Y32" s="381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9"/>
      <c r="Q33" s="1352" t="str">
        <f t="shared" si="11"/>
        <v>成新度</v>
      </c>
      <c r="R33" s="705" t="s">
        <v>14</v>
      </c>
      <c r="S33" s="706" t="e">
        <f t="shared" si="12"/>
        <v>#N/A</v>
      </c>
      <c r="T33" s="705" t="s">
        <v>14</v>
      </c>
      <c r="U33" s="706" t="e">
        <f t="shared" si="13"/>
        <v>#N/A</v>
      </c>
      <c r="V33" s="705" t="s">
        <v>14</v>
      </c>
      <c r="W33" s="706" t="e">
        <f t="shared" si="14"/>
        <v>#N/A</v>
      </c>
      <c r="X33" s="1355"/>
      <c r="Y33" s="381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9"/>
      <c r="Q34" s="1343" t="str">
        <f t="shared" si="11"/>
        <v>物业管理</v>
      </c>
      <c r="R34" s="701" t="s">
        <v>14</v>
      </c>
      <c r="S34" s="702">
        <f t="shared" si="12"/>
        <v>100</v>
      </c>
      <c r="T34" s="701" t="s">
        <v>14</v>
      </c>
      <c r="U34" s="702">
        <f t="shared" si="13"/>
        <v>100</v>
      </c>
      <c r="V34" s="701" t="s">
        <v>14</v>
      </c>
      <c r="W34" s="702">
        <f t="shared" si="14"/>
        <v>100</v>
      </c>
      <c r="X34" s="703"/>
      <c r="Y34" s="381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9" t="s">
        <v>1691</v>
      </c>
      <c r="Q35" s="1352" t="str">
        <f t="shared" si="11"/>
        <v>市政基础设施</v>
      </c>
      <c r="R35" s="705" t="s">
        <v>14</v>
      </c>
      <c r="S35" s="706">
        <f t="shared" si="12"/>
        <v>100</v>
      </c>
      <c r="T35" s="705" t="s">
        <v>14</v>
      </c>
      <c r="U35" s="706">
        <f t="shared" si="13"/>
        <v>100</v>
      </c>
      <c r="V35" s="705" t="s">
        <v>14</v>
      </c>
      <c r="W35" s="706">
        <f t="shared" si="14"/>
        <v>100</v>
      </c>
      <c r="X35" s="1355"/>
      <c r="Y35" s="381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9"/>
      <c r="Q36" s="1352" t="str">
        <f t="shared" si="11"/>
        <v>内部装修</v>
      </c>
      <c r="R36" s="705" t="s">
        <v>14</v>
      </c>
      <c r="S36" s="706">
        <f t="shared" si="12"/>
        <v>100</v>
      </c>
      <c r="T36" s="705" t="s">
        <v>14</v>
      </c>
      <c r="U36" s="706">
        <f t="shared" si="13"/>
        <v>100</v>
      </c>
      <c r="V36" s="705" t="s">
        <v>14</v>
      </c>
      <c r="W36" s="706">
        <f t="shared" si="14"/>
        <v>100</v>
      </c>
      <c r="X36" s="1355"/>
      <c r="Y36" s="381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9"/>
      <c r="Q37" s="1352" t="str">
        <f t="shared" si="11"/>
        <v>内部装修状况</v>
      </c>
      <c r="R37" s="705" t="s">
        <v>14</v>
      </c>
      <c r="S37" s="706">
        <f t="shared" si="12"/>
        <v>100</v>
      </c>
      <c r="T37" s="705" t="s">
        <v>14</v>
      </c>
      <c r="U37" s="706">
        <f t="shared" si="13"/>
        <v>100</v>
      </c>
      <c r="V37" s="705" t="s">
        <v>14</v>
      </c>
      <c r="W37" s="706">
        <f t="shared" si="14"/>
        <v>100</v>
      </c>
      <c r="X37" s="1355"/>
      <c r="Y37" s="38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9"/>
      <c r="Q38" s="707">
        <f t="shared" si="11"/>
        <v>111</v>
      </c>
      <c r="R38" s="708" t="s">
        <v>14</v>
      </c>
      <c r="S38" s="709">
        <f t="shared" si="12"/>
        <v>100</v>
      </c>
      <c r="T38" s="708" t="s">
        <v>14</v>
      </c>
      <c r="U38" s="709">
        <f t="shared" si="13"/>
        <v>100</v>
      </c>
      <c r="V38" s="708" t="s">
        <v>14</v>
      </c>
      <c r="W38" s="709">
        <f t="shared" si="14"/>
        <v>100</v>
      </c>
      <c r="X38" s="710"/>
      <c r="Y38" s="38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9"/>
      <c r="Q39" s="1352">
        <f t="shared" si="11"/>
        <v>111</v>
      </c>
      <c r="R39" s="705" t="s">
        <v>14</v>
      </c>
      <c r="S39" s="706">
        <f t="shared" si="12"/>
        <v>100</v>
      </c>
      <c r="T39" s="705" t="s">
        <v>14</v>
      </c>
      <c r="U39" s="706">
        <f t="shared" si="13"/>
        <v>100</v>
      </c>
      <c r="V39" s="705" t="s">
        <v>14</v>
      </c>
      <c r="W39" s="706">
        <f t="shared" si="14"/>
        <v>100</v>
      </c>
      <c r="X39" s="1355"/>
      <c r="Y39" s="38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0"/>
      <c r="Q40" s="1352">
        <f t="shared" si="11"/>
        <v>111</v>
      </c>
      <c r="R40" s="705" t="s">
        <v>14</v>
      </c>
      <c r="S40" s="706">
        <f t="shared" si="12"/>
        <v>100</v>
      </c>
      <c r="T40" s="705" t="s">
        <v>14</v>
      </c>
      <c r="U40" s="706">
        <f t="shared" si="13"/>
        <v>100</v>
      </c>
      <c r="V40" s="705" t="s">
        <v>14</v>
      </c>
      <c r="W40" s="706">
        <f t="shared" si="14"/>
        <v>100</v>
      </c>
      <c r="X40" s="1355"/>
      <c r="Y40" s="382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07" t="str">
        <f>A41</f>
        <v>成交单价（元/平方米）</v>
      </c>
      <c r="Q41" s="3807"/>
      <c r="R41" s="3808">
        <f>E41</f>
        <v>0</v>
      </c>
      <c r="S41" s="3808"/>
      <c r="T41" s="3808">
        <f>G41</f>
        <v>0</v>
      </c>
      <c r="U41" s="3808"/>
      <c r="V41" s="3808">
        <f>I41</f>
        <v>0</v>
      </c>
      <c r="W41" s="380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09" t="str">
        <f>A43</f>
        <v>估价对象XX用房的比较价值（楼面单价，元/平方米）</v>
      </c>
      <c r="Q43" s="3810"/>
      <c r="R43" s="3811" t="e">
        <f>IF(F1="售价",ROUND(IF(D42="简单平均",AVERAGE(R42:V42),R42*F42+T42*H42+V42*J42),0),ROUND(IF(D42="简单平均",AVERAGE(R42:V42),R42*F42+T42*H42+V42*J42),1))</f>
        <v>#DIV/0!</v>
      </c>
      <c r="S43" s="3811"/>
      <c r="T43" s="3811"/>
      <c r="U43" s="3811"/>
      <c r="V43" s="3811"/>
      <c r="W43" s="381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6" t="s">
        <v>1675</v>
      </c>
      <c r="Q7" s="3848"/>
      <c r="R7" s="701" t="s">
        <v>14</v>
      </c>
      <c r="S7" s="702">
        <f t="shared" ref="S7:S14" si="0">F7</f>
        <v>0</v>
      </c>
      <c r="T7" s="701" t="s">
        <v>14</v>
      </c>
      <c r="U7" s="702">
        <f t="shared" ref="U7:U14" si="1">H7</f>
        <v>0</v>
      </c>
      <c r="V7" s="701" t="s">
        <v>14</v>
      </c>
      <c r="W7" s="702">
        <f t="shared" ref="W7:W14"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7" t="s">
        <v>1681</v>
      </c>
      <c r="Q9" s="1343" t="str">
        <f t="shared" ref="Q9:Q14" si="6">B9</f>
        <v>用途</v>
      </c>
      <c r="R9" s="701" t="s">
        <v>14</v>
      </c>
      <c r="S9" s="702">
        <f t="shared" si="0"/>
        <v>100</v>
      </c>
      <c r="T9" s="701" t="s">
        <v>14</v>
      </c>
      <c r="U9" s="702">
        <f t="shared" si="1"/>
        <v>100</v>
      </c>
      <c r="V9" s="701" t="s">
        <v>14</v>
      </c>
      <c r="W9" s="702">
        <f t="shared" si="2"/>
        <v>100</v>
      </c>
      <c r="X9" s="703"/>
      <c r="Y9" s="3668"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7"/>
      <c r="Q11" s="1343">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4" t="s">
        <v>1686</v>
      </c>
      <c r="Q14" s="1352" t="str">
        <f t="shared" si="6"/>
        <v>交通便捷度</v>
      </c>
      <c r="R14" s="705" t="s">
        <v>14</v>
      </c>
      <c r="S14" s="706">
        <f t="shared" si="0"/>
        <v>100</v>
      </c>
      <c r="T14" s="705" t="s">
        <v>14</v>
      </c>
      <c r="U14" s="706">
        <f t="shared" si="1"/>
        <v>100</v>
      </c>
      <c r="V14" s="705" t="s">
        <v>14</v>
      </c>
      <c r="W14" s="706">
        <f t="shared" si="2"/>
        <v>100</v>
      </c>
      <c r="X14" s="1355"/>
      <c r="Y14" s="381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5"/>
      <c r="Q15" s="1352"/>
      <c r="R15" s="705"/>
      <c r="S15" s="706"/>
      <c r="T15" s="705"/>
      <c r="U15" s="706"/>
      <c r="V15" s="705"/>
      <c r="W15" s="706"/>
      <c r="X15" s="1355"/>
      <c r="Y15" s="381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5"/>
      <c r="Q17" s="1352"/>
      <c r="R17" s="705"/>
      <c r="S17" s="706"/>
      <c r="T17" s="705"/>
      <c r="U17" s="706"/>
      <c r="V17" s="705"/>
      <c r="W17" s="706"/>
      <c r="X17" s="1355"/>
      <c r="Y17" s="381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5"/>
      <c r="Q19" s="1352"/>
      <c r="R19" s="705"/>
      <c r="S19" s="706"/>
      <c r="T19" s="705"/>
      <c r="U19" s="706"/>
      <c r="V19" s="705"/>
      <c r="W19" s="706"/>
      <c r="X19" s="1355"/>
      <c r="Y19" s="381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5"/>
      <c r="Q21" s="1352"/>
      <c r="R21" s="705"/>
      <c r="S21" s="706"/>
      <c r="T21" s="705"/>
      <c r="U21" s="706"/>
      <c r="V21" s="705"/>
      <c r="W21" s="706"/>
      <c r="X21" s="1355"/>
      <c r="Y21" s="381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5"/>
      <c r="Q24" s="1352">
        <f t="shared" ref="Q24:Q36"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4"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9"/>
      <c r="Q27" s="707" t="str">
        <f t="shared" si="11"/>
        <v>项目停车位配比</v>
      </c>
      <c r="R27" s="708" t="s">
        <v>14</v>
      </c>
      <c r="S27" s="709">
        <f t="shared" si="12"/>
        <v>100</v>
      </c>
      <c r="T27" s="708" t="s">
        <v>14</v>
      </c>
      <c r="U27" s="709">
        <f t="shared" si="13"/>
        <v>100</v>
      </c>
      <c r="V27" s="708" t="s">
        <v>14</v>
      </c>
      <c r="W27" s="709">
        <f t="shared" si="14"/>
        <v>100</v>
      </c>
      <c r="X27" s="710"/>
      <c r="Y27" s="381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9"/>
      <c r="Q28" s="1352" t="str">
        <f t="shared" si="11"/>
        <v>公共部分装修</v>
      </c>
      <c r="R28" s="705" t="s">
        <v>14</v>
      </c>
      <c r="S28" s="706">
        <f t="shared" si="12"/>
        <v>100</v>
      </c>
      <c r="T28" s="705" t="s">
        <v>14</v>
      </c>
      <c r="U28" s="706">
        <f t="shared" si="13"/>
        <v>100</v>
      </c>
      <c r="V28" s="705" t="s">
        <v>14</v>
      </c>
      <c r="W28" s="706">
        <f t="shared" si="14"/>
        <v>100</v>
      </c>
      <c r="X28" s="1355"/>
      <c r="Y28" s="381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9"/>
      <c r="Q29" s="1352" t="str">
        <f t="shared" si="11"/>
        <v>成新率</v>
      </c>
      <c r="R29" s="705" t="s">
        <v>14</v>
      </c>
      <c r="S29" s="706" t="e">
        <f t="shared" si="12"/>
        <v>#N/A</v>
      </c>
      <c r="T29" s="705" t="s">
        <v>14</v>
      </c>
      <c r="U29" s="706" t="e">
        <f t="shared" si="13"/>
        <v>#N/A</v>
      </c>
      <c r="V29" s="705" t="s">
        <v>14</v>
      </c>
      <c r="W29" s="706" t="e">
        <f t="shared" si="14"/>
        <v>#N/A</v>
      </c>
      <c r="X29" s="1355"/>
      <c r="Y29" s="381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9"/>
      <c r="Q30" s="1352" t="str">
        <f t="shared" si="11"/>
        <v>物业等级</v>
      </c>
      <c r="R30" s="705" t="s">
        <v>14</v>
      </c>
      <c r="S30" s="706">
        <f t="shared" si="12"/>
        <v>100</v>
      </c>
      <c r="T30" s="705" t="s">
        <v>14</v>
      </c>
      <c r="U30" s="706">
        <f t="shared" si="13"/>
        <v>100</v>
      </c>
      <c r="V30" s="705" t="s">
        <v>14</v>
      </c>
      <c r="W30" s="706">
        <f t="shared" si="14"/>
        <v>100</v>
      </c>
      <c r="X30" s="1355"/>
      <c r="Y30" s="381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9"/>
      <c r="Q31" s="1343" t="str">
        <f t="shared" si="11"/>
        <v>停车位面积</v>
      </c>
      <c r="R31" s="701" t="s">
        <v>14</v>
      </c>
      <c r="S31" s="702" t="e">
        <f t="shared" si="12"/>
        <v>#N/A</v>
      </c>
      <c r="T31" s="701" t="s">
        <v>14</v>
      </c>
      <c r="U31" s="702" t="e">
        <f t="shared" si="13"/>
        <v>#N/A</v>
      </c>
      <c r="V31" s="701" t="s">
        <v>14</v>
      </c>
      <c r="W31" s="702" t="e">
        <f t="shared" si="14"/>
        <v>#N/A</v>
      </c>
      <c r="X31" s="703"/>
      <c r="Y31" s="381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9" t="s">
        <v>1691</v>
      </c>
      <c r="Q32" s="1352" t="str">
        <f t="shared" si="11"/>
        <v>车位类型</v>
      </c>
      <c r="R32" s="705" t="s">
        <v>14</v>
      </c>
      <c r="S32" s="706">
        <f t="shared" si="12"/>
        <v>100</v>
      </c>
      <c r="T32" s="705" t="s">
        <v>14</v>
      </c>
      <c r="U32" s="706">
        <f t="shared" si="13"/>
        <v>100</v>
      </c>
      <c r="V32" s="705" t="s">
        <v>14</v>
      </c>
      <c r="W32" s="706">
        <f t="shared" si="14"/>
        <v>100</v>
      </c>
      <c r="X32" s="1355"/>
      <c r="Y32" s="381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9"/>
      <c r="Q33" s="1352" t="str">
        <f t="shared" si="11"/>
        <v>是否直接入户</v>
      </c>
      <c r="R33" s="705" t="s">
        <v>14</v>
      </c>
      <c r="S33" s="706">
        <f t="shared" si="12"/>
        <v>100</v>
      </c>
      <c r="T33" s="705" t="s">
        <v>14</v>
      </c>
      <c r="U33" s="706">
        <f t="shared" si="13"/>
        <v>100</v>
      </c>
      <c r="V33" s="705" t="s">
        <v>14</v>
      </c>
      <c r="W33" s="706">
        <f t="shared" si="14"/>
        <v>100</v>
      </c>
      <c r="X33" s="1355"/>
      <c r="Y33" s="38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9"/>
      <c r="Q35" s="707">
        <f t="shared" si="11"/>
        <v>111</v>
      </c>
      <c r="R35" s="708" t="s">
        <v>14</v>
      </c>
      <c r="S35" s="709">
        <f t="shared" si="12"/>
        <v>100</v>
      </c>
      <c r="T35" s="708" t="s">
        <v>14</v>
      </c>
      <c r="U35" s="709">
        <f t="shared" si="13"/>
        <v>100</v>
      </c>
      <c r="V35" s="708" t="s">
        <v>14</v>
      </c>
      <c r="W35" s="709">
        <f t="shared" si="14"/>
        <v>100</v>
      </c>
      <c r="X35" s="710"/>
      <c r="Y35" s="38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9"/>
      <c r="Q36" s="1352">
        <f t="shared" si="11"/>
        <v>111</v>
      </c>
      <c r="R36" s="705" t="s">
        <v>14</v>
      </c>
      <c r="S36" s="706">
        <f t="shared" si="12"/>
        <v>100</v>
      </c>
      <c r="T36" s="705" t="s">
        <v>14</v>
      </c>
      <c r="U36" s="706">
        <f t="shared" si="13"/>
        <v>100</v>
      </c>
      <c r="V36" s="705" t="s">
        <v>14</v>
      </c>
      <c r="W36" s="706">
        <f t="shared" si="14"/>
        <v>100</v>
      </c>
      <c r="X36" s="1355"/>
      <c r="Y36" s="381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07" t="str">
        <f>A37</f>
        <v>成交单价</v>
      </c>
      <c r="Q37" s="3807"/>
      <c r="R37" s="3808">
        <f>E37</f>
        <v>0</v>
      </c>
      <c r="S37" s="3808"/>
      <c r="T37" s="3808">
        <f>G37</f>
        <v>0</v>
      </c>
      <c r="U37" s="3808"/>
      <c r="V37" s="3808">
        <f>I37</f>
        <v>0</v>
      </c>
      <c r="W37" s="380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09" t="str">
        <f>A39</f>
        <v>估价对象XX用房的比较价值（楼面单价，元/平方米）</v>
      </c>
      <c r="Q39" s="3810"/>
      <c r="R39" s="3875" t="e">
        <f>IF(F1="售价",ROUND(IF(D38="简单平均",AVERAGE(R38:W38),R38*F38+T38*H38+V38*J38),0),ROUND(IF(D38="简单平均",AVERAGE(R38:V38),R38*F38+T38*H38+V38*J38),1))</f>
        <v>#DIV/0!</v>
      </c>
      <c r="S39" s="3875"/>
      <c r="T39" s="3875"/>
      <c r="U39" s="3875"/>
      <c r="V39" s="3875"/>
      <c r="W39" s="387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6" t="s">
        <v>1675</v>
      </c>
      <c r="Q7" s="3848"/>
      <c r="R7" s="701" t="s">
        <v>14</v>
      </c>
      <c r="S7" s="702">
        <f t="shared" ref="S7:S14" si="0">F7</f>
        <v>0</v>
      </c>
      <c r="T7" s="701" t="s">
        <v>14</v>
      </c>
      <c r="U7" s="702">
        <f t="shared" ref="U7:U14" si="1">H7</f>
        <v>0</v>
      </c>
      <c r="V7" s="701" t="s">
        <v>14</v>
      </c>
      <c r="W7" s="702">
        <f t="shared" ref="W7:W14"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7" t="s">
        <v>1681</v>
      </c>
      <c r="Q9" s="1343" t="str">
        <f t="shared" ref="Q9:Q14" si="6">B9</f>
        <v>用途</v>
      </c>
      <c r="R9" s="701" t="s">
        <v>14</v>
      </c>
      <c r="S9" s="702">
        <f t="shared" si="0"/>
        <v>100</v>
      </c>
      <c r="T9" s="701" t="s">
        <v>14</v>
      </c>
      <c r="U9" s="702">
        <f t="shared" si="1"/>
        <v>100</v>
      </c>
      <c r="V9" s="701" t="s">
        <v>14</v>
      </c>
      <c r="W9" s="702">
        <f t="shared" si="2"/>
        <v>100</v>
      </c>
      <c r="X9" s="703"/>
      <c r="Y9" s="3668"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7"/>
      <c r="Q11" s="1343">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4" t="s">
        <v>1686</v>
      </c>
      <c r="Q14" s="1352" t="str">
        <f t="shared" si="6"/>
        <v>交通便捷度</v>
      </c>
      <c r="R14" s="705" t="s">
        <v>14</v>
      </c>
      <c r="S14" s="706">
        <f t="shared" si="0"/>
        <v>100</v>
      </c>
      <c r="T14" s="705" t="s">
        <v>14</v>
      </c>
      <c r="U14" s="706">
        <f t="shared" si="1"/>
        <v>100</v>
      </c>
      <c r="V14" s="705" t="s">
        <v>14</v>
      </c>
      <c r="W14" s="706">
        <f t="shared" si="2"/>
        <v>100</v>
      </c>
      <c r="X14" s="1355"/>
      <c r="Y14" s="381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5"/>
      <c r="Q15" s="1352"/>
      <c r="R15" s="705"/>
      <c r="S15" s="706"/>
      <c r="T15" s="705"/>
      <c r="U15" s="706"/>
      <c r="V15" s="705"/>
      <c r="W15" s="706"/>
      <c r="X15" s="1355"/>
      <c r="Y15" s="381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5"/>
      <c r="Q17" s="1352"/>
      <c r="R17" s="705"/>
      <c r="S17" s="706"/>
      <c r="T17" s="705"/>
      <c r="U17" s="706"/>
      <c r="V17" s="705"/>
      <c r="W17" s="706"/>
      <c r="X17" s="1355"/>
      <c r="Y17" s="381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5"/>
      <c r="Q19" s="1352"/>
      <c r="R19" s="705"/>
      <c r="S19" s="706"/>
      <c r="T19" s="705"/>
      <c r="U19" s="706"/>
      <c r="V19" s="705"/>
      <c r="W19" s="706"/>
      <c r="X19" s="1355"/>
      <c r="Y19" s="381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5"/>
      <c r="Q21" s="1352"/>
      <c r="R21" s="705"/>
      <c r="S21" s="706"/>
      <c r="T21" s="705"/>
      <c r="U21" s="706"/>
      <c r="V21" s="705"/>
      <c r="W21" s="706"/>
      <c r="X21" s="1355"/>
      <c r="Y21" s="381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5"/>
      <c r="Q24" s="1352">
        <f t="shared" ref="Q24:Q34"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4"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9"/>
      <c r="Q27" s="707" t="str">
        <f t="shared" si="11"/>
        <v>成新率</v>
      </c>
      <c r="R27" s="708" t="s">
        <v>14</v>
      </c>
      <c r="S27" s="709" t="e">
        <f t="shared" si="12"/>
        <v>#N/A</v>
      </c>
      <c r="T27" s="708" t="s">
        <v>14</v>
      </c>
      <c r="U27" s="709" t="e">
        <f t="shared" si="13"/>
        <v>#N/A</v>
      </c>
      <c r="V27" s="708" t="s">
        <v>14</v>
      </c>
      <c r="W27" s="709" t="e">
        <f t="shared" si="14"/>
        <v>#N/A</v>
      </c>
      <c r="X27" s="710"/>
      <c r="Y27" s="381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9"/>
      <c r="Q28" s="1352" t="str">
        <f t="shared" si="11"/>
        <v>物业等级</v>
      </c>
      <c r="R28" s="705" t="s">
        <v>14</v>
      </c>
      <c r="S28" s="706">
        <f t="shared" si="12"/>
        <v>100</v>
      </c>
      <c r="T28" s="705" t="s">
        <v>14</v>
      </c>
      <c r="U28" s="706">
        <f t="shared" si="13"/>
        <v>100</v>
      </c>
      <c r="V28" s="705" t="s">
        <v>14</v>
      </c>
      <c r="W28" s="706">
        <f t="shared" si="14"/>
        <v>100</v>
      </c>
      <c r="X28" s="1355"/>
      <c r="Y28" s="381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9"/>
      <c r="Q29" s="1352" t="str">
        <f t="shared" si="11"/>
        <v>有无电梯</v>
      </c>
      <c r="R29" s="705" t="s">
        <v>14</v>
      </c>
      <c r="S29" s="706">
        <f t="shared" si="12"/>
        <v>100</v>
      </c>
      <c r="T29" s="705" t="s">
        <v>14</v>
      </c>
      <c r="U29" s="706">
        <f t="shared" si="13"/>
        <v>100</v>
      </c>
      <c r="V29" s="705" t="s">
        <v>14</v>
      </c>
      <c r="W29" s="706">
        <f t="shared" si="14"/>
        <v>100</v>
      </c>
      <c r="X29" s="1355"/>
      <c r="Y29" s="381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9"/>
      <c r="Q30" s="1352" t="str">
        <f t="shared" si="11"/>
        <v>建筑面积</v>
      </c>
      <c r="R30" s="705" t="s">
        <v>14</v>
      </c>
      <c r="S30" s="706" t="e">
        <f t="shared" si="12"/>
        <v>#N/A</v>
      </c>
      <c r="T30" s="705" t="s">
        <v>14</v>
      </c>
      <c r="U30" s="706" t="e">
        <f t="shared" si="13"/>
        <v>#N/A</v>
      </c>
      <c r="V30" s="705" t="s">
        <v>14</v>
      </c>
      <c r="W30" s="706" t="e">
        <f t="shared" si="14"/>
        <v>#N/A</v>
      </c>
      <c r="X30" s="1355"/>
      <c r="Y30" s="381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9"/>
      <c r="Q31" s="1343" t="str">
        <f t="shared" si="11"/>
        <v>是否封闭</v>
      </c>
      <c r="R31" s="701" t="s">
        <v>14</v>
      </c>
      <c r="S31" s="702">
        <f t="shared" si="12"/>
        <v>100</v>
      </c>
      <c r="T31" s="701" t="s">
        <v>14</v>
      </c>
      <c r="U31" s="702">
        <f t="shared" si="13"/>
        <v>100</v>
      </c>
      <c r="V31" s="701" t="s">
        <v>14</v>
      </c>
      <c r="W31" s="702">
        <f t="shared" si="14"/>
        <v>100</v>
      </c>
      <c r="X31" s="703"/>
      <c r="Y31" s="38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9" t="s">
        <v>1691</v>
      </c>
      <c r="Q32" s="1352">
        <f t="shared" si="11"/>
        <v>111</v>
      </c>
      <c r="R32" s="705" t="s">
        <v>14</v>
      </c>
      <c r="S32" s="706">
        <f t="shared" si="12"/>
        <v>100</v>
      </c>
      <c r="T32" s="705" t="s">
        <v>14</v>
      </c>
      <c r="U32" s="706">
        <f t="shared" si="13"/>
        <v>100</v>
      </c>
      <c r="V32" s="705" t="s">
        <v>14</v>
      </c>
      <c r="W32" s="706">
        <f t="shared" si="14"/>
        <v>100</v>
      </c>
      <c r="X32" s="1355"/>
      <c r="Y32" s="381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9"/>
      <c r="Q33" s="1352">
        <f t="shared" si="11"/>
        <v>111</v>
      </c>
      <c r="R33" s="705" t="s">
        <v>14</v>
      </c>
      <c r="S33" s="706">
        <f t="shared" si="12"/>
        <v>100</v>
      </c>
      <c r="T33" s="705" t="s">
        <v>14</v>
      </c>
      <c r="U33" s="706">
        <f t="shared" si="13"/>
        <v>100</v>
      </c>
      <c r="V33" s="705" t="s">
        <v>14</v>
      </c>
      <c r="W33" s="706">
        <f t="shared" si="14"/>
        <v>100</v>
      </c>
      <c r="X33" s="1355"/>
      <c r="Y33" s="381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07" t="str">
        <f>A35</f>
        <v>成交单价（元/平方米）</v>
      </c>
      <c r="Q35" s="3807"/>
      <c r="R35" s="3808">
        <f>E35</f>
        <v>0</v>
      </c>
      <c r="S35" s="3808"/>
      <c r="T35" s="3808">
        <f>G35</f>
        <v>0</v>
      </c>
      <c r="U35" s="3808"/>
      <c r="V35" s="3808">
        <f>I35</f>
        <v>0</v>
      </c>
      <c r="W35" s="380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09" t="str">
        <f>A37</f>
        <v>估价对象XX用房的比较价值（楼面单价，元/平方米）</v>
      </c>
      <c r="Q37" s="3810"/>
      <c r="R37" s="3875" t="e">
        <f>IF(F1="售价",ROUND(IF(D36="简单平均",AVERAGE(R36:W36),R36*F36+T36*H36+V36*J36),0),ROUND(IF(D36="简单平均",AVERAGE(R36:V36),R36*F36+T36*H36+V36*J36),1))</f>
        <v>#DIV/0!</v>
      </c>
      <c r="S37" s="3875"/>
      <c r="T37" s="3875"/>
      <c r="U37" s="3875"/>
      <c r="V37" s="3875"/>
      <c r="W37" s="387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30"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30" ht="15">
      <c r="A5" s="358"/>
      <c r="B5" s="359"/>
      <c r="C5" s="3849" t="s">
        <v>3691</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30" ht="15.75" thickBot="1">
      <c r="A6" s="360"/>
      <c r="B6" s="361"/>
      <c r="C6" s="3857" t="str">
        <f>'租金比较法-商业'!C6:D6</f>
        <v>复兴路14号院</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07"/>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7"/>
      <c r="Q12" s="1343" t="str">
        <f t="shared" si="6"/>
        <v>配建</v>
      </c>
      <c r="R12" s="701" t="s">
        <v>14</v>
      </c>
      <c r="S12" s="702">
        <f t="shared" si="0"/>
        <v>100</v>
      </c>
      <c r="T12" s="701" t="s">
        <v>14</v>
      </c>
      <c r="U12" s="702">
        <f t="shared" si="1"/>
        <v>100</v>
      </c>
      <c r="V12" s="701" t="s">
        <v>14</v>
      </c>
      <c r="W12" s="702">
        <f t="shared" si="2"/>
        <v>100</v>
      </c>
      <c r="X12" s="703"/>
      <c r="Y12" s="3668"/>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14" t="s">
        <v>1686</v>
      </c>
      <c r="Q15" s="1352" t="str">
        <f t="shared" si="6"/>
        <v>居住社区成熟度</v>
      </c>
      <c r="R15" s="705" t="s">
        <v>14</v>
      </c>
      <c r="S15" s="706">
        <f t="shared" si="0"/>
        <v>100</v>
      </c>
      <c r="T15" s="705" t="s">
        <v>14</v>
      </c>
      <c r="U15" s="706">
        <f t="shared" si="1"/>
        <v>100</v>
      </c>
      <c r="V15" s="705" t="s">
        <v>14</v>
      </c>
      <c r="W15" s="706">
        <f t="shared" si="2"/>
        <v>100</v>
      </c>
      <c r="X15" s="1355"/>
      <c r="Y15" s="3814"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15"/>
      <c r="Q16" s="1352"/>
      <c r="R16" s="705"/>
      <c r="S16" s="706"/>
      <c r="T16" s="705"/>
      <c r="U16" s="706"/>
      <c r="V16" s="705"/>
      <c r="W16" s="706"/>
      <c r="X16" s="1355"/>
      <c r="Y16" s="381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15"/>
      <c r="Q17" s="1352" t="str">
        <f>B17</f>
        <v>商业繁华度</v>
      </c>
      <c r="R17" s="705" t="s">
        <v>14</v>
      </c>
      <c r="S17" s="706">
        <f>F17</f>
        <v>100</v>
      </c>
      <c r="T17" s="705" t="s">
        <v>14</v>
      </c>
      <c r="U17" s="706">
        <f>H17</f>
        <v>100</v>
      </c>
      <c r="V17" s="705" t="s">
        <v>14</v>
      </c>
      <c r="W17" s="706">
        <f>J17</f>
        <v>100</v>
      </c>
      <c r="X17" s="1355"/>
      <c r="Y17" s="3815"/>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15"/>
      <c r="Q18" s="1352"/>
      <c r="R18" s="705"/>
      <c r="S18" s="706"/>
      <c r="T18" s="705"/>
      <c r="U18" s="706"/>
      <c r="V18" s="705"/>
      <c r="W18" s="706"/>
      <c r="X18" s="1355"/>
      <c r="Y18" s="381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15"/>
      <c r="Q19" s="1352" t="str">
        <f>B19</f>
        <v>办公集聚程度</v>
      </c>
      <c r="R19" s="705" t="s">
        <v>14</v>
      </c>
      <c r="S19" s="706">
        <f>F19</f>
        <v>100</v>
      </c>
      <c r="T19" s="705" t="s">
        <v>14</v>
      </c>
      <c r="U19" s="706">
        <f>H19</f>
        <v>100</v>
      </c>
      <c r="V19" s="705" t="s">
        <v>14</v>
      </c>
      <c r="W19" s="706">
        <f>J19</f>
        <v>100</v>
      </c>
      <c r="X19" s="1355"/>
      <c r="Y19" s="3815"/>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15"/>
      <c r="Q20" s="1352"/>
      <c r="R20" s="705"/>
      <c r="S20" s="706"/>
      <c r="T20" s="705"/>
      <c r="U20" s="706"/>
      <c r="V20" s="705"/>
      <c r="W20" s="706"/>
      <c r="X20" s="1355"/>
      <c r="Y20" s="381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15"/>
      <c r="Q21" s="1352" t="str">
        <f>B21</f>
        <v>交通便捷度</v>
      </c>
      <c r="R21" s="705" t="s">
        <v>14</v>
      </c>
      <c r="S21" s="706">
        <f>F21</f>
        <v>100</v>
      </c>
      <c r="T21" s="705" t="s">
        <v>14</v>
      </c>
      <c r="U21" s="706">
        <f>H21</f>
        <v>100</v>
      </c>
      <c r="V21" s="705" t="s">
        <v>14</v>
      </c>
      <c r="W21" s="706">
        <f>J21</f>
        <v>100</v>
      </c>
      <c r="X21" s="1355"/>
      <c r="Y21" s="3815"/>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15"/>
      <c r="Q22" s="1352"/>
      <c r="R22" s="705"/>
      <c r="S22" s="706"/>
      <c r="T22" s="705"/>
      <c r="U22" s="706"/>
      <c r="V22" s="705"/>
      <c r="W22" s="706"/>
      <c r="X22" s="1355"/>
      <c r="Y22" s="381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15"/>
      <c r="Q23" s="1352" t="str">
        <f t="shared" ref="Q23:Q37" si="8">B23</f>
        <v>区域土地利用方向</v>
      </c>
      <c r="R23" s="705" t="s">
        <v>14</v>
      </c>
      <c r="S23" s="706">
        <f>F23</f>
        <v>100</v>
      </c>
      <c r="T23" s="705" t="s">
        <v>14</v>
      </c>
      <c r="U23" s="706">
        <f>H23</f>
        <v>100</v>
      </c>
      <c r="V23" s="705" t="s">
        <v>14</v>
      </c>
      <c r="W23" s="706">
        <f>J23</f>
        <v>100</v>
      </c>
      <c r="X23" s="1355"/>
      <c r="Y23" s="3815"/>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15"/>
      <c r="Q24" s="1352"/>
      <c r="R24" s="705"/>
      <c r="S24" s="706"/>
      <c r="T24" s="705"/>
      <c r="U24" s="706"/>
      <c r="V24" s="705"/>
      <c r="W24" s="706"/>
      <c r="X24" s="1355"/>
      <c r="Y24" s="381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15"/>
      <c r="Q25" s="1352" t="str">
        <f t="shared" si="8"/>
        <v>自然及人文环境状况</v>
      </c>
      <c r="R25" s="705" t="s">
        <v>14</v>
      </c>
      <c r="S25" s="706">
        <f>F25</f>
        <v>100</v>
      </c>
      <c r="T25" s="705" t="s">
        <v>14</v>
      </c>
      <c r="U25" s="706">
        <f>H25</f>
        <v>100</v>
      </c>
      <c r="V25" s="705" t="s">
        <v>14</v>
      </c>
      <c r="W25" s="706">
        <f>J25</f>
        <v>100</v>
      </c>
      <c r="X25" s="1355"/>
      <c r="Y25" s="3815"/>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15"/>
      <c r="Q26" s="1352"/>
      <c r="R26" s="705"/>
      <c r="S26" s="706"/>
      <c r="T26" s="705"/>
      <c r="U26" s="706"/>
      <c r="V26" s="705"/>
      <c r="W26" s="706"/>
      <c r="X26" s="1355"/>
      <c r="Y26" s="381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15"/>
      <c r="Q27" s="1343" t="str">
        <f t="shared" si="8"/>
        <v>公共配套设施</v>
      </c>
      <c r="R27" s="701" t="s">
        <v>14</v>
      </c>
      <c r="S27" s="702">
        <f>F27</f>
        <v>100</v>
      </c>
      <c r="T27" s="701" t="s">
        <v>14</v>
      </c>
      <c r="U27" s="702">
        <f>H27</f>
        <v>100</v>
      </c>
      <c r="V27" s="701" t="s">
        <v>14</v>
      </c>
      <c r="W27" s="702">
        <f>J27</f>
        <v>100</v>
      </c>
      <c r="X27" s="703"/>
      <c r="Y27" s="3815"/>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15"/>
      <c r="Q28" s="1343"/>
      <c r="R28" s="701"/>
      <c r="S28" s="702"/>
      <c r="T28" s="701"/>
      <c r="U28" s="702"/>
      <c r="V28" s="701"/>
      <c r="W28" s="702"/>
      <c r="X28" s="703"/>
      <c r="Y28" s="381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15"/>
      <c r="Q29" s="1343" t="str">
        <f t="shared" ref="Q29" si="9">B29</f>
        <v>基础设施水平</v>
      </c>
      <c r="R29" s="701" t="s">
        <v>14</v>
      </c>
      <c r="S29" s="702">
        <f>F29</f>
        <v>100</v>
      </c>
      <c r="T29" s="701" t="s">
        <v>14</v>
      </c>
      <c r="U29" s="702">
        <f>H29</f>
        <v>100</v>
      </c>
      <c r="V29" s="701" t="s">
        <v>14</v>
      </c>
      <c r="W29" s="702">
        <f>J29</f>
        <v>100</v>
      </c>
      <c r="X29" s="703"/>
      <c r="Y29" s="3815"/>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15"/>
      <c r="Q30" s="1343"/>
      <c r="R30" s="701"/>
      <c r="S30" s="702"/>
      <c r="T30" s="701"/>
      <c r="U30" s="702"/>
      <c r="V30" s="701"/>
      <c r="W30" s="702"/>
      <c r="X30" s="703"/>
      <c r="Y30" s="3815"/>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5"/>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5"/>
      <c r="Q32" s="1352" t="str">
        <f t="shared" si="8"/>
        <v>毗邻道路的类型与等级</v>
      </c>
      <c r="R32" s="705" t="s">
        <v>14</v>
      </c>
      <c r="S32" s="706">
        <f t="shared" si="10"/>
        <v>100</v>
      </c>
      <c r="T32" s="705" t="s">
        <v>14</v>
      </c>
      <c r="U32" s="706">
        <f t="shared" si="11"/>
        <v>100</v>
      </c>
      <c r="V32" s="705" t="s">
        <v>14</v>
      </c>
      <c r="W32" s="706">
        <f t="shared" si="12"/>
        <v>100</v>
      </c>
      <c r="X32" s="1355"/>
      <c r="Y32" s="3815"/>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15"/>
      <c r="Q33" s="1352"/>
      <c r="R33" s="705"/>
      <c r="S33" s="706"/>
      <c r="T33" s="705"/>
      <c r="U33" s="706"/>
      <c r="V33" s="705"/>
      <c r="W33" s="706"/>
      <c r="X33" s="1355"/>
      <c r="Y33" s="3815"/>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5"/>
      <c r="Q34" s="1352" t="str">
        <f t="shared" si="8"/>
        <v>土地级别</v>
      </c>
      <c r="R34" s="705" t="s">
        <v>14</v>
      </c>
      <c r="S34" s="706">
        <f t="shared" si="10"/>
        <v>100</v>
      </c>
      <c r="T34" s="705" t="s">
        <v>14</v>
      </c>
      <c r="U34" s="706">
        <f t="shared" si="11"/>
        <v>100</v>
      </c>
      <c r="V34" s="705" t="s">
        <v>14</v>
      </c>
      <c r="W34" s="706">
        <f t="shared" si="12"/>
        <v>100</v>
      </c>
      <c r="X34" s="1355"/>
      <c r="Y34" s="3815"/>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5"/>
      <c r="Q35" s="1352">
        <f t="shared" si="8"/>
        <v>111</v>
      </c>
      <c r="R35" s="705" t="s">
        <v>14</v>
      </c>
      <c r="S35" s="706">
        <f t="shared" si="10"/>
        <v>100</v>
      </c>
      <c r="T35" s="705" t="s">
        <v>14</v>
      </c>
      <c r="U35" s="706">
        <f t="shared" si="11"/>
        <v>100</v>
      </c>
      <c r="V35" s="705" t="s">
        <v>14</v>
      </c>
      <c r="W35" s="706">
        <f t="shared" si="12"/>
        <v>100</v>
      </c>
      <c r="X35" s="1355"/>
      <c r="Y35" s="3815"/>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4" t="s">
        <v>1691</v>
      </c>
      <c r="Q36" s="1352">
        <f t="shared" si="8"/>
        <v>111</v>
      </c>
      <c r="R36" s="705" t="s">
        <v>14</v>
      </c>
      <c r="S36" s="706">
        <f t="shared" si="10"/>
        <v>100</v>
      </c>
      <c r="T36" s="705" t="s">
        <v>14</v>
      </c>
      <c r="U36" s="706">
        <f t="shared" si="11"/>
        <v>100</v>
      </c>
      <c r="V36" s="705" t="s">
        <v>14</v>
      </c>
      <c r="W36" s="706">
        <f t="shared" si="12"/>
        <v>100</v>
      </c>
      <c r="X36" s="1355"/>
      <c r="Y36" s="3819"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9"/>
      <c r="Q37" s="1352">
        <f t="shared" si="8"/>
        <v>111</v>
      </c>
      <c r="R37" s="708" t="s">
        <v>14</v>
      </c>
      <c r="S37" s="709">
        <f t="shared" si="10"/>
        <v>100</v>
      </c>
      <c r="T37" s="708" t="s">
        <v>14</v>
      </c>
      <c r="U37" s="709">
        <f t="shared" si="11"/>
        <v>100</v>
      </c>
      <c r="V37" s="708" t="s">
        <v>14</v>
      </c>
      <c r="W37" s="709">
        <f t="shared" si="12"/>
        <v>100</v>
      </c>
      <c r="X37" s="710"/>
      <c r="Y37" s="3819"/>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19"/>
      <c r="Q38" s="1352" t="str">
        <f>B38</f>
        <v>宗地面积</v>
      </c>
      <c r="R38" s="705" t="s">
        <v>14</v>
      </c>
      <c r="S38" s="706">
        <f t="shared" si="10"/>
        <v>100</v>
      </c>
      <c r="T38" s="705" t="s">
        <v>14</v>
      </c>
      <c r="U38" s="706">
        <f t="shared" si="11"/>
        <v>100</v>
      </c>
      <c r="V38" s="705" t="s">
        <v>14</v>
      </c>
      <c r="W38" s="706">
        <f t="shared" si="12"/>
        <v>100</v>
      </c>
      <c r="X38" s="1355"/>
      <c r="Y38" s="3819"/>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19"/>
      <c r="Q39" s="1352" t="str">
        <f t="shared" ref="Q39:Q45" si="14">B39</f>
        <v>宗地形状</v>
      </c>
      <c r="R39" s="705" t="s">
        <v>14</v>
      </c>
      <c r="S39" s="706">
        <f t="shared" si="10"/>
        <v>100</v>
      </c>
      <c r="T39" s="705" t="s">
        <v>14</v>
      </c>
      <c r="U39" s="706">
        <f t="shared" si="11"/>
        <v>100</v>
      </c>
      <c r="V39" s="705" t="s">
        <v>14</v>
      </c>
      <c r="W39" s="706">
        <f t="shared" si="12"/>
        <v>100</v>
      </c>
      <c r="X39" s="1355"/>
      <c r="Y39" s="381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9"/>
      <c r="Q40" s="1352" t="str">
        <f t="shared" si="14"/>
        <v>临街宽度及深度</v>
      </c>
      <c r="R40" s="705" t="s">
        <v>14</v>
      </c>
      <c r="S40" s="706">
        <f t="shared" si="10"/>
        <v>100</v>
      </c>
      <c r="T40" s="705" t="s">
        <v>14</v>
      </c>
      <c r="U40" s="706">
        <f t="shared" si="11"/>
        <v>100</v>
      </c>
      <c r="V40" s="705" t="s">
        <v>14</v>
      </c>
      <c r="W40" s="706">
        <f t="shared" si="12"/>
        <v>100</v>
      </c>
      <c r="X40" s="1355"/>
      <c r="Y40" s="381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19"/>
      <c r="Q41" s="1352" t="str">
        <f t="shared" si="14"/>
        <v>宗地开发程度</v>
      </c>
      <c r="R41" s="701" t="s">
        <v>14</v>
      </c>
      <c r="S41" s="702">
        <f t="shared" si="10"/>
        <v>100</v>
      </c>
      <c r="T41" s="701" t="s">
        <v>14</v>
      </c>
      <c r="U41" s="702">
        <f t="shared" si="11"/>
        <v>100</v>
      </c>
      <c r="V41" s="701" t="s">
        <v>14</v>
      </c>
      <c r="W41" s="702">
        <f t="shared" si="12"/>
        <v>100</v>
      </c>
      <c r="X41" s="703"/>
      <c r="Y41" s="381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9" t="s">
        <v>1691</v>
      </c>
      <c r="Q42" s="1352" t="str">
        <f t="shared" si="14"/>
        <v>工程地质条件</v>
      </c>
      <c r="R42" s="705" t="s">
        <v>14</v>
      </c>
      <c r="S42" s="706">
        <f t="shared" si="10"/>
        <v>100</v>
      </c>
      <c r="T42" s="705" t="s">
        <v>14</v>
      </c>
      <c r="U42" s="706">
        <f t="shared" si="11"/>
        <v>100</v>
      </c>
      <c r="V42" s="705" t="s">
        <v>14</v>
      </c>
      <c r="W42" s="706">
        <f t="shared" si="12"/>
        <v>100</v>
      </c>
      <c r="X42" s="1355"/>
      <c r="Y42" s="381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9"/>
      <c r="Q43" s="1352">
        <f t="shared" si="14"/>
        <v>111</v>
      </c>
      <c r="R43" s="705" t="s">
        <v>14</v>
      </c>
      <c r="S43" s="706">
        <f t="shared" si="10"/>
        <v>100</v>
      </c>
      <c r="T43" s="705" t="s">
        <v>14</v>
      </c>
      <c r="U43" s="706">
        <f t="shared" si="11"/>
        <v>100</v>
      </c>
      <c r="V43" s="705" t="s">
        <v>14</v>
      </c>
      <c r="W43" s="706">
        <f t="shared" si="12"/>
        <v>100</v>
      </c>
      <c r="X43" s="1355"/>
      <c r="Y43" s="38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9"/>
      <c r="Q44" s="1352">
        <f t="shared" si="14"/>
        <v>111</v>
      </c>
      <c r="R44" s="705" t="s">
        <v>14</v>
      </c>
      <c r="S44" s="706">
        <f t="shared" si="10"/>
        <v>100</v>
      </c>
      <c r="T44" s="705" t="s">
        <v>14</v>
      </c>
      <c r="U44" s="706">
        <f t="shared" si="11"/>
        <v>100</v>
      </c>
      <c r="V44" s="705" t="s">
        <v>14</v>
      </c>
      <c r="W44" s="706">
        <f t="shared" si="12"/>
        <v>100</v>
      </c>
      <c r="X44" s="1355"/>
      <c r="Y44" s="381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9"/>
      <c r="Q45" s="1352">
        <f t="shared" si="14"/>
        <v>111</v>
      </c>
      <c r="R45" s="708" t="s">
        <v>14</v>
      </c>
      <c r="S45" s="709">
        <f t="shared" si="10"/>
        <v>100</v>
      </c>
      <c r="T45" s="708" t="s">
        <v>14</v>
      </c>
      <c r="U45" s="709">
        <f t="shared" si="11"/>
        <v>100</v>
      </c>
      <c r="V45" s="708" t="s">
        <v>14</v>
      </c>
      <c r="W45" s="709">
        <f t="shared" si="12"/>
        <v>100</v>
      </c>
      <c r="X45" s="710"/>
      <c r="Y45" s="3819"/>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07" t="str">
        <f>A46</f>
        <v>成交单价</v>
      </c>
      <c r="Q46" s="3807"/>
      <c r="R46" s="3821">
        <f>E46</f>
        <v>300</v>
      </c>
      <c r="S46" s="3821"/>
      <c r="T46" s="3821">
        <f>G46</f>
        <v>300</v>
      </c>
      <c r="U46" s="3821"/>
      <c r="V46" s="3821">
        <f>I46</f>
        <v>300</v>
      </c>
      <c r="W46" s="3821"/>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07" t="str">
        <f>A47</f>
        <v>比较价值（元/平方米）</v>
      </c>
      <c r="Q47" s="3807"/>
      <c r="R47" s="3876">
        <f>ROUND(PRODUCT(R46,AA7:AA45),0)</f>
        <v>300</v>
      </c>
      <c r="S47" s="3876"/>
      <c r="T47" s="3876">
        <f>ROUND(PRODUCT(T46,AB7:AB45),0)</f>
        <v>300</v>
      </c>
      <c r="U47" s="3876"/>
      <c r="V47" s="3876">
        <f>ROUND(PRODUCT(V46,AC7:AC45),0)</f>
        <v>300</v>
      </c>
      <c r="W47" s="3876"/>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09" t="str">
        <f>A48</f>
        <v>估价对象XX用房的比较价值（楼面单价，元/平方米）</v>
      </c>
      <c r="Q48" s="3810"/>
      <c r="R48" s="3877">
        <f>ROUND(IF(D47="简单平均",AVERAGE(R47:W47),R47*F47+T47*H47+V47*J47),0)</f>
        <v>300</v>
      </c>
      <c r="S48" s="3877"/>
      <c r="T48" s="3877"/>
      <c r="U48" s="3877"/>
      <c r="V48" s="3877"/>
      <c r="W48" s="387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6" t="s">
        <v>1879</v>
      </c>
      <c r="H55" s="3878"/>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2"/>
      <c r="H56" s="380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914" t="s">
        <v>3372</v>
      </c>
      <c r="B1" s="3914"/>
      <c r="C1" s="3914"/>
      <c r="D1" s="3914"/>
      <c r="E1" s="3914"/>
      <c r="F1" s="3914"/>
      <c r="G1" s="3914"/>
      <c r="H1" s="3914"/>
      <c r="I1" s="3914"/>
      <c r="K1" s="3915" t="s">
        <v>3373</v>
      </c>
      <c r="L1" s="3451" t="s">
        <v>3374</v>
      </c>
      <c r="M1" s="3452">
        <v>0</v>
      </c>
      <c r="N1" s="3519"/>
      <c r="O1" s="3519"/>
    </row>
    <row r="2" spans="1:16" ht="15.75" customHeight="1">
      <c r="A2" s="3453" t="s">
        <v>2640</v>
      </c>
      <c r="B2" s="3454" t="s">
        <v>3375</v>
      </c>
      <c r="C2" s="3887" t="s">
        <v>3376</v>
      </c>
      <c r="D2" s="3888"/>
      <c r="E2" s="3888"/>
      <c r="F2" s="3889"/>
      <c r="G2" s="3455" t="s">
        <v>3377</v>
      </c>
      <c r="H2" s="3890" t="s">
        <v>3378</v>
      </c>
      <c r="I2" s="3890"/>
      <c r="K2" s="3915"/>
      <c r="L2" s="3520"/>
    </row>
    <row r="3" spans="1:16">
      <c r="A3" s="3455" t="s">
        <v>3379</v>
      </c>
      <c r="B3" s="3458" t="s">
        <v>3380</v>
      </c>
      <c r="C3" s="3887">
        <v>16690</v>
      </c>
      <c r="D3" s="3888"/>
      <c r="E3" s="3888"/>
      <c r="F3" s="3889"/>
      <c r="G3" s="3455" t="s">
        <v>3381</v>
      </c>
      <c r="H3" s="3458" t="s">
        <v>3382</v>
      </c>
      <c r="I3" s="3459">
        <v>1</v>
      </c>
      <c r="K3" s="3915"/>
      <c r="L3" s="3451" t="s">
        <v>3383</v>
      </c>
      <c r="M3" s="3456" t="s">
        <v>3384</v>
      </c>
      <c r="N3" s="3457"/>
      <c r="O3" s="3457"/>
    </row>
    <row r="4" spans="1:16">
      <c r="A4" s="3890" t="s">
        <v>3385</v>
      </c>
      <c r="B4" s="3891" t="s">
        <v>3386</v>
      </c>
      <c r="C4" s="3916">
        <f>ROUND(C3*(I4-I6)/(1-((1+I6)/(1+I4))^I5),0)</f>
        <v>787</v>
      </c>
      <c r="D4" s="3917"/>
      <c r="E4" s="3917"/>
      <c r="F4" s="3918"/>
      <c r="G4" s="3890" t="s">
        <v>3387</v>
      </c>
      <c r="H4" s="3460" t="s">
        <v>3388</v>
      </c>
      <c r="I4" s="3461">
        <v>0.05</v>
      </c>
      <c r="K4" s="3915"/>
      <c r="L4" s="3451" t="s">
        <v>3389</v>
      </c>
      <c r="M4" s="3521">
        <f>ROUND(1-(1-M1)*M2/M3,2)</f>
        <v>1</v>
      </c>
      <c r="N4" s="3457"/>
      <c r="O4" s="3457"/>
    </row>
    <row r="5" spans="1:16" s="3522" customFormat="1" ht="18" customHeight="1">
      <c r="A5" s="3890"/>
      <c r="B5" s="3891"/>
      <c r="C5" s="3919"/>
      <c r="D5" s="3920"/>
      <c r="E5" s="3920"/>
      <c r="F5" s="3921"/>
      <c r="G5" s="3890"/>
      <c r="H5" s="3458" t="s">
        <v>3390</v>
      </c>
      <c r="I5" s="3462">
        <v>40</v>
      </c>
      <c r="J5" s="3463">
        <v>1986</v>
      </c>
      <c r="K5" s="3915"/>
      <c r="L5" s="3451" t="s">
        <v>3391</v>
      </c>
      <c r="M5" s="3464">
        <v>0.5</v>
      </c>
      <c r="N5" s="3457"/>
      <c r="O5" s="3457"/>
    </row>
    <row r="6" spans="1:16" s="3522" customFormat="1" ht="18" customHeight="1">
      <c r="A6" s="3890"/>
      <c r="B6" s="3891"/>
      <c r="C6" s="3922"/>
      <c r="D6" s="3923"/>
      <c r="E6" s="3923"/>
      <c r="F6" s="3924"/>
      <c r="G6" s="3890"/>
      <c r="H6" s="3458" t="s">
        <v>3392</v>
      </c>
      <c r="I6" s="3461">
        <v>1.4999999999999999E-2</v>
      </c>
      <c r="J6" s="3465">
        <v>23</v>
      </c>
      <c r="K6" s="3925" t="s">
        <v>3393</v>
      </c>
      <c r="L6" s="3466" t="s">
        <v>3394</v>
      </c>
      <c r="M6" s="3467" t="s">
        <v>3395</v>
      </c>
      <c r="N6" s="3467" t="s">
        <v>3396</v>
      </c>
      <c r="O6" s="3467" t="s">
        <v>3397</v>
      </c>
      <c r="P6" s="3467" t="s">
        <v>3398</v>
      </c>
    </row>
    <row r="7" spans="1:16" s="3522" customFormat="1" ht="18" customHeight="1">
      <c r="A7" s="3455" t="s">
        <v>3399</v>
      </c>
      <c r="B7" s="3458" t="s">
        <v>3400</v>
      </c>
      <c r="C7" s="3887">
        <f>ROUND(C23*I7,0)</f>
        <v>242</v>
      </c>
      <c r="D7" s="3888"/>
      <c r="E7" s="3888"/>
      <c r="F7" s="3889"/>
      <c r="G7" s="3455" t="s">
        <v>3401</v>
      </c>
      <c r="H7" s="3458" t="s">
        <v>3402</v>
      </c>
      <c r="I7" s="3468">
        <v>1</v>
      </c>
      <c r="K7" s="3925"/>
      <c r="L7" s="3466" t="s">
        <v>3403</v>
      </c>
      <c r="M7" s="3467">
        <v>100</v>
      </c>
      <c r="N7" s="3467" t="s">
        <v>3404</v>
      </c>
      <c r="O7" s="3467">
        <v>80</v>
      </c>
      <c r="P7" s="3469">
        <v>0.3</v>
      </c>
    </row>
    <row r="8" spans="1:16" s="3522" customFormat="1" ht="18" customHeight="1">
      <c r="A8" s="3453" t="s">
        <v>3405</v>
      </c>
      <c r="B8" s="3458" t="s">
        <v>3406</v>
      </c>
      <c r="C8" s="3887">
        <f>ROUND(I8*I3,0)</f>
        <v>0</v>
      </c>
      <c r="D8" s="3888"/>
      <c r="E8" s="3888"/>
      <c r="F8" s="3889"/>
      <c r="G8" s="3455" t="s">
        <v>3407</v>
      </c>
      <c r="H8" s="3458" t="s">
        <v>3408</v>
      </c>
      <c r="I8" s="3455">
        <v>0</v>
      </c>
      <c r="J8" s="3470" t="e">
        <f>D36</f>
        <v>#REF!</v>
      </c>
      <c r="K8" s="3925"/>
      <c r="L8" s="3466" t="s">
        <v>3409</v>
      </c>
      <c r="M8" s="3467">
        <v>100</v>
      </c>
      <c r="N8" s="3467" t="s">
        <v>3404</v>
      </c>
      <c r="O8" s="3467">
        <v>80</v>
      </c>
      <c r="P8" s="3469">
        <v>0.5</v>
      </c>
    </row>
    <row r="9" spans="1:16" s="3522" customFormat="1" ht="18" customHeight="1">
      <c r="A9" s="3453" t="s">
        <v>3410</v>
      </c>
      <c r="B9" s="3458" t="s">
        <v>3411</v>
      </c>
      <c r="C9" s="3887">
        <f>ROUND(C8*H9,0)</f>
        <v>0</v>
      </c>
      <c r="D9" s="3888"/>
      <c r="E9" s="3888"/>
      <c r="F9" s="3889"/>
      <c r="G9" s="3455" t="s">
        <v>3412</v>
      </c>
      <c r="H9" s="3911">
        <v>0.03</v>
      </c>
      <c r="I9" s="3911"/>
      <c r="J9" s="3470">
        <f>D37</f>
        <v>2.69</v>
      </c>
      <c r="K9" s="3925"/>
      <c r="L9" s="3466" t="s">
        <v>3413</v>
      </c>
      <c r="M9" s="3467">
        <v>100</v>
      </c>
      <c r="N9" s="3467" t="s">
        <v>3404</v>
      </c>
      <c r="O9" s="3467">
        <v>80</v>
      </c>
      <c r="P9" s="3469">
        <f>1-P7-P8</f>
        <v>0.19999999999999996</v>
      </c>
    </row>
    <row r="10" spans="1:16" s="3522" customFormat="1" ht="18" customHeight="1">
      <c r="A10" s="3453" t="s">
        <v>3414</v>
      </c>
      <c r="B10" s="3458" t="s">
        <v>3415</v>
      </c>
      <c r="C10" s="3887">
        <f>ROUND(C8*H10,0)</f>
        <v>0</v>
      </c>
      <c r="D10" s="3888"/>
      <c r="E10" s="3888"/>
      <c r="F10" s="3889"/>
      <c r="G10" s="3455" t="s">
        <v>3412</v>
      </c>
      <c r="H10" s="3911">
        <v>0.1</v>
      </c>
      <c r="I10" s="3911"/>
      <c r="J10" s="3470" t="e">
        <f>D38</f>
        <v>#REF!</v>
      </c>
      <c r="K10" s="3925"/>
      <c r="L10" s="3471" t="s">
        <v>3391</v>
      </c>
      <c r="M10" s="3472">
        <f>1-M5</f>
        <v>0.5</v>
      </c>
      <c r="N10" s="3467" t="s">
        <v>3389</v>
      </c>
      <c r="O10" s="3471">
        <f>ROUND((O7*P7+O8*P8+O9*P9)/100,2)</f>
        <v>0.8</v>
      </c>
      <c r="P10" s="3473"/>
    </row>
    <row r="11" spans="1:16" s="3522" customFormat="1" ht="29.25" customHeight="1">
      <c r="A11" s="3453" t="s">
        <v>3416</v>
      </c>
      <c r="B11" s="3458" t="s">
        <v>3417</v>
      </c>
      <c r="C11" s="3887">
        <f>ROUND(I11*I3,0)</f>
        <v>200</v>
      </c>
      <c r="D11" s="3888"/>
      <c r="E11" s="3888"/>
      <c r="F11" s="3889"/>
      <c r="G11" s="3455" t="s">
        <v>3418</v>
      </c>
      <c r="H11" s="3458" t="s">
        <v>3419</v>
      </c>
      <c r="I11" s="3455">
        <v>200</v>
      </c>
      <c r="J11" s="3463"/>
      <c r="K11" s="3518"/>
      <c r="L11" s="3518"/>
    </row>
    <row r="12" spans="1:16" s="3522" customFormat="1" ht="18" customHeight="1">
      <c r="A12" s="3453" t="s">
        <v>3420</v>
      </c>
      <c r="B12" s="3458" t="s">
        <v>3421</v>
      </c>
      <c r="C12" s="3887">
        <f>ROUND(C8*H12,0)</f>
        <v>0</v>
      </c>
      <c r="D12" s="3888"/>
      <c r="E12" s="3888"/>
      <c r="F12" s="3889"/>
      <c r="G12" s="3455" t="s">
        <v>3412</v>
      </c>
      <c r="H12" s="3911">
        <v>1.4999999999999999E-2</v>
      </c>
      <c r="I12" s="3911"/>
      <c r="J12" s="3474" t="s">
        <v>3422</v>
      </c>
      <c r="M12" s="3475" t="s">
        <v>3698</v>
      </c>
      <c r="N12" s="3522">
        <v>27270</v>
      </c>
    </row>
    <row r="13" spans="1:16" s="3522" customFormat="1" ht="18" customHeight="1">
      <c r="A13" s="3453" t="s">
        <v>434</v>
      </c>
      <c r="B13" s="3458" t="s">
        <v>3423</v>
      </c>
      <c r="C13" s="3887">
        <f>SUM(C8:F12)</f>
        <v>200</v>
      </c>
      <c r="D13" s="3888"/>
      <c r="E13" s="3888"/>
      <c r="F13" s="3889"/>
      <c r="G13" s="3890" t="s">
        <v>3424</v>
      </c>
      <c r="H13" s="3890"/>
      <c r="I13" s="3890"/>
      <c r="J13" s="3474" t="s">
        <v>3425</v>
      </c>
      <c r="M13" s="3475" t="s">
        <v>3699</v>
      </c>
      <c r="N13" s="3522">
        <v>16690</v>
      </c>
    </row>
    <row r="14" spans="1:16" s="3522" customFormat="1" ht="18" customHeight="1">
      <c r="A14" s="3453" t="s">
        <v>3426</v>
      </c>
      <c r="B14" s="3458" t="s">
        <v>3427</v>
      </c>
      <c r="C14" s="3887">
        <f>ROUND(C13*H14,0)</f>
        <v>4</v>
      </c>
      <c r="D14" s="3888"/>
      <c r="E14" s="3888"/>
      <c r="F14" s="3889"/>
      <c r="G14" s="3455" t="s">
        <v>3428</v>
      </c>
      <c r="H14" s="3911">
        <v>0.02</v>
      </c>
      <c r="I14" s="3911"/>
      <c r="J14" s="3463"/>
      <c r="L14" s="3475"/>
    </row>
    <row r="15" spans="1:16" s="3522" customFormat="1" ht="18" customHeight="1">
      <c r="A15" s="3453" t="s">
        <v>389</v>
      </c>
      <c r="B15" s="3458" t="s">
        <v>3429</v>
      </c>
      <c r="C15" s="3900">
        <f>H15</f>
        <v>0.02</v>
      </c>
      <c r="D15" s="3901"/>
      <c r="E15" s="3909" t="str">
        <f>E18</f>
        <v>V</v>
      </c>
      <c r="F15" s="3910"/>
      <c r="G15" s="3455" t="s">
        <v>3430</v>
      </c>
      <c r="H15" s="3911">
        <v>0.02</v>
      </c>
      <c r="I15" s="3911"/>
      <c r="J15" s="3476"/>
      <c r="K15" s="3523"/>
    </row>
    <row r="16" spans="1:16" s="3522" customFormat="1" ht="18" customHeight="1">
      <c r="A16" s="3477" t="s">
        <v>390</v>
      </c>
      <c r="B16" s="3478" t="s">
        <v>3431</v>
      </c>
      <c r="C16" s="3479">
        <f>C17</f>
        <v>10</v>
      </c>
      <c r="D16" s="3480" t="s">
        <v>3432</v>
      </c>
      <c r="E16" s="3481">
        <f>C18</f>
        <v>9.5E-4</v>
      </c>
      <c r="F16" s="3482" t="str">
        <f>E18</f>
        <v>V</v>
      </c>
      <c r="G16" s="3887" t="s">
        <v>3433</v>
      </c>
      <c r="H16" s="3888"/>
      <c r="I16" s="3889"/>
      <c r="J16" s="3463"/>
      <c r="K16" s="3518"/>
    </row>
    <row r="17" spans="1:12" s="3522" customFormat="1" ht="18" customHeight="1">
      <c r="A17" s="3453" t="s">
        <v>3434</v>
      </c>
      <c r="B17" s="3458" t="s">
        <v>3435</v>
      </c>
      <c r="C17" s="3887">
        <f>ROUND((C13+C14)*I18*(I17/2),0)</f>
        <v>10</v>
      </c>
      <c r="D17" s="3888"/>
      <c r="E17" s="3888"/>
      <c r="F17" s="3889"/>
      <c r="G17" s="3479" t="s">
        <v>3436</v>
      </c>
      <c r="H17" s="3458" t="s">
        <v>3437</v>
      </c>
      <c r="I17" s="3455">
        <v>2</v>
      </c>
      <c r="J17" s="3474" t="s">
        <v>3438</v>
      </c>
      <c r="K17" s="3518"/>
      <c r="L17" s="3518"/>
    </row>
    <row r="18" spans="1:12" s="3522" customFormat="1" ht="18" customHeight="1">
      <c r="A18" s="3453" t="s">
        <v>3439</v>
      </c>
      <c r="B18" s="3458" t="s">
        <v>3440</v>
      </c>
      <c r="C18" s="3912">
        <f>H15*I18*I17/2</f>
        <v>9.5E-4</v>
      </c>
      <c r="D18" s="3913"/>
      <c r="E18" s="3909" t="s">
        <v>3441</v>
      </c>
      <c r="F18" s="3910"/>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7" t="s">
        <v>3446</v>
      </c>
      <c r="H19" s="3888"/>
      <c r="I19" s="3889"/>
      <c r="J19" s="3463"/>
      <c r="K19" s="3518"/>
      <c r="L19" s="3518"/>
    </row>
    <row r="20" spans="1:12" s="3522" customFormat="1" ht="26.25" customHeight="1">
      <c r="A20" s="3453" t="s">
        <v>3447</v>
      </c>
      <c r="B20" s="3458" t="s">
        <v>3448</v>
      </c>
      <c r="C20" s="3887">
        <f>ROUND((C13+C14)*I20,0)</f>
        <v>10</v>
      </c>
      <c r="D20" s="3888"/>
      <c r="E20" s="3888"/>
      <c r="F20" s="3889"/>
      <c r="G20" s="3455" t="s">
        <v>3449</v>
      </c>
      <c r="H20" s="3906" t="s">
        <v>3450</v>
      </c>
      <c r="I20" s="3908">
        <v>0.05</v>
      </c>
      <c r="J20" s="3474" t="s">
        <v>3451</v>
      </c>
      <c r="K20" s="3518"/>
      <c r="L20" s="3518"/>
    </row>
    <row r="21" spans="1:12" s="3522" customFormat="1" ht="27" customHeight="1">
      <c r="A21" s="3453" t="s">
        <v>3447</v>
      </c>
      <c r="B21" s="3458" t="s">
        <v>3452</v>
      </c>
      <c r="C21" s="3900">
        <f>H15*I20</f>
        <v>1E-3</v>
      </c>
      <c r="D21" s="3901"/>
      <c r="E21" s="3909" t="s">
        <v>3441</v>
      </c>
      <c r="F21" s="3910"/>
      <c r="G21" s="3455" t="s">
        <v>3453</v>
      </c>
      <c r="H21" s="3907"/>
      <c r="I21" s="3908"/>
      <c r="J21" s="3463"/>
      <c r="K21" s="3518"/>
      <c r="L21" s="3518"/>
    </row>
    <row r="22" spans="1:12" s="3522" customFormat="1" ht="18" customHeight="1">
      <c r="A22" s="3453" t="s">
        <v>392</v>
      </c>
      <c r="B22" s="3458" t="s">
        <v>3454</v>
      </c>
      <c r="C22" s="3900">
        <f>ROUND(H22/1.05,4)</f>
        <v>5.33E-2</v>
      </c>
      <c r="D22" s="3901"/>
      <c r="E22" s="3909" t="s">
        <v>3441</v>
      </c>
      <c r="F22" s="3910"/>
      <c r="G22" s="3455" t="s">
        <v>3455</v>
      </c>
      <c r="H22" s="3911">
        <v>5.6000000000000001E-2</v>
      </c>
      <c r="I22" s="3911"/>
      <c r="J22" s="3484"/>
      <c r="K22" s="3518"/>
      <c r="L22" s="3518"/>
    </row>
    <row r="23" spans="1:12" s="3522" customFormat="1" ht="18" customHeight="1">
      <c r="A23" s="3453" t="s">
        <v>3456</v>
      </c>
      <c r="B23" s="3458" t="s">
        <v>3457</v>
      </c>
      <c r="C23" s="3887">
        <f>ROUND((C13+C14+C17+C20)/(1-H15-C18-C21-C22),0)</f>
        <v>242</v>
      </c>
      <c r="D23" s="3888"/>
      <c r="E23" s="3888"/>
      <c r="F23" s="3889"/>
      <c r="G23" s="3887" t="s">
        <v>3458</v>
      </c>
      <c r="H23" s="3888"/>
      <c r="I23" s="3889"/>
      <c r="J23" s="3484"/>
      <c r="K23" s="3518"/>
      <c r="L23" s="3518"/>
    </row>
    <row r="24" spans="1:12" s="3522" customFormat="1" ht="18" customHeight="1">
      <c r="A24" s="3453" t="s">
        <v>3459</v>
      </c>
      <c r="B24" s="3458" t="s">
        <v>3460</v>
      </c>
      <c r="C24" s="3485">
        <f>C27+C28</f>
        <v>5</v>
      </c>
      <c r="D24" s="3486" t="s">
        <v>3461</v>
      </c>
      <c r="E24" s="3902">
        <f>H25+E29+E26</f>
        <v>0.13999999999999999</v>
      </c>
      <c r="F24" s="3903"/>
      <c r="G24" s="3890" t="s">
        <v>3462</v>
      </c>
      <c r="H24" s="3890"/>
      <c r="I24" s="3890"/>
      <c r="J24" s="3484"/>
      <c r="K24" s="3518"/>
      <c r="L24" s="3518"/>
    </row>
    <row r="25" spans="1:12" s="3522" customFormat="1" ht="18" customHeight="1">
      <c r="A25" s="3453" t="s">
        <v>434</v>
      </c>
      <c r="B25" s="3458" t="s">
        <v>3463</v>
      </c>
      <c r="C25" s="3900" t="s">
        <v>3464</v>
      </c>
      <c r="D25" s="3901"/>
      <c r="E25" s="3902">
        <f>ROUND(H25/1.05,4)</f>
        <v>0.1143</v>
      </c>
      <c r="F25" s="3903"/>
      <c r="G25" s="3455" t="s">
        <v>3465</v>
      </c>
      <c r="H25" s="3898">
        <v>0.12</v>
      </c>
      <c r="I25" s="3898"/>
      <c r="J25" s="3476"/>
      <c r="K25" s="3518"/>
      <c r="L25" s="3518"/>
    </row>
    <row r="26" spans="1:12" s="3522" customFormat="1" ht="18" customHeight="1">
      <c r="A26" s="3453" t="s">
        <v>3426</v>
      </c>
      <c r="B26" s="3458" t="s">
        <v>3466</v>
      </c>
      <c r="C26" s="3900" t="s">
        <v>3464</v>
      </c>
      <c r="D26" s="3901"/>
      <c r="E26" s="3902">
        <v>0</v>
      </c>
      <c r="F26" s="3903"/>
      <c r="G26" s="3455" t="s">
        <v>3467</v>
      </c>
      <c r="H26" s="3904">
        <v>0</v>
      </c>
      <c r="I26" s="3905"/>
      <c r="J26" s="3476"/>
      <c r="K26" s="3518"/>
      <c r="L26" s="3518"/>
    </row>
    <row r="27" spans="1:12" s="3522" customFormat="1" ht="18" customHeight="1">
      <c r="A27" s="3453" t="s">
        <v>389</v>
      </c>
      <c r="B27" s="3458" t="s">
        <v>3468</v>
      </c>
      <c r="C27" s="3887">
        <f>ROUND(C23*H27,0)</f>
        <v>5</v>
      </c>
      <c r="D27" s="3888"/>
      <c r="E27" s="3888"/>
      <c r="F27" s="3889"/>
      <c r="G27" s="3455" t="s">
        <v>3469</v>
      </c>
      <c r="H27" s="3898">
        <v>0.02</v>
      </c>
      <c r="I27" s="3898"/>
      <c r="J27" s="3476"/>
      <c r="K27" s="3518"/>
      <c r="L27" s="3518"/>
    </row>
    <row r="28" spans="1:12" s="3522" customFormat="1" ht="18" customHeight="1">
      <c r="A28" s="3453" t="s">
        <v>390</v>
      </c>
      <c r="B28" s="3458" t="s">
        <v>3470</v>
      </c>
      <c r="C28" s="3887">
        <f>ROUND(C7*H28,0)</f>
        <v>0</v>
      </c>
      <c r="D28" s="3888"/>
      <c r="E28" s="3888"/>
      <c r="F28" s="3889"/>
      <c r="G28" s="3455" t="s">
        <v>3471</v>
      </c>
      <c r="H28" s="3899">
        <v>2E-3</v>
      </c>
      <c r="I28" s="3899"/>
      <c r="J28" s="3463"/>
      <c r="K28" s="3518"/>
      <c r="L28" s="3518"/>
    </row>
    <row r="29" spans="1:12" s="3522" customFormat="1" ht="18" customHeight="1">
      <c r="A29" s="3453" t="s">
        <v>391</v>
      </c>
      <c r="B29" s="3458" t="s">
        <v>3472</v>
      </c>
      <c r="C29" s="3900" t="s">
        <v>3464</v>
      </c>
      <c r="D29" s="3901"/>
      <c r="E29" s="3902">
        <f>H29</f>
        <v>0.02</v>
      </c>
      <c r="F29" s="3903"/>
      <c r="G29" s="3455" t="s">
        <v>3473</v>
      </c>
      <c r="H29" s="3898">
        <v>0.02</v>
      </c>
      <c r="I29" s="3898"/>
      <c r="J29" s="3490"/>
      <c r="K29" s="3518"/>
      <c r="L29" s="3518"/>
    </row>
    <row r="30" spans="1:12" s="3522" customFormat="1" ht="18" customHeight="1">
      <c r="A30" s="3455" t="s">
        <v>3474</v>
      </c>
      <c r="B30" s="3458" t="s">
        <v>3475</v>
      </c>
      <c r="C30" s="3887">
        <f>ROUND((C4+C24)/(1-E24),0)</f>
        <v>921</v>
      </c>
      <c r="D30" s="3888"/>
      <c r="E30" s="3888"/>
      <c r="F30" s="3889"/>
      <c r="G30" s="3890" t="s">
        <v>3476</v>
      </c>
      <c r="H30" s="3890"/>
      <c r="I30" s="3890"/>
      <c r="J30" s="3487" t="s">
        <v>3477</v>
      </c>
      <c r="K30" s="3518"/>
      <c r="L30" s="3518"/>
    </row>
    <row r="31" spans="1:12" s="3522" customFormat="1" ht="18" customHeight="1">
      <c r="A31" s="3890" t="s">
        <v>3478</v>
      </c>
      <c r="B31" s="3891" t="s">
        <v>3574</v>
      </c>
      <c r="C31" s="3892">
        <f>ROUND(C30/I31/I32/I3/30,2)</f>
        <v>2.69</v>
      </c>
      <c r="D31" s="3893"/>
      <c r="E31" s="3893"/>
      <c r="F31" s="3894"/>
      <c r="G31" s="3890" t="s">
        <v>3479</v>
      </c>
      <c r="H31" s="3458" t="s">
        <v>3480</v>
      </c>
      <c r="I31" s="3455">
        <v>12</v>
      </c>
      <c r="J31" s="3488"/>
      <c r="K31" s="3518"/>
      <c r="L31" s="3518"/>
    </row>
    <row r="32" spans="1:12" s="3522" customFormat="1" ht="18" customHeight="1">
      <c r="A32" s="3890"/>
      <c r="B32" s="3891"/>
      <c r="C32" s="3895"/>
      <c r="D32" s="3896"/>
      <c r="E32" s="3896"/>
      <c r="F32" s="3897"/>
      <c r="G32" s="3890"/>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883" t="s">
        <v>3557</v>
      </c>
      <c r="C34" s="3883"/>
      <c r="D34" s="3883"/>
      <c r="E34" s="3883"/>
      <c r="F34" s="3883"/>
      <c r="G34" s="3491"/>
      <c r="H34" s="3492"/>
      <c r="I34" s="3520"/>
      <c r="J34" s="3463"/>
      <c r="K34" s="3518"/>
      <c r="L34" s="3518"/>
      <c r="M34" s="3520"/>
    </row>
    <row r="35" spans="1:13" s="3522" customFormat="1" ht="18" customHeight="1">
      <c r="A35" s="3520"/>
      <c r="B35" s="3493" t="s">
        <v>3482</v>
      </c>
      <c r="C35" s="3493" t="s">
        <v>3398</v>
      </c>
      <c r="D35" s="3884" t="s">
        <v>3579</v>
      </c>
      <c r="E35" s="3884"/>
      <c r="F35" s="3884"/>
      <c r="G35" s="3491"/>
      <c r="H35" s="3880"/>
      <c r="I35" s="3880"/>
      <c r="J35" s="3484"/>
      <c r="K35" s="3520"/>
      <c r="L35" s="3520"/>
      <c r="M35" s="3520"/>
    </row>
    <row r="36" spans="1:13">
      <c r="B36" s="3493" t="s">
        <v>3483</v>
      </c>
      <c r="C36" s="3526">
        <v>1</v>
      </c>
      <c r="D36" s="3885" t="e">
        <f>'租金比较法-住宅 '!C49</f>
        <v>#REF!</v>
      </c>
      <c r="E36" s="3885"/>
      <c r="F36" s="3885"/>
      <c r="G36" s="3491" t="e">
        <f>(D36-D37)/D37</f>
        <v>#REF!</v>
      </c>
      <c r="H36" s="3527"/>
      <c r="I36" s="3528"/>
      <c r="K36" s="3520"/>
      <c r="L36" s="3520"/>
    </row>
    <row r="37" spans="1:13" ht="12.75" customHeight="1">
      <c r="B37" s="3493" t="s">
        <v>3484</v>
      </c>
      <c r="C37" s="3526">
        <f>1-C36</f>
        <v>0</v>
      </c>
      <c r="D37" s="3885">
        <f>C31</f>
        <v>2.69</v>
      </c>
      <c r="E37" s="3885"/>
      <c r="F37" s="3885"/>
      <c r="G37" s="3491"/>
      <c r="H37" s="3491"/>
      <c r="I37" s="3491"/>
      <c r="J37" s="3520"/>
      <c r="K37" s="3520"/>
      <c r="L37" s="3520"/>
    </row>
    <row r="38" spans="1:13" ht="22.5" customHeight="1">
      <c r="B38" s="3884" t="s">
        <v>3573</v>
      </c>
      <c r="C38" s="3884"/>
      <c r="D38" s="3886" t="e">
        <f>ROUND(C36*D36+C37*D37,2)</f>
        <v>#REF!</v>
      </c>
      <c r="E38" s="3886"/>
      <c r="F38" s="3886"/>
      <c r="G38" s="3882" t="s">
        <v>3558</v>
      </c>
      <c r="H38" s="3880"/>
      <c r="I38" s="3880"/>
      <c r="J38" s="3520"/>
      <c r="K38" s="3520"/>
      <c r="L38" s="3520"/>
    </row>
    <row r="39" spans="1:13" ht="22.5" hidden="1" customHeight="1">
      <c r="B39" s="3493" t="s">
        <v>3485</v>
      </c>
      <c r="C39" s="3493" t="e">
        <f>ROUND(D38*0.9,1)</f>
        <v>#REF!</v>
      </c>
      <c r="D39" s="3494" t="s">
        <v>3486</v>
      </c>
      <c r="E39" s="3881" t="e">
        <f>ROUND(D38*1.1,1)</f>
        <v>#REF!</v>
      </c>
      <c r="F39" s="3881"/>
      <c r="G39" s="3491" t="s">
        <v>3487</v>
      </c>
      <c r="H39" s="3495">
        <v>11</v>
      </c>
      <c r="J39" s="3520"/>
      <c r="K39" s="3520"/>
      <c r="L39" s="3520"/>
    </row>
    <row r="40" spans="1:13" ht="18" hidden="1" customHeight="1">
      <c r="B40" s="3493" t="s">
        <v>3488</v>
      </c>
      <c r="C40" s="3493" t="e">
        <f>ROUND(C39+H40,1)</f>
        <v>#REF!</v>
      </c>
      <c r="D40" s="3494" t="s">
        <v>3486</v>
      </c>
      <c r="E40" s="3881" t="e">
        <f>ROUND(E39+H40,1)</f>
        <v>#REF!</v>
      </c>
      <c r="F40" s="3881"/>
      <c r="G40" s="3529" t="s">
        <v>3489</v>
      </c>
      <c r="H40" s="3496">
        <v>0.2</v>
      </c>
      <c r="J40" s="3520"/>
      <c r="K40" s="3520"/>
      <c r="L40" s="3520"/>
    </row>
    <row r="41" spans="1:13" ht="18" customHeight="1">
      <c r="B41" s="3879" t="s">
        <v>3571</v>
      </c>
      <c r="C41" s="3879"/>
      <c r="D41" s="3879" t="e">
        <f>ROUND(D38*I3,0)</f>
        <v>#REF!</v>
      </c>
      <c r="E41" s="3879"/>
      <c r="F41" s="3879"/>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879" t="s">
        <v>3582</v>
      </c>
      <c r="C43" s="3879"/>
      <c r="D43" s="3879" t="e">
        <f>ROUND(D41*(1+G43),0)</f>
        <v>#REF!</v>
      </c>
      <c r="E43" s="3879"/>
      <c r="F43" s="3879"/>
      <c r="G43" s="3541">
        <v>0.03</v>
      </c>
      <c r="H43" s="3542" t="s">
        <v>3576</v>
      </c>
      <c r="I43" s="3525"/>
      <c r="J43" s="3520"/>
    </row>
    <row r="44" spans="1:13" ht="13.5" customHeight="1">
      <c r="B44" s="3880" t="s">
        <v>3570</v>
      </c>
      <c r="C44" s="3880"/>
      <c r="D44" s="3880">
        <v>9000</v>
      </c>
      <c r="E44" s="3880"/>
      <c r="F44" s="3880"/>
      <c r="H44" s="3536" t="e">
        <f>D38+#REF!+#REF!</f>
        <v>#REF!</v>
      </c>
      <c r="I44" s="3525"/>
    </row>
    <row r="45" spans="1:13">
      <c r="B45" s="3926" t="s">
        <v>3572</v>
      </c>
      <c r="C45" s="3926"/>
      <c r="D45" s="3926">
        <v>9500</v>
      </c>
      <c r="E45" s="3926"/>
      <c r="F45" s="3926"/>
      <c r="G45" s="3525">
        <f>D45+1500</f>
        <v>11000</v>
      </c>
    </row>
    <row r="46" spans="1:13" ht="13.5" hidden="1" customHeight="1">
      <c r="B46" s="3880" t="s">
        <v>3575</v>
      </c>
      <c r="C46" s="3880"/>
      <c r="D46" s="3880">
        <f>D45*24</f>
        <v>228000</v>
      </c>
      <c r="E46" s="3880"/>
      <c r="F46" s="3880"/>
    </row>
    <row r="47" spans="1:13" hidden="1">
      <c r="B47" s="3880" t="s">
        <v>3568</v>
      </c>
      <c r="C47" s="3880"/>
      <c r="D47" s="3880">
        <f>D46*G43</f>
        <v>6840</v>
      </c>
      <c r="E47" s="3880"/>
      <c r="F47" s="3880"/>
    </row>
    <row r="48" spans="1:13" hidden="1">
      <c r="B48" s="3880" t="s">
        <v>3569</v>
      </c>
      <c r="C48" s="3880"/>
      <c r="D48" s="3880">
        <f>D47/24</f>
        <v>285</v>
      </c>
      <c r="E48" s="3880"/>
      <c r="F48" s="3880"/>
    </row>
    <row r="49" spans="2:6" ht="13.5" hidden="1" customHeight="1">
      <c r="B49" s="3880" t="s">
        <v>3578</v>
      </c>
      <c r="C49" s="3880"/>
      <c r="D49" s="3880">
        <f>D45+D48</f>
        <v>9785</v>
      </c>
      <c r="E49" s="3880"/>
      <c r="F49" s="3880"/>
    </row>
    <row r="50" spans="2:6" hidden="1">
      <c r="B50" s="3880" t="s">
        <v>3577</v>
      </c>
      <c r="C50" s="3880"/>
      <c r="D50" s="3880">
        <f>D44+D48</f>
        <v>9285</v>
      </c>
      <c r="E50" s="3880"/>
      <c r="F50" s="3880"/>
    </row>
  </sheetData>
  <mergeCells count="90">
    <mergeCell ref="B50:C50"/>
    <mergeCell ref="D50:F50"/>
    <mergeCell ref="B47:C47"/>
    <mergeCell ref="D47:F47"/>
    <mergeCell ref="B48:C48"/>
    <mergeCell ref="D48:F48"/>
    <mergeCell ref="B49:C49"/>
    <mergeCell ref="D49:F49"/>
    <mergeCell ref="B44:C44"/>
    <mergeCell ref="D44:F44"/>
    <mergeCell ref="B45:C45"/>
    <mergeCell ref="D45:F45"/>
    <mergeCell ref="B46:C46"/>
    <mergeCell ref="D46:F46"/>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43:C43"/>
    <mergeCell ref="D43:F43"/>
    <mergeCell ref="H35:I35"/>
    <mergeCell ref="E39:F39"/>
    <mergeCell ref="E40:F40"/>
    <mergeCell ref="G38:I38"/>
    <mergeCell ref="D41:F41"/>
    <mergeCell ref="B41:C41"/>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927" t="s">
        <v>1911</v>
      </c>
      <c r="D6" s="3928"/>
      <c r="E6" s="3929" t="s">
        <v>1911</v>
      </c>
      <c r="F6" s="3930"/>
      <c r="G6" s="3927" t="s">
        <v>1911</v>
      </c>
      <c r="H6" s="3928"/>
      <c r="I6" s="3927" t="s">
        <v>1911</v>
      </c>
      <c r="J6" s="3928"/>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6"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6" t="s">
        <v>1678</v>
      </c>
      <c r="Q8" s="3847"/>
      <c r="R8" s="701" t="s">
        <v>14</v>
      </c>
      <c r="S8" s="702">
        <f t="shared" si="0"/>
        <v>0</v>
      </c>
      <c r="T8" s="701" t="s">
        <v>14</v>
      </c>
      <c r="U8" s="702">
        <f t="shared" si="1"/>
        <v>0</v>
      </c>
      <c r="V8" s="701" t="s">
        <v>14</v>
      </c>
      <c r="W8" s="702">
        <f t="shared" si="2"/>
        <v>0</v>
      </c>
      <c r="X8" s="703"/>
      <c r="Y8" s="3846" t="s">
        <v>1678</v>
      </c>
      <c r="Z8" s="3847"/>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7"/>
      <c r="Q11" s="1343" t="str">
        <f t="shared" si="6"/>
        <v>容积率</v>
      </c>
      <c r="R11" s="701" t="s">
        <v>14</v>
      </c>
      <c r="S11" s="702" t="e">
        <f t="shared" si="0"/>
        <v>#N/A</v>
      </c>
      <c r="T11" s="701" t="s">
        <v>14</v>
      </c>
      <c r="U11" s="702" t="e">
        <f t="shared" si="1"/>
        <v>#N/A</v>
      </c>
      <c r="V11" s="701" t="s">
        <v>14</v>
      </c>
      <c r="W11" s="702" t="e">
        <f t="shared" si="2"/>
        <v>#N/A</v>
      </c>
      <c r="X11" s="703"/>
      <c r="Y11" s="36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4" t="s">
        <v>1686</v>
      </c>
      <c r="Q15" s="1352" t="str">
        <f t="shared" si="6"/>
        <v>产业集聚程度</v>
      </c>
      <c r="R15" s="705" t="s">
        <v>14</v>
      </c>
      <c r="S15" s="706">
        <f t="shared" si="0"/>
        <v>100</v>
      </c>
      <c r="T15" s="705" t="s">
        <v>14</v>
      </c>
      <c r="U15" s="706">
        <f t="shared" si="1"/>
        <v>100</v>
      </c>
      <c r="V15" s="705" t="s">
        <v>14</v>
      </c>
      <c r="W15" s="706">
        <f t="shared" si="2"/>
        <v>100</v>
      </c>
      <c r="X15" s="1355"/>
      <c r="Y15" s="381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5"/>
      <c r="Q16" s="1352"/>
      <c r="R16" s="705"/>
      <c r="S16" s="706"/>
      <c r="T16" s="705"/>
      <c r="U16" s="706"/>
      <c r="V16" s="705"/>
      <c r="W16" s="706"/>
      <c r="X16" s="1355"/>
      <c r="Y16" s="381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5"/>
      <c r="Q18" s="1352"/>
      <c r="R18" s="705"/>
      <c r="S18" s="706"/>
      <c r="T18" s="705"/>
      <c r="U18" s="706"/>
      <c r="V18" s="705"/>
      <c r="W18" s="706"/>
      <c r="X18" s="1355"/>
      <c r="Y18" s="381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5"/>
      <c r="Q19" s="1352" t="str">
        <f t="shared" ref="Q19:Q33" si="8">B19</f>
        <v>区域土地利用方向</v>
      </c>
      <c r="R19" s="705" t="s">
        <v>14</v>
      </c>
      <c r="S19" s="706">
        <f>F19</f>
        <v>100</v>
      </c>
      <c r="T19" s="705" t="s">
        <v>14</v>
      </c>
      <c r="U19" s="706">
        <f>H19</f>
        <v>100</v>
      </c>
      <c r="V19" s="705" t="s">
        <v>14</v>
      </c>
      <c r="W19" s="706">
        <f>J19</f>
        <v>100</v>
      </c>
      <c r="X19" s="1355"/>
      <c r="Y19" s="38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5"/>
      <c r="Q20" s="1352"/>
      <c r="R20" s="705"/>
      <c r="S20" s="706"/>
      <c r="T20" s="705"/>
      <c r="U20" s="706"/>
      <c r="V20" s="705"/>
      <c r="W20" s="706"/>
      <c r="X20" s="1355"/>
      <c r="Y20" s="381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5"/>
      <c r="Q21" s="1352" t="str">
        <f t="shared" si="8"/>
        <v>环境状况</v>
      </c>
      <c r="R21" s="705" t="s">
        <v>14</v>
      </c>
      <c r="S21" s="706">
        <f>F21</f>
        <v>100</v>
      </c>
      <c r="T21" s="705" t="s">
        <v>14</v>
      </c>
      <c r="U21" s="706">
        <f>H21</f>
        <v>100</v>
      </c>
      <c r="V21" s="705" t="s">
        <v>14</v>
      </c>
      <c r="W21" s="706">
        <f>J21</f>
        <v>100</v>
      </c>
      <c r="X21" s="1355"/>
      <c r="Y21" s="38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5"/>
      <c r="Q22" s="1352"/>
      <c r="R22" s="705"/>
      <c r="S22" s="706"/>
      <c r="T22" s="705"/>
      <c r="U22" s="706"/>
      <c r="V22" s="705"/>
      <c r="W22" s="706"/>
      <c r="X22" s="1355"/>
      <c r="Y22" s="381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5"/>
      <c r="Q23" s="1343" t="str">
        <f t="shared" si="8"/>
        <v>公共配套设施</v>
      </c>
      <c r="R23" s="701" t="s">
        <v>14</v>
      </c>
      <c r="S23" s="702">
        <f>F23</f>
        <v>100</v>
      </c>
      <c r="T23" s="701" t="s">
        <v>14</v>
      </c>
      <c r="U23" s="702">
        <f>H23</f>
        <v>100</v>
      </c>
      <c r="V23" s="701" t="s">
        <v>14</v>
      </c>
      <c r="W23" s="702">
        <f>J23</f>
        <v>100</v>
      </c>
      <c r="X23" s="703"/>
      <c r="Y23" s="381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15"/>
      <c r="Q24" s="1343"/>
      <c r="R24" s="701"/>
      <c r="S24" s="702"/>
      <c r="T24" s="701"/>
      <c r="U24" s="702"/>
      <c r="V24" s="701"/>
      <c r="W24" s="702"/>
      <c r="X24" s="703"/>
      <c r="Y24" s="381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5"/>
      <c r="Q25" s="1343" t="str">
        <f t="shared" ref="Q25" si="9">B25</f>
        <v>基础设施水平</v>
      </c>
      <c r="R25" s="701" t="s">
        <v>14</v>
      </c>
      <c r="S25" s="702">
        <f>F25</f>
        <v>100</v>
      </c>
      <c r="T25" s="701" t="s">
        <v>14</v>
      </c>
      <c r="U25" s="702">
        <f>H25</f>
        <v>100</v>
      </c>
      <c r="V25" s="701" t="s">
        <v>14</v>
      </c>
      <c r="W25" s="702">
        <f>J25</f>
        <v>100</v>
      </c>
      <c r="X25" s="703"/>
      <c r="Y25" s="381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15"/>
      <c r="Q26" s="1343"/>
      <c r="R26" s="701"/>
      <c r="S26" s="702"/>
      <c r="T26" s="701"/>
      <c r="U26" s="702"/>
      <c r="V26" s="701"/>
      <c r="W26" s="702"/>
      <c r="X26" s="703"/>
      <c r="Y26" s="381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5"/>
      <c r="Q28" s="1352" t="str">
        <f t="shared" si="8"/>
        <v>毗邻道路的类型与等级</v>
      </c>
      <c r="R28" s="705" t="s">
        <v>14</v>
      </c>
      <c r="S28" s="706">
        <f t="shared" si="10"/>
        <v>100</v>
      </c>
      <c r="T28" s="705" t="s">
        <v>14</v>
      </c>
      <c r="U28" s="706">
        <f t="shared" si="11"/>
        <v>100</v>
      </c>
      <c r="V28" s="705" t="s">
        <v>14</v>
      </c>
      <c r="W28" s="706">
        <f t="shared" si="12"/>
        <v>100</v>
      </c>
      <c r="X28" s="1355"/>
      <c r="Y28" s="38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5"/>
      <c r="Q29" s="1352"/>
      <c r="R29" s="705"/>
      <c r="S29" s="706"/>
      <c r="T29" s="705"/>
      <c r="U29" s="706"/>
      <c r="V29" s="705"/>
      <c r="W29" s="706"/>
      <c r="X29" s="1355"/>
      <c r="Y29" s="381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5"/>
      <c r="Q30" s="1352" t="str">
        <f t="shared" si="8"/>
        <v>土地级别</v>
      </c>
      <c r="R30" s="705" t="s">
        <v>14</v>
      </c>
      <c r="S30" s="706">
        <f t="shared" si="10"/>
        <v>100</v>
      </c>
      <c r="T30" s="705" t="s">
        <v>14</v>
      </c>
      <c r="U30" s="706">
        <f t="shared" si="11"/>
        <v>100</v>
      </c>
      <c r="V30" s="705" t="s">
        <v>14</v>
      </c>
      <c r="W30" s="706">
        <f t="shared" si="12"/>
        <v>100</v>
      </c>
      <c r="X30" s="1355"/>
      <c r="Y30" s="381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5"/>
      <c r="Q31" s="1352">
        <f t="shared" si="8"/>
        <v>111</v>
      </c>
      <c r="R31" s="705" t="s">
        <v>14</v>
      </c>
      <c r="S31" s="706">
        <f t="shared" si="10"/>
        <v>100</v>
      </c>
      <c r="T31" s="705" t="s">
        <v>14</v>
      </c>
      <c r="U31" s="706">
        <f t="shared" si="11"/>
        <v>100</v>
      </c>
      <c r="V31" s="705" t="s">
        <v>14</v>
      </c>
      <c r="W31" s="706">
        <f t="shared" si="12"/>
        <v>100</v>
      </c>
      <c r="X31" s="1355"/>
      <c r="Y31" s="381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4" t="s">
        <v>1691</v>
      </c>
      <c r="Q32" s="1352">
        <f t="shared" si="8"/>
        <v>111</v>
      </c>
      <c r="R32" s="705" t="s">
        <v>14</v>
      </c>
      <c r="S32" s="706">
        <f t="shared" si="10"/>
        <v>100</v>
      </c>
      <c r="T32" s="705" t="s">
        <v>14</v>
      </c>
      <c r="U32" s="706">
        <f t="shared" si="11"/>
        <v>100</v>
      </c>
      <c r="V32" s="705" t="s">
        <v>14</v>
      </c>
      <c r="W32" s="706">
        <f t="shared" si="12"/>
        <v>100</v>
      </c>
      <c r="X32" s="1355"/>
      <c r="Y32" s="381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9"/>
      <c r="Q33" s="1352">
        <f t="shared" si="8"/>
        <v>111</v>
      </c>
      <c r="R33" s="708" t="s">
        <v>14</v>
      </c>
      <c r="S33" s="709">
        <f t="shared" si="10"/>
        <v>100</v>
      </c>
      <c r="T33" s="708" t="s">
        <v>14</v>
      </c>
      <c r="U33" s="709">
        <f t="shared" si="11"/>
        <v>100</v>
      </c>
      <c r="V33" s="708" t="s">
        <v>14</v>
      </c>
      <c r="W33" s="709">
        <f t="shared" si="12"/>
        <v>100</v>
      </c>
      <c r="X33" s="710"/>
      <c r="Y33" s="381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9"/>
      <c r="Q34" s="1352" t="str">
        <f>B34</f>
        <v>宗地面积</v>
      </c>
      <c r="R34" s="705" t="s">
        <v>14</v>
      </c>
      <c r="S34" s="706" t="e">
        <f t="shared" si="10"/>
        <v>#N/A</v>
      </c>
      <c r="T34" s="705" t="s">
        <v>14</v>
      </c>
      <c r="U34" s="706" t="e">
        <f t="shared" si="11"/>
        <v>#N/A</v>
      </c>
      <c r="V34" s="705" t="s">
        <v>14</v>
      </c>
      <c r="W34" s="706" t="e">
        <f t="shared" si="12"/>
        <v>#N/A</v>
      </c>
      <c r="X34" s="1355"/>
      <c r="Y34" s="381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9"/>
      <c r="Q35" s="1352" t="str">
        <f t="shared" ref="Q35:Q40" si="14">B35</f>
        <v>宗地形状</v>
      </c>
      <c r="R35" s="705" t="s">
        <v>14</v>
      </c>
      <c r="S35" s="706">
        <f t="shared" si="10"/>
        <v>100</v>
      </c>
      <c r="T35" s="705" t="s">
        <v>14</v>
      </c>
      <c r="U35" s="706">
        <f t="shared" si="11"/>
        <v>100</v>
      </c>
      <c r="V35" s="705" t="s">
        <v>14</v>
      </c>
      <c r="W35" s="706">
        <f t="shared" si="12"/>
        <v>100</v>
      </c>
      <c r="X35" s="1355"/>
      <c r="Y35" s="381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19"/>
      <c r="Q36" s="1352" t="str">
        <f t="shared" si="14"/>
        <v>宗地开发程度</v>
      </c>
      <c r="R36" s="701" t="s">
        <v>14</v>
      </c>
      <c r="S36" s="702">
        <f t="shared" si="10"/>
        <v>100</v>
      </c>
      <c r="T36" s="701" t="s">
        <v>14</v>
      </c>
      <c r="U36" s="702">
        <f t="shared" si="11"/>
        <v>100</v>
      </c>
      <c r="V36" s="701" t="s">
        <v>14</v>
      </c>
      <c r="W36" s="702">
        <f t="shared" si="12"/>
        <v>100</v>
      </c>
      <c r="X36" s="703"/>
      <c r="Y36" s="381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9" t="s">
        <v>1691</v>
      </c>
      <c r="Q37" s="1352" t="str">
        <f t="shared" si="14"/>
        <v>工程地质条件</v>
      </c>
      <c r="R37" s="705" t="s">
        <v>14</v>
      </c>
      <c r="S37" s="706">
        <f t="shared" si="10"/>
        <v>100</v>
      </c>
      <c r="T37" s="705" t="s">
        <v>14</v>
      </c>
      <c r="U37" s="706">
        <f t="shared" si="11"/>
        <v>100</v>
      </c>
      <c r="V37" s="705" t="s">
        <v>14</v>
      </c>
      <c r="W37" s="706">
        <f t="shared" si="12"/>
        <v>100</v>
      </c>
      <c r="X37" s="1355"/>
      <c r="Y37" s="381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9"/>
      <c r="Q38" s="1352">
        <f t="shared" si="14"/>
        <v>111</v>
      </c>
      <c r="R38" s="705" t="s">
        <v>14</v>
      </c>
      <c r="S38" s="706">
        <f t="shared" si="10"/>
        <v>100</v>
      </c>
      <c r="T38" s="705" t="s">
        <v>14</v>
      </c>
      <c r="U38" s="706">
        <f t="shared" si="11"/>
        <v>100</v>
      </c>
      <c r="V38" s="705" t="s">
        <v>14</v>
      </c>
      <c r="W38" s="706">
        <f t="shared" si="12"/>
        <v>100</v>
      </c>
      <c r="X38" s="1355"/>
      <c r="Y38" s="38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9"/>
      <c r="Q39" s="1352">
        <f t="shared" si="14"/>
        <v>111</v>
      </c>
      <c r="R39" s="705" t="s">
        <v>14</v>
      </c>
      <c r="S39" s="706">
        <f t="shared" si="10"/>
        <v>100</v>
      </c>
      <c r="T39" s="705" t="s">
        <v>14</v>
      </c>
      <c r="U39" s="706">
        <f t="shared" si="11"/>
        <v>100</v>
      </c>
      <c r="V39" s="705" t="s">
        <v>14</v>
      </c>
      <c r="W39" s="706">
        <f t="shared" si="12"/>
        <v>100</v>
      </c>
      <c r="X39" s="1355"/>
      <c r="Y39" s="381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9"/>
      <c r="Q40" s="1352">
        <f t="shared" si="14"/>
        <v>111</v>
      </c>
      <c r="R40" s="708" t="s">
        <v>14</v>
      </c>
      <c r="S40" s="709">
        <f t="shared" si="10"/>
        <v>100</v>
      </c>
      <c r="T40" s="708" t="s">
        <v>14</v>
      </c>
      <c r="U40" s="709">
        <f t="shared" si="11"/>
        <v>100</v>
      </c>
      <c r="V40" s="708" t="s">
        <v>14</v>
      </c>
      <c r="W40" s="709">
        <f t="shared" si="12"/>
        <v>100</v>
      </c>
      <c r="X40" s="710"/>
      <c r="Y40" s="381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07" t="str">
        <f>A41</f>
        <v>成交单价</v>
      </c>
      <c r="Q41" s="3807"/>
      <c r="R41" s="3821">
        <f>E41</f>
        <v>0</v>
      </c>
      <c r="S41" s="3821"/>
      <c r="T41" s="3821">
        <f>G41</f>
        <v>0</v>
      </c>
      <c r="U41" s="3821"/>
      <c r="V41" s="3821">
        <f>I41</f>
        <v>0</v>
      </c>
      <c r="W41" s="3821"/>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07" t="str">
        <f>A42</f>
        <v>比较价值（元/平方米）</v>
      </c>
      <c r="Q42" s="3807"/>
      <c r="R42" s="3876" t="e">
        <f>ROUND(PRODUCT(R41,AA7:AA40),0)</f>
        <v>#DIV/0!</v>
      </c>
      <c r="S42" s="3876"/>
      <c r="T42" s="3876" t="e">
        <f>ROUND(PRODUCT(T41,AB7:AB40),0)</f>
        <v>#DIV/0!</v>
      </c>
      <c r="U42" s="3876"/>
      <c r="V42" s="3876" t="e">
        <f>ROUND(PRODUCT(V41,AC7:AC40),0)</f>
        <v>#DIV/0!</v>
      </c>
      <c r="W42" s="3876"/>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09" t="str">
        <f>A43</f>
        <v>估价对象XX用房的比较价值（楼面单价，元/平方米）</v>
      </c>
      <c r="Q43" s="3810"/>
      <c r="R43" s="3877" t="e">
        <f>ROUND(IF(D42="简单平均",AVERAGE(R42:W42),R42*F42+T42*H42+V42*J42),0)</f>
        <v>#DIV/0!</v>
      </c>
      <c r="S43" s="3877"/>
      <c r="T43" s="3877"/>
      <c r="U43" s="3877"/>
      <c r="V43" s="3877"/>
      <c r="W43" s="387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6" t="s">
        <v>1879</v>
      </c>
      <c r="H50" s="3878"/>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2"/>
      <c r="H51" s="380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4" t="s">
        <v>2076</v>
      </c>
      <c r="D1" s="3935"/>
      <c r="E1" s="3935"/>
      <c r="F1" s="3935"/>
      <c r="G1" s="3935"/>
      <c r="H1" s="3935"/>
      <c r="I1" s="3935"/>
      <c r="J1" s="3935"/>
      <c r="K1" s="3935"/>
      <c r="L1" s="3935"/>
      <c r="M1" s="3935"/>
      <c r="N1" s="3935"/>
      <c r="O1" s="3935"/>
      <c r="P1" s="3935"/>
      <c r="Q1" s="3935"/>
      <c r="R1" s="3935"/>
      <c r="S1" s="393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1" t="s">
        <v>23</v>
      </c>
      <c r="D22" s="3932"/>
      <c r="E22" s="3932"/>
      <c r="F22" s="3932"/>
      <c r="G22" s="3932"/>
      <c r="H22" s="3932"/>
      <c r="I22" s="3932"/>
      <c r="J22" s="3932"/>
      <c r="K22" s="3932"/>
      <c r="L22" s="3932"/>
      <c r="M22" s="3932"/>
      <c r="N22" s="3932"/>
      <c r="O22" s="3932"/>
      <c r="P22" s="3932"/>
      <c r="Q22" s="393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估价结果一览表（市场价值不需“结果表-1”）</v>
      </c>
      <c r="B3" s="3584"/>
      <c r="C3" s="3584"/>
      <c r="D3" s="3584"/>
      <c r="E3" s="3584"/>
    </row>
    <row r="4" spans="1:5" ht="19.5" thickBot="1">
      <c r="A4" s="1493"/>
      <c r="B4" s="3582" t="s">
        <v>913</v>
      </c>
      <c r="C4" s="3582"/>
      <c r="D4" s="3582"/>
      <c r="E4" s="1493"/>
    </row>
    <row r="5" spans="1:5" ht="16.5" thickTop="1">
      <c r="A5" s="1491"/>
      <c r="B5" s="3580" t="s">
        <v>905</v>
      </c>
      <c r="C5" s="1494" t="s">
        <v>906</v>
      </c>
      <c r="D5" s="850" t="e">
        <f ca="1">结果表!H101</f>
        <v>#REF!</v>
      </c>
      <c r="E5" s="1491"/>
    </row>
    <row r="6" spans="1:5" ht="15.75">
      <c r="A6" s="1491"/>
      <c r="B6" s="3580"/>
      <c r="C6" s="1494" t="s">
        <v>907</v>
      </c>
      <c r="D6" s="850" t="e">
        <f ca="1">NUMBERSTRING(INT(D5*10000),2)&amp;"元整"</f>
        <v>#REF!</v>
      </c>
      <c r="E6" s="1491"/>
    </row>
    <row r="7" spans="1:5" ht="15.75">
      <c r="A7" s="1491"/>
      <c r="B7" s="3585"/>
      <c r="C7" s="1495" t="s">
        <v>908</v>
      </c>
      <c r="D7" s="851" t="e">
        <f ca="1">结果表!H102</f>
        <v>#REF!</v>
      </c>
      <c r="E7" s="1491"/>
    </row>
    <row r="8" spans="1:5" ht="15.75">
      <c r="A8" s="1491"/>
      <c r="B8" s="3586" t="str">
        <f>结果表!E103</f>
        <v>2.估价师知悉的法定优先受偿款</v>
      </c>
      <c r="C8" s="1496" t="s">
        <v>909</v>
      </c>
      <c r="D8" s="851">
        <f>结果表!H103</f>
        <v>0</v>
      </c>
      <c r="E8" s="1491"/>
    </row>
    <row r="9" spans="1:5" ht="15.75">
      <c r="A9" s="1491"/>
      <c r="B9" s="358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9" t="str">
        <f>结果表!E107</f>
        <v>3.房地产抵押价值</v>
      </c>
      <c r="C13" s="1499" t="s">
        <v>906</v>
      </c>
      <c r="D13" s="853" t="e">
        <f ca="1">结果表!H107</f>
        <v>#REF!</v>
      </c>
      <c r="E13" s="1491"/>
    </row>
    <row r="14" spans="1:5" ht="15.75">
      <c r="A14" s="1491"/>
      <c r="B14" s="3580"/>
      <c r="C14" s="1494" t="s">
        <v>907</v>
      </c>
      <c r="D14" s="850" t="e">
        <f ca="1">NUMBERSTRING(INT(D13*10000),2)&amp;"元整"</f>
        <v>#REF!</v>
      </c>
      <c r="E14" s="1491"/>
    </row>
    <row r="15" spans="1:5" ht="15">
      <c r="A15" s="1491"/>
      <c r="B15" s="3585"/>
      <c r="C15" s="1495" t="s">
        <v>917</v>
      </c>
      <c r="D15" s="859" t="e">
        <f ca="1">结果表!H108</f>
        <v>#REF!</v>
      </c>
      <c r="E15" s="1491"/>
    </row>
    <row r="16" spans="1:5" ht="15">
      <c r="A16" s="1491"/>
      <c r="B16" s="3586" t="str">
        <f>结果表!E109</f>
        <v>——</v>
      </c>
      <c r="C16" s="1499" t="s">
        <v>918</v>
      </c>
      <c r="D16" s="1500" t="str">
        <f>结果表!H109</f>
        <v>——</v>
      </c>
      <c r="E16" s="1491"/>
    </row>
    <row r="17" spans="1:5" ht="15.75">
      <c r="A17" s="1491"/>
      <c r="B17" s="3587"/>
      <c r="C17" s="1494" t="s">
        <v>919</v>
      </c>
      <c r="D17" s="850" t="e">
        <f>NUMBERSTRING(INT(D16*10000),2)&amp;"元整"</f>
        <v>#VALUE!</v>
      </c>
      <c r="E17" s="1491"/>
    </row>
    <row r="18" spans="1:5" ht="15">
      <c r="A18" s="1491"/>
      <c r="B18" s="3588"/>
      <c r="C18" s="1495" t="s">
        <v>908</v>
      </c>
      <c r="D18" s="859" t="str">
        <f>结果表!H110</f>
        <v>——</v>
      </c>
      <c r="E18" s="1491"/>
    </row>
    <row r="19" spans="1:5" ht="15.75">
      <c r="A19" s="1491"/>
      <c r="B19" s="3579" t="str">
        <f>结果表!E111</f>
        <v>——</v>
      </c>
      <c r="C19" s="1499" t="s">
        <v>906</v>
      </c>
      <c r="D19" s="851" t="str">
        <f>结果表!H111</f>
        <v>——</v>
      </c>
      <c r="E19" s="1491"/>
    </row>
    <row r="20" spans="1:5" ht="15.75">
      <c r="A20" s="1491"/>
      <c r="B20" s="3580"/>
      <c r="C20" s="1494" t="s">
        <v>919</v>
      </c>
      <c r="D20" s="850" t="e">
        <f>NUMBERSTRING(INT(D19*10000),2)&amp;"元整"</f>
        <v>#VALUE!</v>
      </c>
      <c r="E20" s="1491"/>
    </row>
    <row r="21" spans="1:5" ht="15.75" thickBot="1">
      <c r="A21" s="1491"/>
      <c r="B21" s="358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4"/>
      <c r="B4" s="3945"/>
      <c r="C4" s="3945"/>
      <c r="D4" s="3946"/>
      <c r="E4" s="3946"/>
      <c r="F4" s="3946"/>
      <c r="G4" s="3946"/>
      <c r="H4" s="3946"/>
      <c r="I4" s="3946"/>
      <c r="J4" s="394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1" t="s">
        <v>1952</v>
      </c>
      <c r="X8" s="394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3"/>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8" t="s">
        <v>3254</v>
      </c>
      <c r="B20" s="167" t="s">
        <v>1986</v>
      </c>
      <c r="C20" s="3320" t="e">
        <f>ROUND(IF(F21="与级别开发程度一致",0,(G21-E21)/C21),0)</f>
        <v>#DIV/0!</v>
      </c>
      <c r="D20" s="3336" t="s">
        <v>1990</v>
      </c>
      <c r="E20" s="3337"/>
      <c r="F20" s="3954" t="s">
        <v>1987</v>
      </c>
      <c r="G20" s="3955"/>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50" t="s">
        <v>3294</v>
      </c>
      <c r="B103" s="3950"/>
      <c r="C103" s="3950"/>
      <c r="D103" s="3950"/>
      <c r="E103" s="3950"/>
      <c r="F103" s="3950"/>
      <c r="G103" s="3950"/>
      <c r="H103" s="3950"/>
      <c r="I103" s="3950"/>
      <c r="J103" s="3950"/>
      <c r="K103" s="3385"/>
      <c r="L103" s="3385"/>
      <c r="M103" s="3385"/>
      <c r="N103" s="3385"/>
    </row>
    <row r="104" spans="1:14">
      <c r="A104" s="3951" t="s">
        <v>3295</v>
      </c>
      <c r="B104" s="3951" t="s">
        <v>3296</v>
      </c>
      <c r="C104" s="3386" t="s">
        <v>3297</v>
      </c>
      <c r="D104" s="3387"/>
      <c r="E104" s="3387"/>
      <c r="F104" s="3387"/>
      <c r="G104" s="3387"/>
      <c r="H104" s="3387"/>
      <c r="I104" s="3387"/>
      <c r="J104" s="3388"/>
      <c r="K104" s="3389"/>
      <c r="L104" s="3389"/>
      <c r="M104" s="3389"/>
      <c r="N104" s="3389"/>
    </row>
    <row r="105" spans="1:14">
      <c r="A105" s="3951"/>
      <c r="B105" s="3951"/>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7"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8"/>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40" t="s">
        <v>3311</v>
      </c>
      <c r="B113" s="3940"/>
      <c r="C113" s="3940"/>
      <c r="D113" s="3940"/>
      <c r="E113" s="3940"/>
      <c r="F113" s="3940"/>
      <c r="G113" s="3940"/>
      <c r="H113" s="3940"/>
      <c r="I113" s="3940"/>
      <c r="J113" s="394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5" t="s">
        <v>2603</v>
      </c>
      <c r="B20" s="3960" t="s">
        <v>2624</v>
      </c>
      <c r="C20" s="3098" t="s">
        <v>2435</v>
      </c>
      <c r="D20" s="3099"/>
      <c r="E20" s="3100">
        <v>1</v>
      </c>
      <c r="F20" s="3101" t="s">
        <v>2436</v>
      </c>
      <c r="G20" s="3101"/>
    </row>
    <row r="21" spans="1:13" ht="19.5" customHeight="1">
      <c r="A21" s="3966"/>
      <c r="B21" s="3959"/>
      <c r="C21" s="3102" t="s">
        <v>2437</v>
      </c>
      <c r="D21" s="3103"/>
      <c r="E21" s="3104">
        <v>1</v>
      </c>
      <c r="F21" s="3101" t="s">
        <v>2438</v>
      </c>
      <c r="G21" s="3101"/>
    </row>
    <row r="22" spans="1:13" ht="19.5" customHeight="1">
      <c r="A22" s="3966"/>
      <c r="B22" s="3959"/>
      <c r="C22" s="3102" t="s">
        <v>2439</v>
      </c>
      <c r="D22" s="3103"/>
      <c r="E22" s="3104">
        <v>0.9</v>
      </c>
      <c r="F22" s="3101" t="s">
        <v>2440</v>
      </c>
      <c r="G22" s="3101"/>
    </row>
    <row r="23" spans="1:13" ht="19.5" customHeight="1">
      <c r="A23" s="3966"/>
      <c r="B23" s="3959"/>
      <c r="C23" s="3102" t="s">
        <v>2441</v>
      </c>
      <c r="D23" s="3103"/>
      <c r="E23" s="3104">
        <v>0.9</v>
      </c>
      <c r="F23" s="3101" t="s">
        <v>2442</v>
      </c>
      <c r="G23" s="3101"/>
    </row>
    <row r="24" spans="1:13" ht="19.5" customHeight="1">
      <c r="A24" s="3966"/>
      <c r="B24" s="3959"/>
      <c r="C24" s="3102" t="s">
        <v>2443</v>
      </c>
      <c r="D24" s="3103"/>
      <c r="E24" s="3104">
        <v>0.8</v>
      </c>
      <c r="F24" s="3101" t="s">
        <v>2444</v>
      </c>
      <c r="G24" s="3101"/>
    </row>
    <row r="25" spans="1:13" ht="19.5" customHeight="1" thickBot="1">
      <c r="A25" s="3967"/>
      <c r="B25" s="3961"/>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62" t="s">
        <v>2627</v>
      </c>
      <c r="B27" s="3960" t="s">
        <v>2608</v>
      </c>
      <c r="C27" s="3098" t="s">
        <v>2448</v>
      </c>
      <c r="D27" s="3099"/>
      <c r="E27" s="3100">
        <v>1</v>
      </c>
      <c r="F27" s="3101" t="s">
        <v>2449</v>
      </c>
      <c r="G27" s="3101"/>
    </row>
    <row r="28" spans="1:13" ht="19.5" customHeight="1">
      <c r="A28" s="3963"/>
      <c r="B28" s="3959"/>
      <c r="C28" s="3102" t="s">
        <v>2450</v>
      </c>
      <c r="D28" s="3103"/>
      <c r="E28" s="3104">
        <v>1</v>
      </c>
      <c r="F28" s="3101" t="s">
        <v>2451</v>
      </c>
      <c r="G28" s="3101"/>
    </row>
    <row r="29" spans="1:13" ht="19.5" customHeight="1">
      <c r="A29" s="3963"/>
      <c r="B29" s="3959"/>
      <c r="C29" s="3102" t="s">
        <v>2452</v>
      </c>
      <c r="D29" s="3103"/>
      <c r="E29" s="3104">
        <v>0.8</v>
      </c>
      <c r="F29" s="3101" t="s">
        <v>2453</v>
      </c>
      <c r="G29" s="3101"/>
    </row>
    <row r="30" spans="1:13" ht="19.5" customHeight="1">
      <c r="A30" s="3963"/>
      <c r="B30" s="3959"/>
      <c r="C30" s="3102" t="s">
        <v>2454</v>
      </c>
      <c r="D30" s="3103"/>
      <c r="E30" s="3104">
        <v>0.8</v>
      </c>
      <c r="F30" s="3101" t="s">
        <v>2455</v>
      </c>
      <c r="G30" s="3101"/>
    </row>
    <row r="31" spans="1:13" ht="19.5" customHeight="1">
      <c r="A31" s="3963"/>
      <c r="B31" s="3959"/>
      <c r="C31" s="3102" t="s">
        <v>2456</v>
      </c>
      <c r="D31" s="3103"/>
      <c r="E31" s="3104">
        <v>0.8</v>
      </c>
      <c r="F31" s="3101" t="s">
        <v>2457</v>
      </c>
      <c r="G31" s="3101"/>
    </row>
    <row r="32" spans="1:13" ht="19.5" customHeight="1">
      <c r="A32" s="3963"/>
      <c r="B32" s="3959"/>
      <c r="C32" s="3102" t="s">
        <v>2458</v>
      </c>
      <c r="D32" s="3103"/>
      <c r="E32" s="3104">
        <v>0.7</v>
      </c>
      <c r="F32" s="3101" t="s">
        <v>2459</v>
      </c>
      <c r="G32" s="3101"/>
    </row>
    <row r="33" spans="1:7" ht="19.5" customHeight="1">
      <c r="A33" s="3963"/>
      <c r="B33" s="3959"/>
      <c r="C33" s="3102" t="s">
        <v>2460</v>
      </c>
      <c r="D33" s="3103"/>
      <c r="E33" s="3104">
        <v>0.8</v>
      </c>
      <c r="F33" s="3101" t="s">
        <v>2461</v>
      </c>
      <c r="G33" s="3101"/>
    </row>
    <row r="34" spans="1:7" ht="19.5" customHeight="1">
      <c r="A34" s="3963"/>
      <c r="B34" s="3959"/>
      <c r="C34" s="3102" t="s">
        <v>2462</v>
      </c>
      <c r="D34" s="3103"/>
      <c r="E34" s="3104">
        <v>0.6</v>
      </c>
      <c r="F34" s="3101" t="s">
        <v>2463</v>
      </c>
      <c r="G34" s="3101"/>
    </row>
    <row r="35" spans="1:7" ht="19.5" customHeight="1">
      <c r="A35" s="3963"/>
      <c r="B35" s="3959"/>
      <c r="C35" s="3102" t="s">
        <v>2464</v>
      </c>
      <c r="D35" s="3103"/>
      <c r="E35" s="3104">
        <v>0.2</v>
      </c>
      <c r="F35" s="3101" t="s">
        <v>2465</v>
      </c>
      <c r="G35" s="3101"/>
    </row>
    <row r="36" spans="1:7" ht="19.5" customHeight="1">
      <c r="A36" s="3963"/>
      <c r="B36" s="3959"/>
      <c r="C36" s="3102" t="s">
        <v>2466</v>
      </c>
      <c r="D36" s="3103"/>
      <c r="E36" s="3104">
        <v>0.2</v>
      </c>
      <c r="F36" s="3101" t="s">
        <v>2467</v>
      </c>
      <c r="G36" s="3101"/>
    </row>
    <row r="37" spans="1:7" ht="19.5" customHeight="1">
      <c r="A37" s="3963"/>
      <c r="B37" s="3957" t="s">
        <v>2628</v>
      </c>
      <c r="C37" s="3102" t="s">
        <v>2468</v>
      </c>
      <c r="D37" s="3103"/>
      <c r="E37" s="3104">
        <v>0.6</v>
      </c>
      <c r="F37" s="3101" t="s">
        <v>2469</v>
      </c>
      <c r="G37" s="3101"/>
    </row>
    <row r="38" spans="1:7" ht="19.5" customHeight="1">
      <c r="A38" s="3963"/>
      <c r="B38" s="3959"/>
      <c r="C38" s="3102" t="s">
        <v>2470</v>
      </c>
      <c r="D38" s="3103"/>
      <c r="E38" s="3104">
        <v>0.6</v>
      </c>
      <c r="F38" s="3101" t="s">
        <v>2471</v>
      </c>
      <c r="G38" s="3101"/>
    </row>
    <row r="39" spans="1:7" ht="19.5" customHeight="1" thickBot="1">
      <c r="A39" s="3964"/>
      <c r="B39" s="3961"/>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5" t="s">
        <v>2606</v>
      </c>
      <c r="B41" s="3960" t="s">
        <v>2630</v>
      </c>
      <c r="C41" s="3098" t="s">
        <v>2475</v>
      </c>
      <c r="D41" s="3099"/>
      <c r="E41" s="3100">
        <v>1</v>
      </c>
      <c r="F41" s="3101" t="s">
        <v>2476</v>
      </c>
      <c r="G41" s="3101"/>
    </row>
    <row r="42" spans="1:7" ht="19.5" customHeight="1">
      <c r="A42" s="3966"/>
      <c r="B42" s="3959"/>
      <c r="C42" s="3102" t="s">
        <v>2477</v>
      </c>
      <c r="D42" s="3103"/>
      <c r="E42" s="3104">
        <v>1</v>
      </c>
      <c r="F42" s="3101" t="s">
        <v>2478</v>
      </c>
      <c r="G42" s="3101"/>
    </row>
    <row r="43" spans="1:7" ht="19.5" customHeight="1">
      <c r="A43" s="3966"/>
      <c r="B43" s="3958"/>
      <c r="C43" s="3102" t="s">
        <v>2479</v>
      </c>
      <c r="D43" s="3103"/>
      <c r="E43" s="3104">
        <v>1.5</v>
      </c>
      <c r="F43" s="3101" t="s">
        <v>2480</v>
      </c>
      <c r="G43" s="3101"/>
    </row>
    <row r="44" spans="1:7" ht="19.5" customHeight="1">
      <c r="A44" s="3966"/>
      <c r="B44" s="3113" t="s">
        <v>2631</v>
      </c>
      <c r="C44" s="3102" t="s">
        <v>2632</v>
      </c>
      <c r="D44" s="3103"/>
      <c r="E44" s="3104">
        <v>2</v>
      </c>
      <c r="F44" s="3101" t="s">
        <v>2481</v>
      </c>
      <c r="G44" s="3101"/>
    </row>
    <row r="45" spans="1:7" ht="19.5" customHeight="1">
      <c r="A45" s="3966"/>
      <c r="B45" s="3957" t="s">
        <v>2633</v>
      </c>
      <c r="C45" s="3102" t="s">
        <v>2482</v>
      </c>
      <c r="D45" s="3103"/>
      <c r="E45" s="3104">
        <v>1</v>
      </c>
      <c r="F45" s="3101" t="s">
        <v>2483</v>
      </c>
      <c r="G45" s="3101"/>
    </row>
    <row r="46" spans="1:7" ht="19.5" customHeight="1">
      <c r="A46" s="3966"/>
      <c r="B46" s="3959"/>
      <c r="C46" s="3102" t="s">
        <v>2484</v>
      </c>
      <c r="D46" s="3103"/>
      <c r="E46" s="3104">
        <v>1</v>
      </c>
      <c r="F46" s="3101" t="s">
        <v>2485</v>
      </c>
      <c r="G46" s="3101"/>
    </row>
    <row r="47" spans="1:7" ht="19.5" customHeight="1">
      <c r="A47" s="3966"/>
      <c r="B47" s="3959"/>
      <c r="C47" s="3102" t="s">
        <v>2486</v>
      </c>
      <c r="D47" s="3103"/>
      <c r="E47" s="3104">
        <v>1</v>
      </c>
      <c r="F47" s="3101" t="s">
        <v>2487</v>
      </c>
      <c r="G47" s="3101"/>
    </row>
    <row r="48" spans="1:7" ht="19.5" customHeight="1">
      <c r="A48" s="3966"/>
      <c r="B48" s="3959"/>
      <c r="C48" s="3102" t="s">
        <v>2488</v>
      </c>
      <c r="D48" s="3103"/>
      <c r="E48" s="3104">
        <v>1</v>
      </c>
      <c r="F48" s="3101" t="s">
        <v>2489</v>
      </c>
      <c r="G48" s="3101"/>
    </row>
    <row r="49" spans="1:7" ht="19.5" customHeight="1">
      <c r="A49" s="3966"/>
      <c r="B49" s="3959"/>
      <c r="C49" s="3102" t="s">
        <v>2490</v>
      </c>
      <c r="D49" s="3103"/>
      <c r="E49" s="3104">
        <v>1</v>
      </c>
      <c r="F49" s="3101" t="s">
        <v>2491</v>
      </c>
      <c r="G49" s="3101"/>
    </row>
    <row r="50" spans="1:7" ht="19.5" customHeight="1">
      <c r="A50" s="3966"/>
      <c r="B50" s="3959"/>
      <c r="C50" s="3102" t="s">
        <v>2492</v>
      </c>
      <c r="D50" s="3103"/>
      <c r="E50" s="3104">
        <v>1</v>
      </c>
      <c r="F50" s="3101" t="s">
        <v>2493</v>
      </c>
      <c r="G50" s="3101"/>
    </row>
    <row r="51" spans="1:7" ht="19.5" customHeight="1" thickBot="1">
      <c r="A51" s="3967"/>
      <c r="B51" s="3961"/>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57" t="s">
        <v>2647</v>
      </c>
      <c r="C73" s="3087" t="s">
        <v>2648</v>
      </c>
      <c r="D73" s="3087" t="s">
        <v>2649</v>
      </c>
      <c r="E73" s="3113">
        <v>0.2</v>
      </c>
      <c r="F73" s="3113">
        <v>25</v>
      </c>
    </row>
    <row r="74" spans="1:7" ht="24">
      <c r="A74" s="3113">
        <v>2</v>
      </c>
      <c r="B74" s="3959"/>
      <c r="C74" s="3087" t="s">
        <v>2650</v>
      </c>
      <c r="D74" s="3087" t="s">
        <v>2651</v>
      </c>
      <c r="E74" s="3113">
        <v>0.2</v>
      </c>
      <c r="F74" s="3113">
        <v>25</v>
      </c>
    </row>
    <row r="75" spans="1:7" ht="24">
      <c r="A75" s="3113">
        <v>3</v>
      </c>
      <c r="B75" s="3959"/>
      <c r="C75" s="3087" t="s">
        <v>2652</v>
      </c>
      <c r="D75" s="3087" t="s">
        <v>2653</v>
      </c>
      <c r="E75" s="3113">
        <v>0.2</v>
      </c>
      <c r="F75" s="3113">
        <v>25</v>
      </c>
    </row>
    <row r="76" spans="1:7" ht="13.5">
      <c r="A76" s="3113">
        <v>4</v>
      </c>
      <c r="B76" s="3959"/>
      <c r="C76" s="3087" t="s">
        <v>2654</v>
      </c>
      <c r="D76" s="3087" t="s">
        <v>2655</v>
      </c>
      <c r="E76" s="3113">
        <v>0.15</v>
      </c>
      <c r="F76" s="3113">
        <v>20</v>
      </c>
    </row>
    <row r="77" spans="1:7" ht="24">
      <c r="A77" s="3113">
        <v>5</v>
      </c>
      <c r="B77" s="3959"/>
      <c r="C77" s="3087" t="s">
        <v>2656</v>
      </c>
      <c r="D77" s="3087" t="s">
        <v>2657</v>
      </c>
      <c r="E77" s="3113">
        <v>0.15</v>
      </c>
      <c r="F77" s="3113">
        <v>20</v>
      </c>
    </row>
    <row r="78" spans="1:7" ht="24">
      <c r="A78" s="3113">
        <v>6</v>
      </c>
      <c r="B78" s="3959"/>
      <c r="C78" s="3087" t="s">
        <v>2658</v>
      </c>
      <c r="D78" s="3087" t="s">
        <v>2659</v>
      </c>
      <c r="E78" s="3113">
        <v>0.15</v>
      </c>
      <c r="F78" s="3113">
        <v>20</v>
      </c>
    </row>
    <row r="79" spans="1:7" ht="24">
      <c r="A79" s="3113">
        <v>7</v>
      </c>
      <c r="B79" s="3959"/>
      <c r="C79" s="3087" t="s">
        <v>2660</v>
      </c>
      <c r="D79" s="3087" t="s">
        <v>2661</v>
      </c>
      <c r="E79" s="3113">
        <v>0.15</v>
      </c>
      <c r="F79" s="3113">
        <v>20</v>
      </c>
    </row>
    <row r="80" spans="1:7" ht="24">
      <c r="A80" s="3113">
        <v>8</v>
      </c>
      <c r="B80" s="3959"/>
      <c r="C80" s="3087" t="s">
        <v>2662</v>
      </c>
      <c r="D80" s="3087" t="s">
        <v>2663</v>
      </c>
      <c r="E80" s="3113">
        <v>0.1</v>
      </c>
      <c r="F80" s="3113">
        <v>15</v>
      </c>
    </row>
    <row r="81" spans="1:6" ht="24">
      <c r="A81" s="3113">
        <v>9</v>
      </c>
      <c r="B81" s="3959"/>
      <c r="C81" s="3087" t="s">
        <v>2664</v>
      </c>
      <c r="D81" s="3087" t="s">
        <v>2665</v>
      </c>
      <c r="E81" s="3113">
        <v>0.1</v>
      </c>
      <c r="F81" s="3113">
        <v>15</v>
      </c>
    </row>
    <row r="82" spans="1:6" ht="24">
      <c r="A82" s="3113">
        <v>10</v>
      </c>
      <c r="B82" s="3959"/>
      <c r="C82" s="3087" t="s">
        <v>2666</v>
      </c>
      <c r="D82" s="3087" t="s">
        <v>2667</v>
      </c>
      <c r="E82" s="3113">
        <v>0.1</v>
      </c>
      <c r="F82" s="3113">
        <v>15</v>
      </c>
    </row>
    <row r="83" spans="1:6" ht="24">
      <c r="A83" s="3113">
        <v>11</v>
      </c>
      <c r="B83" s="3959"/>
      <c r="C83" s="3087" t="s">
        <v>2668</v>
      </c>
      <c r="D83" s="3087" t="s">
        <v>2669</v>
      </c>
      <c r="E83" s="3113">
        <v>0.1</v>
      </c>
      <c r="F83" s="3113">
        <v>15</v>
      </c>
    </row>
    <row r="84" spans="1:6" ht="24">
      <c r="A84" s="3113">
        <v>12</v>
      </c>
      <c r="B84" s="3959"/>
      <c r="C84" s="3087" t="s">
        <v>2670</v>
      </c>
      <c r="D84" s="3087" t="s">
        <v>2671</v>
      </c>
      <c r="E84" s="3113">
        <v>0.1</v>
      </c>
      <c r="F84" s="3113">
        <v>15</v>
      </c>
    </row>
    <row r="85" spans="1:6" ht="13.5">
      <c r="A85" s="3113">
        <v>13</v>
      </c>
      <c r="B85" s="3959"/>
      <c r="C85" s="3087" t="s">
        <v>2672</v>
      </c>
      <c r="D85" s="3087" t="s">
        <v>2673</v>
      </c>
      <c r="E85" s="3113">
        <v>0.1</v>
      </c>
      <c r="F85" s="3113">
        <v>15</v>
      </c>
    </row>
    <row r="86" spans="1:6" ht="13.5">
      <c r="A86" s="3113">
        <v>14</v>
      </c>
      <c r="B86" s="3959"/>
      <c r="C86" s="3087" t="s">
        <v>2674</v>
      </c>
      <c r="D86" s="3087" t="s">
        <v>2675</v>
      </c>
      <c r="E86" s="3113">
        <v>0.1</v>
      </c>
      <c r="F86" s="3113">
        <v>15</v>
      </c>
    </row>
    <row r="87" spans="1:6" ht="13.5">
      <c r="A87" s="3113">
        <v>15</v>
      </c>
      <c r="B87" s="3959"/>
      <c r="C87" s="3087" t="s">
        <v>2676</v>
      </c>
      <c r="D87" s="3087" t="s">
        <v>2677</v>
      </c>
      <c r="E87" s="3113">
        <v>0.1</v>
      </c>
      <c r="F87" s="3113">
        <v>15</v>
      </c>
    </row>
    <row r="88" spans="1:6" ht="24">
      <c r="A88" s="3113">
        <v>16</v>
      </c>
      <c r="B88" s="3959"/>
      <c r="C88" s="3087" t="s">
        <v>2678</v>
      </c>
      <c r="D88" s="3087" t="s">
        <v>2679</v>
      </c>
      <c r="E88" s="3113">
        <v>0.1</v>
      </c>
      <c r="F88" s="3113">
        <v>15</v>
      </c>
    </row>
    <row r="89" spans="1:6" ht="24">
      <c r="A89" s="3113">
        <v>17</v>
      </c>
      <c r="B89" s="3958"/>
      <c r="C89" s="3087" t="s">
        <v>2680</v>
      </c>
      <c r="D89" s="3087" t="s">
        <v>2681</v>
      </c>
      <c r="E89" s="3113">
        <v>0.1</v>
      </c>
      <c r="F89" s="3113">
        <v>15</v>
      </c>
    </row>
    <row r="90" spans="1:6" ht="13.5">
      <c r="A90" s="3113">
        <v>18</v>
      </c>
      <c r="B90" s="3957" t="s">
        <v>2682</v>
      </c>
      <c r="C90" s="3087" t="s">
        <v>2683</v>
      </c>
      <c r="D90" s="3087" t="s">
        <v>2684</v>
      </c>
      <c r="E90" s="3113">
        <v>0.2</v>
      </c>
      <c r="F90" s="3113">
        <v>25</v>
      </c>
    </row>
    <row r="91" spans="1:6" ht="24">
      <c r="A91" s="3113">
        <v>19</v>
      </c>
      <c r="B91" s="3959"/>
      <c r="C91" s="3087" t="s">
        <v>2685</v>
      </c>
      <c r="D91" s="3087" t="s">
        <v>2686</v>
      </c>
      <c r="E91" s="3113">
        <v>0.2</v>
      </c>
      <c r="F91" s="3113">
        <v>25</v>
      </c>
    </row>
    <row r="92" spans="1:6" ht="13.5">
      <c r="A92" s="3113">
        <v>20</v>
      </c>
      <c r="B92" s="3959"/>
      <c r="C92" s="3087" t="s">
        <v>2687</v>
      </c>
      <c r="D92" s="3087" t="s">
        <v>2688</v>
      </c>
      <c r="E92" s="3113">
        <v>0.15</v>
      </c>
      <c r="F92" s="3113">
        <v>20</v>
      </c>
    </row>
    <row r="93" spans="1:6" ht="13.5">
      <c r="A93" s="3113">
        <v>21</v>
      </c>
      <c r="B93" s="3959"/>
      <c r="C93" s="3087" t="s">
        <v>2689</v>
      </c>
      <c r="D93" s="3087" t="s">
        <v>2690</v>
      </c>
      <c r="E93" s="3113">
        <v>0.15</v>
      </c>
      <c r="F93" s="3113">
        <v>20</v>
      </c>
    </row>
    <row r="94" spans="1:6" ht="13.5">
      <c r="A94" s="3113">
        <v>22</v>
      </c>
      <c r="B94" s="3959"/>
      <c r="C94" s="3087" t="s">
        <v>2691</v>
      </c>
      <c r="D94" s="3087" t="s">
        <v>2692</v>
      </c>
      <c r="E94" s="3113">
        <v>0.15</v>
      </c>
      <c r="F94" s="3113">
        <v>20</v>
      </c>
    </row>
    <row r="95" spans="1:6" ht="36">
      <c r="A95" s="3113">
        <v>23</v>
      </c>
      <c r="B95" s="3959"/>
      <c r="C95" s="3087" t="s">
        <v>2693</v>
      </c>
      <c r="D95" s="3087" t="s">
        <v>2694</v>
      </c>
      <c r="E95" s="3113">
        <v>0.15</v>
      </c>
      <c r="F95" s="3113">
        <v>20</v>
      </c>
    </row>
    <row r="96" spans="1:6" ht="13.5">
      <c r="A96" s="3113">
        <v>24</v>
      </c>
      <c r="B96" s="3959"/>
      <c r="C96" s="3087" t="s">
        <v>2695</v>
      </c>
      <c r="D96" s="3087" t="s">
        <v>2696</v>
      </c>
      <c r="E96" s="3113">
        <v>0.1</v>
      </c>
      <c r="F96" s="3113">
        <v>15</v>
      </c>
    </row>
    <row r="97" spans="1:6" ht="13.5">
      <c r="A97" s="3113">
        <v>25</v>
      </c>
      <c r="B97" s="3959"/>
      <c r="C97" s="3087" t="s">
        <v>2697</v>
      </c>
      <c r="D97" s="3087" t="s">
        <v>2698</v>
      </c>
      <c r="E97" s="3113">
        <v>0.1</v>
      </c>
      <c r="F97" s="3113">
        <v>15</v>
      </c>
    </row>
    <row r="98" spans="1:6" ht="24">
      <c r="A98" s="3113">
        <v>26</v>
      </c>
      <c r="B98" s="3959"/>
      <c r="C98" s="3087" t="s">
        <v>2699</v>
      </c>
      <c r="D98" s="3087" t="s">
        <v>2700</v>
      </c>
      <c r="E98" s="3113">
        <v>0.1</v>
      </c>
      <c r="F98" s="3113">
        <v>15</v>
      </c>
    </row>
    <row r="99" spans="1:6" ht="24">
      <c r="A99" s="3113">
        <v>27</v>
      </c>
      <c r="B99" s="3959"/>
      <c r="C99" s="3087" t="s">
        <v>2701</v>
      </c>
      <c r="D99" s="3087" t="s">
        <v>2702</v>
      </c>
      <c r="E99" s="3113">
        <v>0.1</v>
      </c>
      <c r="F99" s="3113">
        <v>15</v>
      </c>
    </row>
    <row r="100" spans="1:6" ht="13.5">
      <c r="A100" s="3113">
        <v>28</v>
      </c>
      <c r="B100" s="3959"/>
      <c r="C100" s="3087" t="s">
        <v>2703</v>
      </c>
      <c r="D100" s="3087" t="s">
        <v>2704</v>
      </c>
      <c r="E100" s="3113">
        <v>0.1</v>
      </c>
      <c r="F100" s="3113">
        <v>15</v>
      </c>
    </row>
    <row r="101" spans="1:6" ht="13.5">
      <c r="A101" s="3113">
        <v>29</v>
      </c>
      <c r="B101" s="3959"/>
      <c r="C101" s="3087" t="s">
        <v>2705</v>
      </c>
      <c r="D101" s="3087" t="s">
        <v>2706</v>
      </c>
      <c r="E101" s="3113">
        <v>0.1</v>
      </c>
      <c r="F101" s="3113">
        <v>15</v>
      </c>
    </row>
    <row r="102" spans="1:6" ht="13.5">
      <c r="A102" s="3113">
        <v>30</v>
      </c>
      <c r="B102" s="3959"/>
      <c r="C102" s="3087" t="s">
        <v>2707</v>
      </c>
      <c r="D102" s="3087" t="s">
        <v>2708</v>
      </c>
      <c r="E102" s="3113">
        <v>0.1</v>
      </c>
      <c r="F102" s="3113">
        <v>15</v>
      </c>
    </row>
    <row r="103" spans="1:6" ht="24">
      <c r="A103" s="3113">
        <v>31</v>
      </c>
      <c r="B103" s="3959"/>
      <c r="C103" s="3087" t="s">
        <v>2709</v>
      </c>
      <c r="D103" s="3087" t="s">
        <v>2710</v>
      </c>
      <c r="E103" s="3113">
        <v>0.1</v>
      </c>
      <c r="F103" s="3113">
        <v>15</v>
      </c>
    </row>
    <row r="104" spans="1:6" ht="24">
      <c r="A104" s="3113">
        <v>32</v>
      </c>
      <c r="B104" s="3959"/>
      <c r="C104" s="3087" t="s">
        <v>2711</v>
      </c>
      <c r="D104" s="3087" t="s">
        <v>2712</v>
      </c>
      <c r="E104" s="3113">
        <v>0.1</v>
      </c>
      <c r="F104" s="3113">
        <v>15</v>
      </c>
    </row>
    <row r="105" spans="1:6" ht="24">
      <c r="A105" s="3113">
        <v>33</v>
      </c>
      <c r="B105" s="3959"/>
      <c r="C105" s="3087" t="s">
        <v>2713</v>
      </c>
      <c r="D105" s="3087" t="s">
        <v>2714</v>
      </c>
      <c r="E105" s="3113">
        <v>0.1</v>
      </c>
      <c r="F105" s="3113">
        <v>15</v>
      </c>
    </row>
    <row r="106" spans="1:6" ht="24">
      <c r="A106" s="3113">
        <v>34</v>
      </c>
      <c r="B106" s="3958"/>
      <c r="C106" s="3087" t="s">
        <v>2715</v>
      </c>
      <c r="D106" s="3087" t="s">
        <v>2716</v>
      </c>
      <c r="E106" s="3113">
        <v>0.1</v>
      </c>
      <c r="F106" s="3113">
        <v>15</v>
      </c>
    </row>
    <row r="107" spans="1:6" ht="24">
      <c r="A107" s="3113">
        <v>35</v>
      </c>
      <c r="B107" s="3957" t="s">
        <v>2717</v>
      </c>
      <c r="C107" s="3113" t="s">
        <v>2718</v>
      </c>
      <c r="D107" s="3087" t="s">
        <v>2719</v>
      </c>
      <c r="E107" s="3113">
        <v>0.15</v>
      </c>
      <c r="F107" s="3113">
        <v>20</v>
      </c>
    </row>
    <row r="108" spans="1:6" ht="13.5">
      <c r="A108" s="3113">
        <v>36</v>
      </c>
      <c r="B108" s="3959"/>
      <c r="C108" s="3113" t="s">
        <v>2720</v>
      </c>
      <c r="D108" s="3087" t="s">
        <v>2721</v>
      </c>
      <c r="E108" s="3113">
        <v>0.15</v>
      </c>
      <c r="F108" s="3113">
        <v>20</v>
      </c>
    </row>
    <row r="109" spans="1:6" ht="13.5">
      <c r="A109" s="3113">
        <v>37</v>
      </c>
      <c r="B109" s="3959"/>
      <c r="C109" s="3113" t="s">
        <v>2722</v>
      </c>
      <c r="D109" s="3087" t="s">
        <v>2723</v>
      </c>
      <c r="E109" s="3113">
        <v>0.15</v>
      </c>
      <c r="F109" s="3113">
        <v>20</v>
      </c>
    </row>
    <row r="110" spans="1:6" ht="13.5">
      <c r="A110" s="3113">
        <v>38</v>
      </c>
      <c r="B110" s="3959"/>
      <c r="C110" s="3113" t="s">
        <v>2724</v>
      </c>
      <c r="D110" s="3087" t="s">
        <v>2725</v>
      </c>
      <c r="E110" s="3113">
        <v>0.1</v>
      </c>
      <c r="F110" s="3113">
        <v>15</v>
      </c>
    </row>
    <row r="111" spans="1:6" ht="24">
      <c r="A111" s="3113">
        <v>39</v>
      </c>
      <c r="B111" s="3959"/>
      <c r="C111" s="3113" t="s">
        <v>2726</v>
      </c>
      <c r="D111" s="3087" t="s">
        <v>2727</v>
      </c>
      <c r="E111" s="3113">
        <v>0.1</v>
      </c>
      <c r="F111" s="3113">
        <v>15</v>
      </c>
    </row>
    <row r="112" spans="1:6" ht="24">
      <c r="A112" s="3113">
        <v>40</v>
      </c>
      <c r="B112" s="3958"/>
      <c r="C112" s="3113" t="s">
        <v>2728</v>
      </c>
      <c r="D112" s="3087" t="s">
        <v>2729</v>
      </c>
      <c r="E112" s="3113">
        <v>0.1</v>
      </c>
      <c r="F112" s="3113">
        <v>15</v>
      </c>
    </row>
    <row r="113" spans="1:6" ht="13.5">
      <c r="A113" s="3113">
        <v>41</v>
      </c>
      <c r="B113" s="3956" t="s">
        <v>2730</v>
      </c>
      <c r="C113" s="3113" t="s">
        <v>2731</v>
      </c>
      <c r="D113" s="3087" t="s">
        <v>2732</v>
      </c>
      <c r="E113" s="3113">
        <v>0.1</v>
      </c>
      <c r="F113" s="3113">
        <v>15</v>
      </c>
    </row>
    <row r="114" spans="1:6" ht="13.5">
      <c r="A114" s="3113">
        <v>42</v>
      </c>
      <c r="B114" s="3956"/>
      <c r="C114" s="3113" t="s">
        <v>2733</v>
      </c>
      <c r="D114" s="3087" t="s">
        <v>2734</v>
      </c>
      <c r="E114" s="3113">
        <v>0.1</v>
      </c>
      <c r="F114" s="3113">
        <v>15</v>
      </c>
    </row>
    <row r="115" spans="1:6" ht="24">
      <c r="A115" s="3113">
        <v>43</v>
      </c>
      <c r="B115" s="3956"/>
      <c r="C115" s="3113" t="s">
        <v>2735</v>
      </c>
      <c r="D115" s="3087" t="s">
        <v>2736</v>
      </c>
      <c r="E115" s="3113">
        <v>0.1</v>
      </c>
      <c r="F115" s="3113">
        <v>15</v>
      </c>
    </row>
    <row r="116" spans="1:6" ht="13.5">
      <c r="A116" s="3113">
        <v>44</v>
      </c>
      <c r="B116" s="3957" t="s">
        <v>2737</v>
      </c>
      <c r="C116" s="3113" t="s">
        <v>2738</v>
      </c>
      <c r="D116" s="3087" t="s">
        <v>2739</v>
      </c>
      <c r="E116" s="3113">
        <v>0.1</v>
      </c>
      <c r="F116" s="3113">
        <v>15</v>
      </c>
    </row>
    <row r="117" spans="1:6" ht="24">
      <c r="A117" s="3113">
        <v>45</v>
      </c>
      <c r="B117" s="3958"/>
      <c r="C117" s="3087" t="s">
        <v>2740</v>
      </c>
      <c r="D117" s="3087" t="s">
        <v>2741</v>
      </c>
      <c r="E117" s="3113">
        <v>0.1</v>
      </c>
      <c r="F117" s="3113">
        <v>15</v>
      </c>
    </row>
    <row r="118" spans="1:6" ht="24">
      <c r="A118" s="3113">
        <v>46</v>
      </c>
      <c r="B118" s="3957" t="s">
        <v>2742</v>
      </c>
      <c r="C118" s="3113" t="s">
        <v>2743</v>
      </c>
      <c r="D118" s="3087" t="s">
        <v>2744</v>
      </c>
      <c r="E118" s="3113">
        <v>0.1</v>
      </c>
      <c r="F118" s="3113">
        <v>15</v>
      </c>
    </row>
    <row r="119" spans="1:6" ht="24">
      <c r="A119" s="3113">
        <v>47</v>
      </c>
      <c r="B119" s="3958"/>
      <c r="C119" s="3113" t="s">
        <v>2745</v>
      </c>
      <c r="D119" s="3087" t="s">
        <v>2746</v>
      </c>
      <c r="E119" s="3113">
        <v>0.1</v>
      </c>
      <c r="F119" s="3113">
        <v>15</v>
      </c>
    </row>
    <row r="120" spans="1:6" ht="13.5">
      <c r="A120" s="3113">
        <v>48</v>
      </c>
      <c r="B120" s="3957" t="s">
        <v>2747</v>
      </c>
      <c r="C120" s="3113" t="s">
        <v>2748</v>
      </c>
      <c r="D120" s="3087" t="s">
        <v>2749</v>
      </c>
      <c r="E120" s="3113">
        <v>0.1</v>
      </c>
      <c r="F120" s="3113">
        <v>15</v>
      </c>
    </row>
    <row r="121" spans="1:6" ht="13.5">
      <c r="A121" s="3113">
        <v>49</v>
      </c>
      <c r="B121" s="3958"/>
      <c r="C121" s="3113" t="s">
        <v>2750</v>
      </c>
      <c r="D121" s="3087" t="s">
        <v>2751</v>
      </c>
      <c r="E121" s="3113">
        <v>0.1</v>
      </c>
      <c r="F121" s="3113">
        <v>15</v>
      </c>
    </row>
    <row r="122" spans="1:6" ht="24">
      <c r="A122" s="3113">
        <v>50</v>
      </c>
      <c r="B122" s="3956" t="s">
        <v>2752</v>
      </c>
      <c r="C122" s="3113" t="s">
        <v>2753</v>
      </c>
      <c r="D122" s="3087" t="s">
        <v>2754</v>
      </c>
      <c r="E122" s="3113">
        <v>0.1</v>
      </c>
      <c r="F122" s="3113">
        <v>15</v>
      </c>
    </row>
    <row r="123" spans="1:6" ht="24">
      <c r="A123" s="3113">
        <v>51</v>
      </c>
      <c r="B123" s="3956"/>
      <c r="C123" s="3113" t="s">
        <v>2755</v>
      </c>
      <c r="D123" s="3087" t="s">
        <v>2756</v>
      </c>
      <c r="E123" s="3113">
        <v>0.1</v>
      </c>
      <c r="F123" s="3113">
        <v>15</v>
      </c>
    </row>
    <row r="124" spans="1:6" ht="24">
      <c r="A124" s="3113">
        <v>52</v>
      </c>
      <c r="B124" s="3956" t="s">
        <v>2757</v>
      </c>
      <c r="C124" s="3113" t="s">
        <v>2758</v>
      </c>
      <c r="D124" s="3087" t="s">
        <v>2759</v>
      </c>
      <c r="E124" s="3113">
        <v>0.1</v>
      </c>
      <c r="F124" s="3113">
        <v>15</v>
      </c>
    </row>
    <row r="125" spans="1:6" ht="24">
      <c r="A125" s="3113">
        <v>53</v>
      </c>
      <c r="B125" s="395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56" t="s">
        <v>2765</v>
      </c>
      <c r="C127" s="3113" t="s">
        <v>2766</v>
      </c>
      <c r="D127" s="3087" t="s">
        <v>2767</v>
      </c>
      <c r="E127" s="3113">
        <v>0.1</v>
      </c>
      <c r="F127" s="3113">
        <v>15</v>
      </c>
    </row>
    <row r="128" spans="1:6" ht="13.5">
      <c r="A128" s="3113">
        <v>56</v>
      </c>
      <c r="B128" s="3956"/>
      <c r="C128" s="3113" t="s">
        <v>2768</v>
      </c>
      <c r="D128" s="3087" t="s">
        <v>2769</v>
      </c>
      <c r="E128" s="3113">
        <v>0.1</v>
      </c>
      <c r="F128" s="3113">
        <v>15</v>
      </c>
    </row>
    <row r="129" spans="1:6" ht="24">
      <c r="A129" s="3113">
        <v>57</v>
      </c>
      <c r="B129" s="3956"/>
      <c r="C129" s="3113" t="s">
        <v>2770</v>
      </c>
      <c r="D129" s="3087" t="s">
        <v>2771</v>
      </c>
      <c r="E129" s="3113">
        <v>0.1</v>
      </c>
      <c r="F129" s="3113">
        <v>15</v>
      </c>
    </row>
    <row r="130" spans="1:6" ht="24">
      <c r="A130" s="3113">
        <v>58</v>
      </c>
      <c r="B130" s="3956" t="s">
        <v>2772</v>
      </c>
      <c r="C130" s="3113" t="s">
        <v>2773</v>
      </c>
      <c r="D130" s="3087" t="s">
        <v>2774</v>
      </c>
      <c r="E130" s="3113">
        <v>0.1</v>
      </c>
      <c r="F130" s="3113">
        <v>15</v>
      </c>
    </row>
    <row r="131" spans="1:6" ht="13.5">
      <c r="A131" s="3113">
        <v>59</v>
      </c>
      <c r="B131" s="3956"/>
      <c r="C131" s="3113" t="s">
        <v>2775</v>
      </c>
      <c r="D131" s="3087" t="s">
        <v>2776</v>
      </c>
      <c r="E131" s="3113">
        <v>0.1</v>
      </c>
      <c r="F131" s="3113">
        <v>15</v>
      </c>
    </row>
    <row r="132" spans="1:6" ht="13.5">
      <c r="A132" s="3113">
        <v>60</v>
      </c>
      <c r="B132" s="3957" t="s">
        <v>2777</v>
      </c>
      <c r="C132" s="3113" t="s">
        <v>2778</v>
      </c>
      <c r="D132" s="3087" t="s">
        <v>2779</v>
      </c>
      <c r="E132" s="3113">
        <v>0.1</v>
      </c>
      <c r="F132" s="3113">
        <v>15</v>
      </c>
    </row>
    <row r="133" spans="1:6" ht="13.5">
      <c r="A133" s="3113">
        <v>61</v>
      </c>
      <c r="B133" s="3958"/>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56" t="s">
        <v>2785</v>
      </c>
      <c r="C135" s="3113" t="s">
        <v>2786</v>
      </c>
      <c r="D135" s="3087" t="s">
        <v>2787</v>
      </c>
      <c r="E135" s="3113">
        <v>0.1</v>
      </c>
      <c r="F135" s="3113">
        <v>15</v>
      </c>
    </row>
    <row r="136" spans="1:6" ht="13.5">
      <c r="A136" s="3113">
        <v>64</v>
      </c>
      <c r="B136" s="395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1" t="s">
        <v>90</v>
      </c>
    </row>
    <row r="43" spans="1:7" ht="13.5" customHeight="1">
      <c r="A43" s="780" t="s">
        <v>343</v>
      </c>
      <c r="B43" s="215" t="s">
        <v>422</v>
      </c>
      <c r="C43" s="238">
        <f ca="1">ROUND(IF('数据-取费表'!B22&lt;=1,C39*F22*'数据-取费表'!B21/2,C39*(POWER((1+F22),'数据-取费表'!B21/2)-1)),0)</f>
        <v>0</v>
      </c>
      <c r="D43" s="238"/>
      <c r="E43" s="238"/>
      <c r="F43" s="239"/>
      <c r="G43" s="3762"/>
    </row>
    <row r="44" spans="1:7" ht="13.5" customHeight="1">
      <c r="A44" s="780" t="s">
        <v>344</v>
      </c>
      <c r="B44" s="215" t="s">
        <v>424</v>
      </c>
      <c r="C44" s="238">
        <f ca="1">ROUND(IF('数据-取费表'!B22&lt;=1,C40*F22*'数据-取费表'!B21/2,C40*(POWER((1+F22),'数据-取费表'!B21/2)-1)),4)</f>
        <v>6.9999999999999999E-4</v>
      </c>
      <c r="D44" s="238"/>
      <c r="E44" s="238"/>
      <c r="F44" s="239"/>
      <c r="G44" s="3763"/>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70" t="s">
        <v>2839</v>
      </c>
      <c r="B1" s="3970"/>
      <c r="C1" s="3970"/>
      <c r="D1" s="3970"/>
      <c r="E1" s="3970"/>
      <c r="F1" s="3970"/>
      <c r="G1" s="3971"/>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8"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9"/>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2" t="s">
        <v>3181</v>
      </c>
      <c r="B1" s="3972"/>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3" t="s">
        <v>3232</v>
      </c>
      <c r="B1" s="3973"/>
      <c r="C1" s="3973"/>
      <c r="D1" s="3973"/>
      <c r="E1" s="3973"/>
      <c r="F1" s="3974"/>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5" t="s">
        <v>452</v>
      </c>
      <c r="S1" s="3976"/>
      <c r="T1" s="3976"/>
      <c r="U1" s="3976"/>
      <c r="V1" s="3976"/>
      <c r="W1" s="3976"/>
      <c r="X1" s="3160"/>
      <c r="Y1" s="3975" t="s">
        <v>453</v>
      </c>
      <c r="Z1" s="3976"/>
      <c r="AA1" s="3976"/>
      <c r="AB1" s="3976"/>
      <c r="AC1" s="3976"/>
      <c r="AD1" s="3976"/>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5" t="s">
        <v>2826</v>
      </c>
      <c r="S21" s="3976"/>
      <c r="T21" s="3976"/>
      <c r="U21" s="3976"/>
      <c r="V21" s="3976"/>
      <c r="W21" s="3976"/>
      <c r="X21" s="3160"/>
      <c r="Y21" s="3975" t="s">
        <v>2827</v>
      </c>
      <c r="Z21" s="3976"/>
      <c r="AA21" s="3976"/>
      <c r="AB21" s="3976"/>
      <c r="AC21" s="3976"/>
      <c r="AD21" s="3976"/>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2" t="s">
        <v>448</v>
      </c>
      <c r="C1" s="3982"/>
      <c r="D1" s="3982"/>
      <c r="E1" s="3982"/>
      <c r="F1" s="3982"/>
      <c r="G1" s="3981" t="s">
        <v>449</v>
      </c>
      <c r="H1" s="3981"/>
      <c r="I1" s="3981"/>
      <c r="J1" s="3981"/>
      <c r="K1" s="3981"/>
      <c r="L1" s="3981"/>
      <c r="N1" s="3981" t="s">
        <v>450</v>
      </c>
      <c r="O1" s="3981"/>
      <c r="P1" s="3981"/>
      <c r="Q1" s="3981"/>
      <c r="S1" s="3981" t="s">
        <v>451</v>
      </c>
      <c r="T1" s="3981"/>
      <c r="U1" s="3981"/>
      <c r="V1" s="3981"/>
      <c r="X1" s="3980" t="s">
        <v>452</v>
      </c>
      <c r="Y1" s="3981"/>
      <c r="Z1" s="3981"/>
      <c r="AA1" s="3981"/>
      <c r="AB1" s="3981"/>
      <c r="AD1" s="3980" t="s">
        <v>453</v>
      </c>
      <c r="AE1" s="3981"/>
      <c r="AF1" s="3981"/>
      <c r="AG1" s="3981"/>
      <c r="AH1" s="3981"/>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7">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8">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8">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79">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7">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8">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8">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6" t="str">
        <f>IF(项目基本情况!B9="房地产市场价值","估价结果一览表","结果表-2")</f>
        <v>估价结果一览表</v>
      </c>
      <c r="B1" s="3596"/>
      <c r="C1" s="3596"/>
      <c r="D1" s="3596"/>
      <c r="E1" s="3596"/>
      <c r="F1" s="3596"/>
      <c r="G1" s="3596"/>
      <c r="H1" s="3596"/>
      <c r="I1" s="3596"/>
    </row>
    <row r="2" spans="1:9" ht="30" customHeight="1" thickTop="1">
      <c r="A2" s="3597" t="s">
        <v>924</v>
      </c>
      <c r="B2" s="3597" t="s">
        <v>925</v>
      </c>
      <c r="C2" s="3597" t="s">
        <v>926</v>
      </c>
      <c r="D2" s="3597" t="str">
        <f>结果表!D116</f>
        <v>出让国有建设用地使用权价值</v>
      </c>
      <c r="E2" s="3597"/>
      <c r="F2" s="3597" t="str">
        <f>结果表!F116</f>
        <v>在建建筑物价值</v>
      </c>
      <c r="G2" s="3597"/>
      <c r="H2" s="3597" t="str">
        <f>IF(项目基本情况!B9="房地产市场价值","房地产市场价值","房地产价值")</f>
        <v>房地产市场价值</v>
      </c>
      <c r="I2" s="3597"/>
    </row>
    <row r="3" spans="1:9" ht="15">
      <c r="A3" s="3592"/>
      <c r="B3" s="3592"/>
      <c r="C3" s="3592"/>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2" t="s">
        <v>923</v>
      </c>
      <c r="B5" s="3592"/>
      <c r="C5" s="3592"/>
      <c r="D5" s="3592" t="e">
        <f ca="1">结果表!D119</f>
        <v>#REF!</v>
      </c>
      <c r="E5" s="3592"/>
      <c r="F5" s="3592" t="e">
        <f ca="1">结果表!F119</f>
        <v>#REF!</v>
      </c>
      <c r="G5" s="3592"/>
      <c r="H5" s="3592" t="e">
        <f ca="1">结果表!H119</f>
        <v>#REF!</v>
      </c>
      <c r="I5" s="3592"/>
    </row>
    <row r="6" spans="1:9" ht="15.75">
      <c r="A6" s="3591" t="str">
        <f>结果表!A120</f>
        <v/>
      </c>
      <c r="B6" s="3591"/>
      <c r="C6" s="3591"/>
      <c r="D6" s="3591">
        <f>结果表!D120</f>
        <v>0</v>
      </c>
      <c r="E6" s="3591"/>
      <c r="F6" s="3591"/>
      <c r="G6" s="3591"/>
      <c r="H6" s="3591"/>
      <c r="I6" s="3591"/>
    </row>
    <row r="7" spans="1:9" ht="15">
      <c r="A7" s="3592" t="s">
        <v>923</v>
      </c>
      <c r="B7" s="3592"/>
      <c r="C7" s="3592"/>
      <c r="D7" s="3593" t="str">
        <f>结果表!D121</f>
        <v>零元整</v>
      </c>
      <c r="E7" s="3594"/>
      <c r="F7" s="3594"/>
      <c r="G7" s="3594"/>
      <c r="H7" s="3594"/>
      <c r="I7" s="3595"/>
    </row>
    <row r="8" spans="1:9" ht="15.75">
      <c r="A8" s="3591" t="str">
        <f>结果表!A122</f>
        <v/>
      </c>
      <c r="B8" s="3591"/>
      <c r="C8" s="3591"/>
      <c r="D8" s="3591" t="e">
        <f ca="1">结果表!D122</f>
        <v>#REF!</v>
      </c>
      <c r="E8" s="3591"/>
      <c r="F8" s="3591"/>
      <c r="G8" s="3591"/>
      <c r="H8" s="3591"/>
      <c r="I8" s="3591"/>
    </row>
    <row r="9" spans="1:9" ht="15">
      <c r="A9" s="3592" t="s">
        <v>923</v>
      </c>
      <c r="B9" s="3592"/>
      <c r="C9" s="3592"/>
      <c r="D9" s="3592" t="e">
        <f ca="1">结果表!D123</f>
        <v>#REF!</v>
      </c>
      <c r="E9" s="3592"/>
      <c r="F9" s="3592"/>
      <c r="G9" s="3592"/>
      <c r="H9" s="3592"/>
      <c r="I9" s="3592"/>
    </row>
    <row r="10" spans="1:9" ht="15.75">
      <c r="A10" s="3591" t="str">
        <f>结果表!A124</f>
        <v/>
      </c>
      <c r="B10" s="3591"/>
      <c r="C10" s="3591"/>
      <c r="D10" s="3591" t="str">
        <f>结果表!D124</f>
        <v>——</v>
      </c>
      <c r="E10" s="3591"/>
      <c r="F10" s="3591"/>
      <c r="G10" s="3591"/>
      <c r="H10" s="3591"/>
      <c r="I10" s="3591"/>
    </row>
    <row r="11" spans="1:9" ht="15">
      <c r="A11" s="3592" t="s">
        <v>923</v>
      </c>
      <c r="B11" s="3592"/>
      <c r="C11" s="3592"/>
      <c r="D11" s="3592" t="e">
        <f>结果表!D125</f>
        <v>#VALUE!</v>
      </c>
      <c r="E11" s="3592"/>
      <c r="F11" s="3592"/>
      <c r="G11" s="3592"/>
      <c r="H11" s="3592"/>
      <c r="I11" s="3592"/>
    </row>
    <row r="12" spans="1:9" ht="15.75">
      <c r="A12" s="3591" t="str">
        <f>结果表!A126</f>
        <v/>
      </c>
      <c r="B12" s="3591"/>
      <c r="C12" s="3591"/>
      <c r="D12" s="3591" t="str">
        <f>结果表!D126</f>
        <v>——</v>
      </c>
      <c r="E12" s="3591"/>
      <c r="F12" s="3591"/>
      <c r="G12" s="3591"/>
      <c r="H12" s="3591"/>
      <c r="I12" s="3591"/>
    </row>
    <row r="13" spans="1:9" ht="15.75" thickBot="1">
      <c r="A13" s="3589" t="s">
        <v>923</v>
      </c>
      <c r="B13" s="3589"/>
      <c r="C13" s="3589"/>
      <c r="D13" s="3589" t="e">
        <f>结果表!D127</f>
        <v>#VALUE!</v>
      </c>
      <c r="E13" s="3589"/>
      <c r="F13" s="3589"/>
      <c r="G13" s="3589"/>
      <c r="H13" s="3589"/>
      <c r="I13" s="3589"/>
    </row>
    <row r="14" spans="1:9" ht="15" thickTop="1">
      <c r="A14" s="3590" t="s">
        <v>928</v>
      </c>
      <c r="B14" s="3590"/>
      <c r="C14" s="3590"/>
      <c r="D14" s="3590"/>
      <c r="E14" s="3590"/>
      <c r="F14" s="3590"/>
      <c r="G14" s="3590"/>
      <c r="H14" s="3590"/>
      <c r="I14" s="359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4" t="s">
        <v>945</v>
      </c>
      <c r="B1" s="3604"/>
      <c r="C1" s="3604"/>
      <c r="D1" s="3604"/>
    </row>
    <row r="2" spans="1:4" ht="18">
      <c r="A2" s="3605" t="s">
        <v>929</v>
      </c>
      <c r="B2" s="3605"/>
      <c r="C2" s="3605"/>
      <c r="D2" s="3605"/>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605" t="s">
        <v>935</v>
      </c>
      <c r="B6" s="3605"/>
      <c r="C6" s="3605"/>
      <c r="D6" s="3605"/>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606" t="s">
        <v>938</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3"/>
      <c r="C12" s="3603"/>
      <c r="D12" s="3603"/>
    </row>
    <row r="13" spans="1:4" ht="30" customHeight="1">
      <c r="A13" s="3598" t="str">
        <f>IF(项目基本情况!B8="抵押","3.抵押双方在办理抵押登记手续时，应使用本公司出具的正式《房地产评估报告》，特提醒报告使用者注意。","——")</f>
        <v>——</v>
      </c>
      <c r="B13" s="3603"/>
      <c r="C13" s="3603"/>
      <c r="D13" s="3603"/>
    </row>
    <row r="14" spans="1:4" ht="15.75" customHeight="1">
      <c r="A14" s="3598" t="str">
        <f>IF(项目基本情况!B8="抵押","4.本次评估估价师所知悉的法定优先受偿款情况说明如下：","——")</f>
        <v>——</v>
      </c>
      <c r="B14" s="3603"/>
      <c r="C14" s="3603"/>
      <c r="D14" s="3603"/>
    </row>
    <row r="15" spans="1:4" ht="42" customHeight="1">
      <c r="A15" s="3598" t="str">
        <f>IF(项目基本情况!B8="抵押","（1）"&amp;CONCATENATE(项目基本情况!L20,项目基本情况!L21,项目基本情况!L22),"——")</f>
        <v>——</v>
      </c>
      <c r="B15" s="3598"/>
      <c r="C15" s="3598"/>
      <c r="D15" s="3598"/>
    </row>
    <row r="16" spans="1:4" ht="30" customHeight="1">
      <c r="A16" s="3600" t="s">
        <v>939</v>
      </c>
      <c r="B16" s="3600"/>
      <c r="C16" s="3600"/>
      <c r="D16" s="3600"/>
    </row>
    <row r="17" spans="1:4" ht="144" customHeight="1">
      <c r="A17" s="3600" t="s">
        <v>940</v>
      </c>
      <c r="B17" s="3600"/>
      <c r="C17" s="3600"/>
      <c r="D17" s="3600"/>
    </row>
    <row r="18" spans="1:4" ht="15.75" customHeight="1">
      <c r="A18" s="3598" t="str">
        <f>IF(项目基本情况!B8="抵押",结果表!K120,"——")</f>
        <v>——</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1"/>
      <c r="C21" s="3601"/>
      <c r="D21" s="3601"/>
    </row>
    <row r="22" spans="1:4" ht="18.75" customHeight="1">
      <c r="A22" s="3602" t="s">
        <v>941</v>
      </c>
      <c r="B22" s="3602"/>
      <c r="C22" s="3602"/>
      <c r="D22" s="3602"/>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99">
        <v>42551</v>
      </c>
      <c r="D31" s="35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2" t="s">
        <v>952</v>
      </c>
      <c r="B15" s="3607" t="s">
        <v>105</v>
      </c>
      <c r="C15" s="3608"/>
    </row>
    <row r="16" spans="1:7" ht="13.5">
      <c r="A16" s="3613"/>
      <c r="B16" s="3607" t="s">
        <v>38</v>
      </c>
      <c r="C16" s="3608"/>
    </row>
    <row r="17" spans="1:3" ht="13.5">
      <c r="A17" s="3613"/>
      <c r="B17" s="3610" t="s">
        <v>953</v>
      </c>
      <c r="C17" s="1532" t="s">
        <v>952</v>
      </c>
    </row>
    <row r="18" spans="1:3" ht="13.5">
      <c r="A18" s="3613"/>
      <c r="B18" s="3610"/>
      <c r="C18" s="1532" t="s">
        <v>954</v>
      </c>
    </row>
    <row r="19" spans="1:3" ht="13.5">
      <c r="A19" s="3613"/>
      <c r="B19" s="3610"/>
      <c r="C19" s="1532" t="s">
        <v>955</v>
      </c>
    </row>
    <row r="20" spans="1:3" ht="13.5">
      <c r="A20" s="3614"/>
      <c r="B20" s="3609" t="s">
        <v>956</v>
      </c>
      <c r="C20" s="3608"/>
    </row>
    <row r="21" spans="1:3" ht="13.5">
      <c r="A21" s="1533" t="s">
        <v>957</v>
      </c>
      <c r="B21" s="1534"/>
      <c r="C21" s="1535"/>
    </row>
    <row r="22" spans="1:3" ht="13.5">
      <c r="A22" s="3611" t="s">
        <v>958</v>
      </c>
      <c r="B22" s="3609" t="s">
        <v>959</v>
      </c>
      <c r="C22" s="3608"/>
    </row>
    <row r="23" spans="1:3" ht="13.5">
      <c r="A23" s="3611"/>
      <c r="B23" s="3609" t="s">
        <v>960</v>
      </c>
      <c r="C23" s="3608"/>
    </row>
    <row r="24" spans="1:3" ht="13.5">
      <c r="A24" s="3611"/>
      <c r="B24" s="3609" t="s">
        <v>961</v>
      </c>
      <c r="C24" s="3608"/>
    </row>
    <row r="25" spans="1:3" ht="13.5">
      <c r="A25" s="3611"/>
      <c r="B25" s="3610" t="s">
        <v>962</v>
      </c>
      <c r="C25" s="1532" t="s">
        <v>963</v>
      </c>
    </row>
    <row r="26" spans="1:3" ht="13.5">
      <c r="A26" s="3611"/>
      <c r="B26" s="3610"/>
      <c r="C26" s="1532" t="s">
        <v>964</v>
      </c>
    </row>
    <row r="27" spans="1:3" ht="13.5">
      <c r="A27" s="3611"/>
      <c r="B27" s="3610"/>
      <c r="C27" s="1532" t="s">
        <v>965</v>
      </c>
    </row>
    <row r="28" spans="1:3" ht="13.5">
      <c r="A28" s="3611"/>
      <c r="B28" s="3610"/>
      <c r="C28" s="1532" t="s">
        <v>966</v>
      </c>
    </row>
    <row r="29" spans="1:3" ht="13.5">
      <c r="A29" s="3611"/>
      <c r="B29" s="3610"/>
      <c r="C29" s="1532" t="s">
        <v>967</v>
      </c>
    </row>
    <row r="30" spans="1:3" ht="13.5">
      <c r="A30" s="3611"/>
      <c r="B30" s="3610"/>
      <c r="C30" s="1532" t="s">
        <v>968</v>
      </c>
    </row>
    <row r="31" spans="1:3" ht="13.5">
      <c r="A31" s="3611"/>
      <c r="B31" s="3610"/>
      <c r="C31" s="1532" t="s">
        <v>969</v>
      </c>
    </row>
    <row r="32" spans="1:3" ht="13.5">
      <c r="A32" s="3611"/>
      <c r="B32" s="3610"/>
      <c r="C32" s="1532" t="s">
        <v>970</v>
      </c>
    </row>
    <row r="33" spans="1:3" ht="13.5">
      <c r="A33" s="3611"/>
      <c r="B33" s="3610"/>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45091</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5" t="s">
        <v>2152</v>
      </c>
      <c r="B17" s="3615"/>
      <c r="C17" s="3615"/>
      <c r="D17" s="3615"/>
      <c r="E17" s="3615"/>
      <c r="F17" s="3615"/>
      <c r="G17" s="3615"/>
      <c r="H17" s="3615"/>
    </row>
    <row r="18" spans="1:8" ht="24" customHeight="1">
      <c r="A18" s="3616" t="s">
        <v>2153</v>
      </c>
      <c r="B18" s="3616"/>
      <c r="C18" s="3616"/>
      <c r="D18" s="2341"/>
      <c r="E18" s="3617" t="s">
        <v>2154</v>
      </c>
      <c r="F18" s="3616"/>
      <c r="G18" s="3616"/>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2023-06-14T05:35:44Z</dcterms:modified>
</cp:coreProperties>
</file>