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基准地价修正" sheetId="43" state="hidden" r:id="rId21"/>
    <sheet name="土地比较法-住宅、综合" sheetId="39" state="hidden" r:id="rId22"/>
    <sheet name="假设开发法" sheetId="12" state="hidden" r:id="rId23"/>
    <sheet name="收益法" sheetId="15" r:id="rId24"/>
    <sheet name="收益法 (元)" sheetId="67" state="hidden" r:id="rId25"/>
    <sheet name="收益法（汇总）" sheetId="70" r:id="rId26"/>
    <sheet name="酒店收入计算" sheetId="66" state="hidden" r:id="rId27"/>
    <sheet name="比较法-住宅" sheetId="21" state="hidden" r:id="rId28"/>
    <sheet name="比较法-商业" sheetId="33" r:id="rId29"/>
    <sheet name="比较法-办公" sheetId="34"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7" i="33" l="1"/>
  <c r="G7" i="33"/>
  <c r="E7" i="33"/>
  <c r="G8" i="12"/>
  <c r="D8" i="12"/>
  <c r="E8" i="12"/>
  <c r="F8" i="12"/>
  <c r="C8" i="12"/>
  <c r="G23" i="6"/>
  <c r="G22" i="6"/>
  <c r="F21" i="6"/>
  <c r="F20" i="6"/>
  <c r="F19" i="6"/>
  <c r="Q25" i="3"/>
  <c r="O25" i="3"/>
  <c r="K25" i="3"/>
  <c r="I25" i="3"/>
  <c r="O24" i="3"/>
  <c r="K24" i="3"/>
  <c r="Q24" i="3"/>
  <c r="I24" i="3"/>
  <c r="O23" i="3"/>
  <c r="M23" i="3"/>
  <c r="K23" i="3"/>
  <c r="Q23" i="3"/>
  <c r="I23" i="3"/>
  <c r="J6" i="77"/>
  <c r="I5" i="3"/>
  <c r="I22" i="3"/>
  <c r="I21" i="3"/>
  <c r="I20" i="3"/>
  <c r="I19" i="3"/>
  <c r="I18" i="3"/>
  <c r="I17" i="3"/>
  <c r="I16" i="3"/>
  <c r="O15" i="3"/>
  <c r="I15" i="3"/>
  <c r="I14" i="3"/>
  <c r="O13" i="3"/>
  <c r="M13" i="3"/>
  <c r="K13" i="3"/>
  <c r="I13" i="3"/>
  <c r="F16" i="77"/>
  <c r="E16" i="77"/>
  <c r="D16" i="77"/>
  <c r="C16" i="77"/>
  <c r="B16" i="77"/>
  <c r="B15" i="77"/>
  <c r="B14" i="77"/>
  <c r="B13" i="77"/>
  <c r="B12" i="77"/>
  <c r="B11" i="77"/>
  <c r="B10" i="77"/>
  <c r="B9" i="77"/>
  <c r="B8" i="77"/>
  <c r="B7" i="77"/>
  <c r="B6"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J53" i="67"/>
  <c r="M47" i="15"/>
  <c r="L48" i="15"/>
  <c r="J50" i="15"/>
  <c r="J51" i="15"/>
  <c r="J53" i="15"/>
  <c r="K5" i="3"/>
  <c r="Q5" i="3"/>
  <c r="I4" i="6"/>
  <c r="G3" i="43"/>
  <c r="C23" i="43"/>
  <c r="C21" i="43"/>
  <c r="C29" i="43"/>
  <c r="C30" i="43"/>
  <c r="E30" i="43"/>
  <c r="F33"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3" i="43"/>
  <c r="D115" i="43"/>
  <c r="D116" i="43"/>
  <c r="D117" i="43"/>
  <c r="D118" i="43"/>
  <c r="E6" i="76"/>
  <c r="E7" i="76"/>
  <c r="E8" i="76"/>
  <c r="E9" i="76"/>
  <c r="E10" i="76"/>
  <c r="E11" i="76"/>
  <c r="E12" i="76"/>
  <c r="E13" i="76"/>
  <c r="E2"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AZ5" i="3"/>
  <c r="H13" i="3"/>
  <c r="G13" i="3"/>
  <c r="H14" i="3"/>
  <c r="G14" i="3"/>
  <c r="H15" i="3"/>
  <c r="G15" i="3"/>
  <c r="H16" i="3"/>
  <c r="G16" i="3"/>
  <c r="H17" i="3"/>
  <c r="G17" i="3"/>
  <c r="H18" i="3"/>
  <c r="G18" i="3"/>
  <c r="H19" i="3"/>
  <c r="G19" i="3"/>
  <c r="H20" i="3"/>
  <c r="G20" i="3"/>
  <c r="H21" i="3"/>
  <c r="G21" i="3"/>
  <c r="H22" i="3"/>
  <c r="G22" i="3"/>
  <c r="H23" i="3"/>
  <c r="G23" i="3"/>
  <c r="H24" i="3"/>
  <c r="G24" i="3"/>
  <c r="H25" i="3"/>
  <c r="G25" i="3"/>
  <c r="G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E23" i="6"/>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E27" i="6"/>
  <c r="K23" i="6"/>
  <c r="S10" i="1"/>
  <c r="AQ10" i="1"/>
  <c r="M23" i="6"/>
  <c r="I23" i="6"/>
  <c r="H23" i="6"/>
  <c r="D23" i="6"/>
  <c r="R23" i="6"/>
  <c r="R10" i="1"/>
  <c r="B10" i="1"/>
  <c r="E10" i="1"/>
  <c r="D1" i="66"/>
  <c r="E10" i="66"/>
  <c r="AZ80" i="3"/>
  <c r="AZ84" i="3"/>
  <c r="AZ88" i="3"/>
  <c r="AZ107" i="3"/>
  <c r="AZ111" i="3"/>
  <c r="K12" i="1"/>
  <c r="M12" i="1"/>
  <c r="O12" i="1"/>
  <c r="P12" i="1"/>
  <c r="S13" i="1"/>
  <c r="AR13" i="1"/>
  <c r="R13" i="1"/>
  <c r="S11" i="1"/>
  <c r="AQ11" i="1"/>
  <c r="R11" i="1"/>
  <c r="BA5" i="3"/>
  <c r="E28" i="6"/>
  <c r="K22" i="6"/>
  <c r="S9" i="1"/>
  <c r="AR9" i="1"/>
  <c r="M22" i="6"/>
  <c r="I22" i="6"/>
  <c r="H22" i="6"/>
  <c r="D22" i="6"/>
  <c r="R22" i="6"/>
  <c r="K21" i="6"/>
  <c r="M21" i="6"/>
  <c r="I21" i="6"/>
  <c r="H21" i="6"/>
  <c r="D21" i="6"/>
  <c r="R21" i="6"/>
  <c r="R9" i="1"/>
  <c r="J51" i="67"/>
  <c r="C42" i="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19" i="6"/>
  <c r="D25" i="6"/>
  <c r="D26" i="6"/>
  <c r="D15" i="6"/>
  <c r="C18" i="4"/>
  <c r="D8" i="6"/>
  <c r="D24" i="6"/>
  <c r="D14" i="6"/>
  <c r="D20" i="6"/>
  <c r="R20" i="6"/>
  <c r="R7" i="1"/>
  <c r="D5" i="6"/>
  <c r="D6" i="6"/>
  <c r="D12" i="6"/>
  <c r="D9" i="6"/>
  <c r="D11" i="6"/>
  <c r="D10" i="6"/>
  <c r="D13" i="6"/>
  <c r="L19" i="9"/>
  <c r="D28" i="6"/>
  <c r="D29" i="6"/>
  <c r="E61" i="40"/>
  <c r="H25" i="6"/>
  <c r="R25"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4" i="6"/>
  <c r="R8" i="1"/>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B2" i="43"/>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B6" i="76"/>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<sst xmlns="http://schemas.openxmlformats.org/spreadsheetml/2006/main" count="7379" uniqueCount="3108">
  <si>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</si>
  <si>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</si>
  <si>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</si>
  <si>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</si>
  <si>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</si>
  <si>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</si>
  <si>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</si>
  <si>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</si>
  <si>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</si>
  <si>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</si>
  <si>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</si>
  <si>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</si>
  <si>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</si>
  <si>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</si>
  <si>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</si>
  <si>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</si>
  <si>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</si>
  <si>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</si>
  <si>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</si>
  <si>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</si>
  <si>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</si>
  <si>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</si>
  <si>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</si>
  <si>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</si>
  <si>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</si>
  <si>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</si>
  <si>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</si>
  <si>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</si>
  <si>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</si>
  <si>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</si>
  <si>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</si>
  <si>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</si>
  <si>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</si>
  <si>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</si>
  <si>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</si>
  <si>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</si>
  <si>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</si>
  <si>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</si>
  <si>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</si>
  <si>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</si>
  <si>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</si>
  <si>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</si>
  <si>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</si>
  <si>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</si>
  <si>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</si>
  <si>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</si>
  <si>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</si>
  <si>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</si>
  <si>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</si>
  <si>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</si>
  <si>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</si>
  <si>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</si>
  <si>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</si>
  <si>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</si>
  <si>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</si>
  <si>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</si>
  <si>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</si>
  <si>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</si>
  <si>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</si>
  <si>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</si>
  <si>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</si>
  <si>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</si>
  <si>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</si>
  <si>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</si>
  <si>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</si>
  <si>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</si>
  <si>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</si>
  <si>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</si>
  <si>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</si>
  <si>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</si>
  <si>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</si>
  <si>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</si>
  <si>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</si>
  <si>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</si>
  <si>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</si>
  <si>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</si>
  <si>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</si>
  <si>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</si>
  <si>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</si>
  <si>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</si>
  <si>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</si>
  <si>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</si>
  <si>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</si>
  <si>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</si>
  <si>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</si>
  <si>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</si>
  <si>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</si>
  <si>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</si>
  <si>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</si>
  <si>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</si>
  <si>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</si>
  <si>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</si>
  <si>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</si>
  <si>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</si>
  <si>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</si>
  <si>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</si>
  <si>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</si>
  <si>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</si>
  <si>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</si>
  <si>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</si>
  <si>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</si>
  <si>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</si>
  <si>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</si>
  <si>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</si>
  <si>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</si>
  <si>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</si>
  <si>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</si>
  <si>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</si>
  <si>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</si>
  <si>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</si>
  <si>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</si>
  <si>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</si>
  <si>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</si>
  <si>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</si>
  <si>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</si>
  <si>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</si>
  <si>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</si>
  <si>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</si>
  <si>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</si>
  <si>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</si>
  <si>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</si>
  <si>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</si>
  <si>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</si>
  <si>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</si>
  <si>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</si>
  <si>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</si>
  <si>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</si>
  <si>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</si>
  <si>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</si>
  <si>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</si>
  <si>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</si>
  <si>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</si>
  <si>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</si>
  <si>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</si>
  <si>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</si>
  <si>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</si>
  <si>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</si>
  <si>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</si>
  <si>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</si>
  <si>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</si>
  <si>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</si>
  <si>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</si>
  <si>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</si>
  <si>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</si>
  <si>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</si>
  <si>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</si>
  <si>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</si>
  <si>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</si>
  <si>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</si>
  <si>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</si>
  <si>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</si>
  <si>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</si>
  <si>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</si>
  <si>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</si>
  <si>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</si>
  <si>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</si>
  <si>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</si>
  <si>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</si>
  <si>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</si>
  <si>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</si>
  <si>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</si>
  <si>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</si>
  <si>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</si>
  <si>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</si>
  <si>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</si>
  <si>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</si>
  <si>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</si>
  <si>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</si>
  <si>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</si>
  <si>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</si>
  <si>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</si>
  <si>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</si>
  <si>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</si>
  <si>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</si>
  <si>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</si>
  <si>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</si>
  <si>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</si>
  <si>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</si>
  <si>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</si>
  <si>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</si>
  <si>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</si>
  <si>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</si>
  <si>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</si>
  <si>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</si>
  <si>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</si>
  <si>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</si>
  <si>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</si>
  <si>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</si>
  <si>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</si>
  <si>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</si>
  <si>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</si>
  <si>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</si>
  <si>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</si>
  <si>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</si>
  <si>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</si>
  <si>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</si>
  <si>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</si>
  <si>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</si>
  <si>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</si>
  <si>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</si>
  <si>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</si>
  <si>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</si>
  <si>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</si>
  <si>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</si>
  <si>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</si>
  <si>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</si>
  <si>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</si>
  <si>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</si>
  <si>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</si>
  <si>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</si>
  <si>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</si>
  <si>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</si>
  <si>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</si>
  <si>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</si>
  <si>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</si>
  <si>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</si>
  <si>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</si>
  <si>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</si>
  <si>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</si>
  <si>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</si>
  <si>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</si>
  <si>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</si>
  <si>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</si>
  <si>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</si>
  <si>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</si>
  <si>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</si>
  <si>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</si>
  <si>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</si>
  <si>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</si>
  <si>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</si>
  <si>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</si>
  <si>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</si>
  <si>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</si>
  <si>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</si>
  <si>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</si>
  <si>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</si>
  <si>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</si>
  <si>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</si>
  <si>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</si>
  <si>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</si>
  <si>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</si>
  <si>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</si>
  <si>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</si>
  <si>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</si>
  <si>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</si>
  <si>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</si>
  <si>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</si>
  <si>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</si>
  <si>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</si>
  <si>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</si>
  <si>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</si>
  <si>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</si>
  <si>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</si>
  <si>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</si>
  <si>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</si>
  <si>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</si>
  <si>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</si>
  <si>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</si>
  <si>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</si>
  <si>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</si>
  <si>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</si>
  <si>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</si>
  <si>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</si>
  <si>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</si>
  <si>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</si>
  <si>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</si>
  <si>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</si>
  <si>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</si>
  <si>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</si>
  <si>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</si>
  <si>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</si>
  <si>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</si>
  <si>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</si>
  <si>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</si>
  <si>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</si>
  <si>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</si>
  <si>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</si>
  <si>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</si>
  <si>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</si>
  <si>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</si>
  <si>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</si>
  <si>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</si>
  <si>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</si>
  <si>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</si>
  <si>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</si>
  <si>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</si>
  <si>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</si>
  <si>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</si>
  <si>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</si>
  <si>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</si>
  <si>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</si>
  <si>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</si>
  <si>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</si>
  <si>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</si>
  <si>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</si>
  <si>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</si>
  <si>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</si>
  <si>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</si>
  <si>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</si>
  <si>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</si>
  <si>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</si>
  <si>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</si>
  <si>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</si>
  <si>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</si>
  <si>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</si>
  <si>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</si>
  <si>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</si>
  <si>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</si>
  <si>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</si>
  <si>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</si>
  <si>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</si>
  <si>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</si>
  <si>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</si>
  <si>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</si>
  <si>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</si>
  <si>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</si>
  <si>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</si>
  <si>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</si>
  <si>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</si>
  <si>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</si>
  <si>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</si>
  <si>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</si>
  <si>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</si>
  <si>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</si>
  <si>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</si>
  <si>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</si>
  <si>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</si>
  <si>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</si>
  <si>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</si>
  <si>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</si>
  <si>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</si>
  <si>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</si>
  <si>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</si>
  <si>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</si>
  <si>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</si>
  <si>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</si>
  <si>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</si>
  <si>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</si>
  <si>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</si>
  <si>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</si>
  <si>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</si>
  <si>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</si>
  <si>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</si>
  <si>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</si>
  <si>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</si>
  <si>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</si>
  <si>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</si>
  <si>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</si>
  <si>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</si>
  <si>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</si>
  <si>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</si>
  <si>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</si>
  <si>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</si>
  <si>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</si>
  <si>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</si>
  <si>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</si>
  <si>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</si>
  <si>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</si>
  <si>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</si>
  <si>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</si>
  <si>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</si>
  <si>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</si>
  <si>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</si>
  <si>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</si>
  <si>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</si>
  <si>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</si>
  <si>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</si>
  <si>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</si>
  <si>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</si>
  <si>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</si>
  <si>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</si>
  <si>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</si>
  <si>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</si>
  <si>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</si>
  <si>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</si>
  <si>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</si>
  <si>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</si>
  <si>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</si>
  <si>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</si>
  <si>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</si>
  <si>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</si>
  <si>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</si>
  <si>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</si>
  <si>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</si>
  <si>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</si>
  <si>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</si>
  <si>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</si>
  <si>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</si>
  <si>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</si>
  <si>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</si>
  <si>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</si>
  <si>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</si>
  <si>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</si>
  <si>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</si>
  <si>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</si>
  <si>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</si>
  <si>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</si>
  <si>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</si>
  <si>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</si>
  <si>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</si>
  <si>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</si>
  <si>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</si>
  <si>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</si>
  <si>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</si>
  <si>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</si>
  <si>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</si>
  <si>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</si>
  <si>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</si>
  <si>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</si>
  <si>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</si>
  <si>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</si>
  <si>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</si>
  <si>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</si>
  <si>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</si>
  <si>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</si>
  <si>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</si>
  <si>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</si>
  <si>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</si>
  <si>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</si>
  <si>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</si>
  <si>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</si>
  <si>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</si>
  <si>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</si>
  <si>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</si>
  <si>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</si>
  <si>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</si>
  <si>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</si>
  <si>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</si>
  <si>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</si>
  <si>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</si>
  <si>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</si>
  <si>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</si>
  <si>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</si>
  <si>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</si>
  <si>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</si>
  <si>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</si>
  <si>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</si>
  <si>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</si>
  <si>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</si>
  <si>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</si>
  <si>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</si>
  <si>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</si>
  <si>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</si>
  <si>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</si>
  <si>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</si>
  <si>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</si>
  <si>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</si>
  <si>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</si>
  <si>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</si>
  <si>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</si>
  <si>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</si>
  <si>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</si>
  <si>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</si>
  <si>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</si>
  <si>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</si>
  <si>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</si>
  <si>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</si>
  <si>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</si>
  <si>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</si>
  <si>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</si>
  <si>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</si>
  <si>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</si>
  <si>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</si>
  <si>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</si>
  <si>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</si>
  <si>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</si>
  <si>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</si>
  <si>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</si>
  <si>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</si>
  <si>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</si>
  <si>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</si>
  <si>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</si>
  <si>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</si>
  <si>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</si>
  <si>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</si>
  <si>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</si>
  <si>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</si>
  <si>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</si>
  <si>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</si>
  <si>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</si>
  <si>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</si>
  <si>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</si>
  <si>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</si>
  <si>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</si>
  <si>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</si>
  <si>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</si>
  <si>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</si>
  <si>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</si>
  <si>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</si>
  <si>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</si>
  <si>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</si>
  <si>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</si>
  <si>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</si>
  <si>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</si>
  <si>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</si>
  <si>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</si>
  <si>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</si>
  <si>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</si>
  <si>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</si>
  <si>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</si>
  <si>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</si>
  <si>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</si>
  <si>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</si>
  <si>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</si>
  <si>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</si>
  <si>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</si>
  <si>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</si>
  <si>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</si>
  <si>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</si>
  <si>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</si>
  <si>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</si>
  <si>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</si>
  <si>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</si>
  <si>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</si>
  <si>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</si>
  <si>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</si>
  <si>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</si>
  <si>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</si>
  <si>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</si>
  <si>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</si>
  <si>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</si>
  <si>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</si>
  <si>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</si>
  <si>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</si>
  <si>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</si>
  <si>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</si>
  <si>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</si>
  <si>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</si>
  <si>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</si>
  <si>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</si>
  <si>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</si>
  <si>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</si>
  <si>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</si>
  <si>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</si>
  <si>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</si>
  <si>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</si>
  <si>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</si>
  <si>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</si>
  <si>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</si>
  <si>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</si>
  <si>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</si>
  <si>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</si>
  <si>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</si>
  <si>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</si>
  <si>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</si>
  <si>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</si>
  <si>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</si>
  <si>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</si>
  <si>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</si>
  <si>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</si>
  <si>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</si>
  <si>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</si>
  <si>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</si>
  <si>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</si>
  <si>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</si>
  <si>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</si>
  <si>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</si>
  <si>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</si>
  <si>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</si>
  <si>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</si>
  <si>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</si>
  <si>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</si>
  <si>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</si>
  <si>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</si>
  <si>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</si>
  <si>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</si>
  <si>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</si>
  <si>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</si>
  <si>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</si>
  <si>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</si>
  <si>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</si>
  <si>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</si>
  <si>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</si>
  <si>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</si>
  <si>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</si>
  <si>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</si>
  <si>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</si>
  <si>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</si>
  <si>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</si>
  <si>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</si>
  <si>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</si>
  <si>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</si>
  <si>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</si>
  <si>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</si>
  <si>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</si>
  <si>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</si>
  <si>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</si>
  <si>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</si>
  <si>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</si>
  <si>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</si>
  <si>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</si>
  <si>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</si>
  <si>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</si>
  <si>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</si>
  <si>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</si>
  <si>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</si>
  <si>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</si>
  <si>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</si>
  <si>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</si>
  <si>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</si>
  <si>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</si>
  <si>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</si>
  <si>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</si>
  <si>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</si>
  <si>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</si>
  <si>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</si>
  <si>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</si>
  <si>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</si>
  <si>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</si>
  <si>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</si>
  <si>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</si>
  <si>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</si>
  <si>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</si>
  <si>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</si>
  <si>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</si>
  <si>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</si>
  <si>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</si>
  <si>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</si>
  <si>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</si>
  <si>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</si>
  <si>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</si>
  <si>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</si>
  <si>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</si>
  <si>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</si>
  <si>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</si>
  <si>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</si>
  <si>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</si>
  <si>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</si>
  <si>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</si>
  <si>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</si>
  <si>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</si>
  <si>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</si>
  <si>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</si>
  <si>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</si>
  <si>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</si>
  <si>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</si>
  <si>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</si>
  <si>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</si>
  <si>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</si>
  <si>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</si>
  <si>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</si>
  <si>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</si>
  <si>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</si>
  <si>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</si>
  <si>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</si>
  <si>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</si>
  <si>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</si>
  <si>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</si>
  <si>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</si>
  <si>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</si>
  <si>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</si>
  <si>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</si>
  <si>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</si>
  <si>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</si>
  <si>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</si>
  <si>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</si>
  <si>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</si>
  <si>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</si>
  <si>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</si>
  <si>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</si>
  <si>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</si>
  <si>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</si>
  <si>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</si>
  <si>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</si>
  <si>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</si>
  <si>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</si>
  <si>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</si>
  <si>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</si>
  <si>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</si>
  <si>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</si>
  <si>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</si>
  <si>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</si>
  <si>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</si>
  <si>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</si>
  <si>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</si>
  <si>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</si>
  <si>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</si>
  <si>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</si>
  <si>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</si>
  <si>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</si>
  <si>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</si>
  <si>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</si>
  <si>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</si>
  <si>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</si>
  <si>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</si>
  <si>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</si>
  <si>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</si>
  <si>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</si>
  <si>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</si>
  <si>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</si>
  <si>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</si>
  <si>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</si>
  <si>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</si>
  <si>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</si>
  <si>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</si>
  <si>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</si>
  <si>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</si>
  <si>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</si>
  <si>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</si>
  <si>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</si>
  <si>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</si>
  <si>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</si>
  <si>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</si>
  <si>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</si>
  <si>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</si>
  <si>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</si>
  <si>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</si>
  <si>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</si>
  <si>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</si>
  <si>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</si>
  <si>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</si>
  <si>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</si>
  <si>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</si>
  <si>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</si>
  <si>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</si>
  <si>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</si>
  <si>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</si>
  <si>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</si>
  <si>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</si>
  <si>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</si>
  <si>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</si>
  <si>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</si>
  <si>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</si>
  <si>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</si>
  <si>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</si>
  <si>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</si>
  <si>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</si>
  <si>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</si>
  <si>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</si>
  <si>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</si>
  <si>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</si>
  <si>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</si>
  <si>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</si>
  <si>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</si>
  <si>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</si>
  <si>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</si>
  <si>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</si>
  <si>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</si>
  <si>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</si>
  <si>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</si>
  <si>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</si>
  <si>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</si>
  <si>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</si>
  <si>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</si>
  <si>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</si>
  <si>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</si>
  <si>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</si>
  <si>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</si>
  <si>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</si>
  <si>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</si>
  <si>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</si>
  <si>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</si>
  <si>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</si>
  <si>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</si>
  <si>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</si>
  <si>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</si>
  <si>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</si>
  <si>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</si>
  <si>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</si>
  <si>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</si>
  <si>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</si>
  <si>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</si>
  <si>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</si>
  <si>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</si>
  <si>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</si>
  <si>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</si>
  <si>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</si>
  <si>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</si>
  <si>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</si>
  <si>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</si>
  <si>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</si>
  <si>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</si>
  <si>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</si>
  <si>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</si>
  <si>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</si>
  <si>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</si>
  <si>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</si>
  <si>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</si>
  <si>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</si>
  <si>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</si>
  <si>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</si>
  <si>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</si>
  <si>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</si>
  <si>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</si>
  <si>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</si>
  <si>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</si>
  <si>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</si>
  <si>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</si>
  <si>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</si>
  <si>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</si>
  <si>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</si>
  <si>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</si>
  <si>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</si>
  <si>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</si>
  <si>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</si>
  <si>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</si>
  <si>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</si>
  <si>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</si>
  <si>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</si>
  <si>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</si>
  <si>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</si>
  <si>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</si>
  <si>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</si>
  <si>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</si>
  <si>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</si>
  <si>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</si>
  <si>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</si>
  <si>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</si>
  <si>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</si>
  <si>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</si>
  <si>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</si>
  <si>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</si>
  <si>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</si>
  <si>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</si>
  <si>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</si>
  <si>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</si>
  <si>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</si>
  <si>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</si>
  <si>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</si>
  <si>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</si>
  <si>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</si>
  <si>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</si>
  <si>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</si>
  <si>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</si>
  <si>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</si>
  <si>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</si>
  <si>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</si>
  <si>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</si>
  <si>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</si>
  <si>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</si>
  <si>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</si>
  <si>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</si>
  <si>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</si>
  <si>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</si>
  <si>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</si>
  <si>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</si>
  <si>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</si>
  <si>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</si>
  <si>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</si>
  <si>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</si>
  <si>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</si>
  <si>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</si>
  <si>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</si>
  <si>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</si>
  <si>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</si>
  <si>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</si>
  <si>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</si>
  <si>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</si>
  <si>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</si>
  <si>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</si>
  <si>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</si>
  <si>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</si>
  <si>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</si>
  <si>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</si>
  <si>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</si>
  <si>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</si>
  <si>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</si>
  <si>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</si>
  <si>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</si>
  <si>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</si>
  <si>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</si>
  <si>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</si>
  <si>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</si>
  <si>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</si>
  <si>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</si>
  <si>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</si>
  <si>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</si>
  <si>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</si>
  <si>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</si>
  <si>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</si>
  <si>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</si>
  <si>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</si>
  <si>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</si>
  <si>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</si>
  <si>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</si>
  <si>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</si>
  <si>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</si>
  <si>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</si>
  <si>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</si>
  <si>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</si>
  <si>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</si>
  <si>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</si>
  <si>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</si>
  <si>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</si>
  <si>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</si>
  <si>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</si>
  <si>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</si>
  <si>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</si>
  <si>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</si>
  <si>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</si>
  <si>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</si>
  <si>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</si>
  <si>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</si>
  <si>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</si>
  <si>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</si>
  <si>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</si>
  <si>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</si>
  <si>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</si>
  <si>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</si>
  <si>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</si>
  <si>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</si>
  <si>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</si>
  <si>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</si>
  <si>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</si>
  <si>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</si>
  <si>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</si>
  <si>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</si>
  <si>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</si>
  <si>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</si>
  <si>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</si>
  <si>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</si>
  <si>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</si>
  <si>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</si>
  <si>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</si>
  <si>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</si>
  <si>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</si>
  <si>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</si>
  <si>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</si>
  <si>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</si>
  <si>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</si>
  <si>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</si>
  <si>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</si>
  <si>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</si>
  <si>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</si>
  <si>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</si>
  <si>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</si>
  <si>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</si>
  <si>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</si>
  <si>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</si>
  <si>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</si>
  <si>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</si>
  <si>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</si>
  <si>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</si>
  <si>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</si>
  <si>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</si>
  <si>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</si>
  <si>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</si>
  <si>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</si>
  <si>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</si>
  <si>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</si>
  <si>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</si>
  <si>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</si>
  <si>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</si>
  <si>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</si>
  <si>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</si>
  <si>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</si>
  <si>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</si>
  <si>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</si>
  <si>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</si>
  <si>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</si>
  <si>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</si>
  <si>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</si>
  <si>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</si>
  <si>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</si>
  <si>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</si>
  <si>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</si>
  <si>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</si>
  <si>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</si>
  <si>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</si>
  <si>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</si>
  <si>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</si>
  <si>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</si>
  <si>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</si>
  <si>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</si>
  <si>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</si>
  <si>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</si>
  <si>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</si>
  <si>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</si>
  <si>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</si>
  <si>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</si>
  <si>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</si>
  <si>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</si>
  <si>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</si>
  <si>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</si>
  <si>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</si>
  <si>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</si>
  <si>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</si>
  <si>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</si>
  <si>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</si>
  <si>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</si>
  <si>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</si>
  <si>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</si>
  <si>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</si>
  <si>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</si>
  <si>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</si>
  <si>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</si>
  <si>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</si>
  <si>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</si>
  <si>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</si>
  <si>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</si>
  <si>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</si>
  <si>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</si>
  <si>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</si>
  <si>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</si>
  <si>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</si>
  <si>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</si>
  <si>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</si>
  <si>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</si>
  <si>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</si>
  <si>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</si>
  <si>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</si>
  <si>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</si>
  <si>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</si>
  <si>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</si>
  <si>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</si>
  <si>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</si>
  <si>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</si>
  <si>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</si>
  <si>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</si>
  <si>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</si>
  <si>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</si>
  <si>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</si>
  <si>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</si>
  <si>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</si>
  <si>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</si>
  <si>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</si>
  <si>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</si>
  <si>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</si>
  <si>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</si>
  <si>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</si>
  <si>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</si>
  <si>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</si>
  <si>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</si>
  <si>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</si>
  <si>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</si>
  <si>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</si>
  <si>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</si>
  <si>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</si>
  <si>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</si>
  <si>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</si>
  <si>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</si>
  <si>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</si>
  <si>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</si>
  <si>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</si>
  <si>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</si>
  <si>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</si>
  <si>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</si>
  <si>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</si>
  <si>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</si>
  <si>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</si>
  <si>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</si>
  <si>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</si>
  <si>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</si>
  <si>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</si>
  <si>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</si>
  <si>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</si>
  <si>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</si>
  <si>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</si>
  <si>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</si>
  <si>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</si>
  <si>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</si>
  <si>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</si>
  <si>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</si>
  <si>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</si>
  <si>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</si>
  <si>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</si>
  <si>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</si>
  <si>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</si>
  <si>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</si>
  <si>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</si>
  <si>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</si>
  <si>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</si>
  <si>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</si>
  <si>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</si>
  <si>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</si>
  <si>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</si>
  <si>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</si>
  <si>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</si>
  <si>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</si>
  <si>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</si>
  <si>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</si>
  <si>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</si>
  <si>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</si>
  <si>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</si>
  <si>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</si>
  <si>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</si>
  <si>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</si>
  <si>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</si>
  <si>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</si>
  <si>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</si>
  <si>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</si>
  <si>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</si>
  <si>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</si>
  <si>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</si>
  <si>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</si>
  <si>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</si>
  <si>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</si>
  <si>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</si>
  <si>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</si>
  <si>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</si>
  <si>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</si>
  <si>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</si>
  <si>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</si>
  <si>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</si>
  <si>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</si>
  <si>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</si>
  <si>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</si>
  <si>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</si>
  <si>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</si>
  <si>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</si>
  <si>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</si>
  <si>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</si>
  <si>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</si>
  <si>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</si>
  <si>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</si>
  <si>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</si>
  <si>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</si>
  <si>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</si>
  <si>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</si>
  <si>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</si>
  <si>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</si>
  <si>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</si>
  <si>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</si>
  <si>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</si>
  <si>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</si>
  <si>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</si>
  <si>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</si>
  <si>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</si>
  <si>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</si>
  <si>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</si>
  <si>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</si>
  <si>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</si>
  <si>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</si>
  <si>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</si>
  <si>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</si>
  <si>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</si>
  <si>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</si>
  <si>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</si>
  <si>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</si>
  <si>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</si>
  <si>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</si>
  <si>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</si>
  <si>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</si>
  <si>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</si>
  <si>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</si>
  <si>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</si>
  <si>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</si>
  <si>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</si>
  <si>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</si>
  <si>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</si>
  <si>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</si>
  <si>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</si>
  <si>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</si>
  <si>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</si>
  <si>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</si>
  <si>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</si>
  <si>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</si>
  <si>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</si>
  <si>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</si>
  <si>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</si>
  <si>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</si>
  <si>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</si>
  <si>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</si>
  <si>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</si>
  <si>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</si>
  <si>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</si>
  <si>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</si>
  <si>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</si>
  <si>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</si>
  <si>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</si>
  <si>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</si>
  <si>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</si>
  <si>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</si>
  <si>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</si>
  <si>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</si>
  <si>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</si>
  <si>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</si>
  <si>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</si>
  <si>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</si>
  <si>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</si>
  <si>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</si>
  <si>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</si>
  <si>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</si>
  <si>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</si>
  <si>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</si>
  <si>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</si>
  <si>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</si>
  <si>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</si>
  <si>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</si>
  <si>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</si>
  <si>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</si>
  <si>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</si>
  <si>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</si>
  <si>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</si>
  <si>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</si>
  <si>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</si>
  <si>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</si>
  <si>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</si>
  <si>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</si>
  <si>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</si>
  <si>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</si>
  <si>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</si>
  <si>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</si>
  <si>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</si>
  <si>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</si>
  <si>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</si>
  <si>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</si>
  <si>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</si>
  <si>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</si>
  <si>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</si>
  <si>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</si>
  <si>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</si>
  <si>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</si>
  <si>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</si>
  <si>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</si>
  <si>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</si>
  <si>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</si>
  <si>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</si>
  <si>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</si>
  <si>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</si>
  <si>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</si>
  <si>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</si>
  <si>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</si>
  <si>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</si>
  <si>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</si>
  <si>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</si>
  <si>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</si>
  <si>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</si>
  <si>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</si>
  <si>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</si>
  <si>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</si>
  <si>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</si>
  <si>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</si>
  <si>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</si>
  <si>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</si>
  <si>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</si>
  <si>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</si>
  <si>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</si>
  <si>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</si>
  <si>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</si>
  <si>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</si>
  <si>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</si>
  <si>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</si>
  <si>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</si>
  <si>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</si>
  <si>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</si>
  <si>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</si>
  <si>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</si>
  <si>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</si>
  <si>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</si>
  <si>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</si>
  <si>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</si>
  <si>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</si>
  <si>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</si>
  <si>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</si>
  <si>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</si>
  <si>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</si>
  <si>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</si>
  <si>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</si>
  <si>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</si>
  <si>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</si>
  <si>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</si>
  <si>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</si>
  <si>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</si>
  <si>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</si>
  <si>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</si>
  <si>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</si>
  <si>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</si>
  <si>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</si>
  <si>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</si>
  <si>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</si>
  <si>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</si>
  <si>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</si>
  <si>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</si>
  <si>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</si>
  <si>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</si>
  <si>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</si>
  <si>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</si>
  <si>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</si>
  <si>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</si>
  <si>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</si>
  <si>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</si>
  <si>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</si>
  <si>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</si>
  <si>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</si>
  <si>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</si>
  <si>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</si>
  <si>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</si>
  <si>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</si>
  <si>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</si>
  <si>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</si>
  <si>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</si>
  <si>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</si>
  <si>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</si>
  <si>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</si>
  <si>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</si>
  <si>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</si>
  <si>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</si>
  <si>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</si>
  <si>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</si>
  <si>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</si>
  <si>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</si>
  <si>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</si>
  <si>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</si>
  <si>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</si>
  <si>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</si>
  <si>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</si>
  <si>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</si>
  <si>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</si>
  <si>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</si>
  <si>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</si>
  <si>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</si>
  <si>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</si>
  <si>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</si>
  <si>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</si>
  <si>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</si>
  <si>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</si>
  <si>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</si>
  <si>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</si>
  <si>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</si>
  <si>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</si>
  <si>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</si>
  <si>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</si>
  <si>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</si>
  <si>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</si>
  <si>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</si>
  <si>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</si>
  <si>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</si>
  <si>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</si>
  <si>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</si>
  <si>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</si>
  <si>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</si>
  <si>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</si>
  <si>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</si>
  <si>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</si>
  <si>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</si>
  <si>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</si>
  <si>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</si>
  <si>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</si>
  <si>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</si>
  <si>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</si>
  <si>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</si>
  <si>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</si>
  <si>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</si>
  <si>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</si>
  <si>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</si>
  <si>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</si>
  <si>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</si>
  <si>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</si>
  <si>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</si>
  <si>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</si>
  <si>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</si>
  <si>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</si>
  <si>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</si>
  <si>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</si>
  <si>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</si>
  <si>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</si>
  <si>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</si>
  <si>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</si>
  <si>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</si>
  <si>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</si>
  <si>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</si>
  <si>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</si>
  <si>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</si>
  <si>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</si>
  <si>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</si>
  <si>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</si>
  <si>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</si>
  <si>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</si>
  <si>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</si>
  <si>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</si>
  <si>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</si>
  <si>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</si>
  <si>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</si>
  <si>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</si>
  <si>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</si>
  <si>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</si>
  <si>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</si>
  <si>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</si>
  <si>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</si>
  <si>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</si>
  <si>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</si>
  <si>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</si>
  <si>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</si>
  <si>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</si>
  <si>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</si>
  <si>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</si>
  <si>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</si>
  <si>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</si>
  <si>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</si>
  <si>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</si>
  <si>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</si>
  <si>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</si>
  <si>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</si>
  <si>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</si>
  <si>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</si>
  <si>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</si>
  <si>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</si>
  <si>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</si>
  <si>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</si>
  <si>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</si>
  <si>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</si>
  <si>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</si>
  <si>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</si>
  <si>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</si>
  <si>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</si>
  <si>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</si>
  <si>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</si>
  <si>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</si>
  <si>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</si>
  <si>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</si>
  <si>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</si>
  <si>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</si>
  <si>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</si>
  <si>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</si>
  <si>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</si>
  <si>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</si>
  <si>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</si>
  <si>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</si>
  <si>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</si>
  <si>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</si>
  <si>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</si>
  <si>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</si>
  <si>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</si>
  <si>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</si>
  <si>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</si>
  <si>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</si>
  <si>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</si>
  <si>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</si>
  <si>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</si>
  <si>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</si>
  <si>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</si>
  <si>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</si>
  <si>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</si>
  <si>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</si>
  <si>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</si>
  <si>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</si>
  <si>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</si>
  <si>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</si>
  <si>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</si>
  <si>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</si>
  <si>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</si>
  <si>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</si>
  <si>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</si>
  <si>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</si>
  <si>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</si>
  <si>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</si>
  <si>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</si>
  <si>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</si>
  <si>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</si>
  <si>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</si>
  <si>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</si>
  <si>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</si>
  <si>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</si>
  <si>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</si>
  <si>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</si>
  <si>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</si>
  <si>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</si>
  <si>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</si>
  <si>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</si>
  <si>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</si>
  <si>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</si>
  <si>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</si>
  <si>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</si>
  <si>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</si>
  <si>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</si>
  <si>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</si>
  <si>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</si>
  <si>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</si>
  <si>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</si>
  <si>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</si>
  <si>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</si>
  <si>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</si>
  <si>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</si>
  <si>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</si>
  <si>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</si>
  <si>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</si>
  <si>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</si>
  <si>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</si>
  <si>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</si>
  <si>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</si>
  <si>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</si>
  <si>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</si>
  <si>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</si>
  <si>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</si>
  <si>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</si>
  <si>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</si>
  <si>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</si>
  <si>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</si>
  <si>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</si>
  <si>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</si>
  <si>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</si>
  <si>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</si>
  <si>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</si>
  <si>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</si>
  <si>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</si>
  <si>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</si>
  <si>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</si>
  <si>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</si>
  <si>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</si>
  <si>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</si>
  <si>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</si>
  <si>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</si>
  <si>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</si>
  <si>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</si>
  <si>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</si>
  <si>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</si>
  <si>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</si>
  <si>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</si>
  <si>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</si>
  <si>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</si>
  <si>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</si>
  <si>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</si>
  <si>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</si>
  <si>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</si>
  <si>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</si>
  <si>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</si>
  <si>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</si>
  <si>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</si>
  <si>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</si>
  <si>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</si>
  <si>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</si>
  <si>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</si>
  <si>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</si>
  <si>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</si>
  <si>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</si>
  <si>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</si>
  <si>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</si>
  <si>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</si>
  <si>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</si>
  <si>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</si>
  <si>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</si>
  <si>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</si>
  <si>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</si>
  <si>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</si>
  <si>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</si>
  <si>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</si>
  <si>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</si>
  <si>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</si>
  <si>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</si>
  <si>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</si>
  <si>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</si>
  <si>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</si>
  <si>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</si>
  <si>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</si>
  <si>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</si>
  <si>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</si>
  <si>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</si>
  <si>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</si>
  <si>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</si>
  <si>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</si>
  <si>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</si>
  <si>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</si>
  <si>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</si>
  <si>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</si>
  <si>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</si>
  <si>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</si>
  <si>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</si>
  <si>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</si>
  <si>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</si>
  <si>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</si>
  <si>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</si>
  <si>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</si>
  <si>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</si>
  <si>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</si>
  <si>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</si>
  <si>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</si>
  <si>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</si>
  <si>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</si>
  <si>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</si>
  <si>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</si>
  <si>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</si>
  <si>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</si>
  <si>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</si>
  <si>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</si>
  <si>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</si>
  <si>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</si>
  <si>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</si>
  <si>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</si>
  <si>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</si>
  <si>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</si>
  <si>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</si>
  <si>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</si>
  <si>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</si>
  <si>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</si>
  <si>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</si>
  <si>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</si>
  <si>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</si>
  <si>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</si>
  <si>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</si>
  <si>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</si>
  <si>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</si>
  <si>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</si>
  <si>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</si>
  <si>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</si>
  <si>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</si>
  <si>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</si>
  <si>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</si>
  <si>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</si>
  <si>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</si>
  <si>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</si>
  <si>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</si>
  <si>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</si>
  <si>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</si>
  <si>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</si>
  <si>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</si>
  <si>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</si>
  <si>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</si>
  <si>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</si>
  <si>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</si>
  <si>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</si>
  <si>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</si>
  <si>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</si>
  <si>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</si>
  <si>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</si>
  <si>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</si>
  <si>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</si>
  <si>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</si>
  <si>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</si>
  <si>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</si>
  <si>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</si>
  <si>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</si>
  <si>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</si>
  <si>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</si>
  <si>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</si>
  <si>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</si>
  <si>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</si>
  <si>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</si>
  <si>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</si>
  <si>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</si>
  <si>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</si>
  <si>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</si>
  <si>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</si>
  <si>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</si>
  <si>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</si>
  <si>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</si>
  <si>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</si>
  <si>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</si>
  <si>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</si>
  <si>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</si>
  <si>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</si>
  <si>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</si>
  <si>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</si>
  <si>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</si>
  <si>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</si>
  <si>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</si>
  <si>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</si>
  <si>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</si>
  <si>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</si>
  <si>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</si>
  <si>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</si>
  <si>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</si>
  <si>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</si>
  <si>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</si>
  <si>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</si>
  <si>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</si>
  <si>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</si>
  <si>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</si>
  <si>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</si>
  <si>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</si>
  <si>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</si>
  <si>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</si>
  <si>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</si>
  <si>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</si>
  <si>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</si>
  <si>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</si>
  <si>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</si>
  <si>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</si>
  <si>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</si>
  <si>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</si>
  <si>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</si>
  <si>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</si>
  <si>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</si>
  <si>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</si>
  <si>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</si>
  <si>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</si>
  <si>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</si>
  <si>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</si>
  <si>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</si>
  <si>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</si>
  <si>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</si>
  <si>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</si>
  <si>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</si>
  <si>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</si>
  <si>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</si>
  <si>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</si>
  <si>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</si>
  <si>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</si>
  <si>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</si>
  <si>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</si>
  <si>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</si>
  <si>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</si>
  <si>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</si>
  <si>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</si>
  <si>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</si>
  <si>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</si>
  <si>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</si>
  <si>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</si>
  <si>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</si>
  <si>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</si>
  <si>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</si>
  <si>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</si>
  <si>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</si>
  <si>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</si>
  <si>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</si>
  <si>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</si>
  <si>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</si>
  <si>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</si>
  <si>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</si>
  <si>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</si>
  <si>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</si>
  <si>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</si>
  <si>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</si>
  <si>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</si>
  <si>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</si>
  <si>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</si>
  <si>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</si>
  <si>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</si>
  <si>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</si>
  <si>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</si>
  <si>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</si>
  <si>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</si>
  <si>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</si>
  <si>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</si>
  <si>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</si>
  <si>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</si>
  <si>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</si>
  <si>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</si>
  <si>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</si>
  <si>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</si>
  <si>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</si>
  <si>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</si>
  <si>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</si>
  <si>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</si>
  <si>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</si>
  <si>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</si>
  <si>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</si>
  <si>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</si>
  <si>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</si>
  <si>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</si>
  <si>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</si>
  <si>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</si>
  <si>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</si>
  <si>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</si>
  <si>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</si>
  <si>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</si>
  <si>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</si>
  <si>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</si>
  <si>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</si>
  <si>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</si>
  <si>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</si>
  <si>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</si>
  <si>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</si>
  <si>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</si>
  <si>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</si>
  <si>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</si>
  <si>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</si>
  <si>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</si>
  <si>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</si>
  <si>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</si>
  <si>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</si>
  <si>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</si>
  <si>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</si>
  <si>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</si>
  <si>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</si>
  <si>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</si>
  <si>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</si>
  <si>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</si>
  <si>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</si>
  <si>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</si>
  <si>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</si>
  <si>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</si>
  <si>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</si>
  <si>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</si>
  <si>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</si>
  <si>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</si>
  <si>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</si>
  <si>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</si>
  <si>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</si>
  <si>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</si>
  <si>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</si>
  <si>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</si>
  <si>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</si>
  <si>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</si>
  <si>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</si>
  <si>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</si>
  <si>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</si>
  <si>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</si>
  <si>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</si>
  <si>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</si>
  <si>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</si>
  <si>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</si>
  <si>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</si>
  <si>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</si>
  <si>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</si>
  <si>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</si>
  <si>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</si>
  <si>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</si>
  <si>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</si>
  <si>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</si>
  <si>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</si>
  <si>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</si>
  <si>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</si>
  <si>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</si>
  <si>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</si>
  <si>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</si>
  <si>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</si>
  <si>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</si>
  <si>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</si>
  <si>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</si>
  <si>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</si>
  <si>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</si>
  <si>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</si>
  <si>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</si>
  <si>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</si>
  <si>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</si>
  <si>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</si>
  <si>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</si>
  <si>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</si>
  <si>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</si>
  <si>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</si>
  <si>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</si>
  <si>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</si>
  <si>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</si>
  <si>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</si>
  <si>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</si>
  <si>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</si>
  <si>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</si>
  <si>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</si>
  <si>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</si>
  <si>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</si>
  <si>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</si>
  <si>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</si>
  <si>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</si>
  <si>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</si>
  <si>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</si>
  <si>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</si>
  <si>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</si>
  <si>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</si>
  <si>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</si>
  <si>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</si>
  <si>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</si>
  <si>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</si>
  <si>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</si>
  <si>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</si>
  <si>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</si>
  <si>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</si>
  <si>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</si>
  <si>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</si>
  <si>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</si>
  <si>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</si>
  <si>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</si>
  <si>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</si>
  <si>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</si>
  <si>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</si>
  <si>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</si>
  <si>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</si>
  <si>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</si>
  <si>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</si>
  <si>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</si>
  <si>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</si>
  <si>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</si>
  <si>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</si>
  <si>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</si>
  <si>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</si>
  <si>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</si>
  <si>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</si>
  <si>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</si>
  <si>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</si>
  <si>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</si>
  <si>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</si>
  <si>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</si>
  <si>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</si>
  <si>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</si>
  <si>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</si>
  <si>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</si>
  <si>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</si>
  <si>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</si>
  <si>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</si>
  <si>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</si>
  <si>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</si>
  <si>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</si>
  <si>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</si>
  <si>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</si>
  <si>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</si>
  <si>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</si>
  <si>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</si>
  <si>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</si>
  <si>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</si>
  <si>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</si>
  <si>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</si>
  <si>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</si>
  <si>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</si>
  <si>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</si>
  <si>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</si>
  <si>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</si>
  <si>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</si>
  <si>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</si>
  <si>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</si>
  <si>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</si>
  <si>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</si>
  <si>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</si>
  <si>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</si>
  <si>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</si>
  <si>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</si>
  <si>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</si>
  <si>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</si>
  <si>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</si>
  <si>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</si>
  <si>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</si>
  <si>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</si>
  <si>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</si>
  <si>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</si>
  <si>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</si>
  <si>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</si>
  <si>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</si>
  <si>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</si>
  <si>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</si>
  <si>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</si>
  <si>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</si>
  <si>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</si>
  <si>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</si>
  <si>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</si>
  <si>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</si>
  <si>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</si>
  <si>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</si>
  <si>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</si>
  <si>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</si>
  <si>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</si>
  <si>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</si>
  <si>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</si>
  <si>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</si>
  <si>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</si>
  <si>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</si>
  <si>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</si>
  <si>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</si>
  <si>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</si>
  <si>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</si>
  <si>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</si>
  <si>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</si>
  <si>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</si>
  <si>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</si>
  <si>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</si>
  <si>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</si>
  <si>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</si>
  <si>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</si>
  <si>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</si>
  <si>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</si>
  <si>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</si>
  <si>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</si>
  <si>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</si>
  <si>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</si>
  <si>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</si>
  <si>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</si>
  <si>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</si>
  <si>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</si>
  <si>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</si>
  <si>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</si>
  <si>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</si>
  <si>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</si>
  <si>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</si>
  <si>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</si>
  <si>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</si>
  <si>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</si>
  <si>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</si>
  <si>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</si>
  <si>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</si>
  <si>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</si>
  <si>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</si>
  <si>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</si>
  <si>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</si>
  <si>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</si>
  <si>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</si>
  <si>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</si>
  <si>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</si>
  <si>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</si>
  <si>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</si>
  <si>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</si>
  <si>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</si>
  <si>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</si>
  <si>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</si>
  <si>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</si>
  <si>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</si>
  <si>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</si>
  <si>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</si>
  <si>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</si>
  <si>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</si>
  <si>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</si>
  <si>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</si>
  <si>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</si>
  <si>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</si>
  <si>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</si>
  <si>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</si>
  <si>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</si>
  <si>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</si>
  <si>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</si>
  <si>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</si>
  <si>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</si>
  <si>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</si>
  <si>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</si>
  <si>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</si>
  <si>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</si>
  <si>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</si>
  <si>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</si>
  <si>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</si>
  <si>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</si>
  <si>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</si>
  <si>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</si>
  <si>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</si>
  <si>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</si>
  <si>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</si>
  <si>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</si>
  <si>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</si>
  <si>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</si>
  <si>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</si>
  <si>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</si>
  <si>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</si>
  <si>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</si>
  <si>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</si>
  <si>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</si>
  <si>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</si>
  <si>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</si>
  <si>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</si>
  <si>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</si>
  <si>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</si>
  <si>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</si>
  <si>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</si>
  <si>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</si>
  <si>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</si>
  <si>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</si>
  <si>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</si>
  <si>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</si>
  <si>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</si>
  <si>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</si>
  <si>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</si>
  <si>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</si>
  <si>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</si>
  <si>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</si>
  <si>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</si>
  <si>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</si>
  <si>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</si>
  <si>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</si>
  <si>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</si>
  <si>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</si>
  <si>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</si>
  <si>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</si>
  <si>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</si>
  <si>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</si>
  <si>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</si>
  <si>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</si>
  <si>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</si>
  <si>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</si>
  <si>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</si>
  <si>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</si>
  <si>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</si>
  <si>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</si>
  <si>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</si>
  <si>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</si>
  <si>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</si>
  <si>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</si>
  <si>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</si>
  <si>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</si>
  <si>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</si>
  <si>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</si>
  <si>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</si>
  <si>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</si>
  <si>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</si>
  <si>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</si>
  <si>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</si>
  <si>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</si>
  <si>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</si>
  <si>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</si>
  <si>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</si>
  <si>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</si>
  <si>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</si>
  <si>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</si>
  <si>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</si>
  <si>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</si>
  <si>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</si>
  <si>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</si>
  <si>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</si>
  <si>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</si>
  <si>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</si>
  <si>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</si>
  <si>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</si>
  <si>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</si>
  <si>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</si>
  <si>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</si>
  <si>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</si>
  <si>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</si>
  <si>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</si>
  <si>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</si>
  <si>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</si>
  <si>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</si>
  <si>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</si>
  <si>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</si>
  <si>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</si>
  <si>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</si>
  <si>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</si>
  <si>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</si>
  <si>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</si>
  <si>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</si>
  <si>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</si>
  <si>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</si>
  <si>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</si>
  <si>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</si>
  <si>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</si>
  <si>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</si>
  <si>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</si>
  <si>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</si>
  <si>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</si>
  <si>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</si>
  <si>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</si>
  <si>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</si>
  <si>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</si>
  <si>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</si>
  <si>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</si>
  <si>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</si>
  <si>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</si>
  <si>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</si>
  <si>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</si>
  <si>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</si>
  <si>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</si>
  <si>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</si>
  <si>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</si>
  <si>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</si>
  <si>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</si>
  <si>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</si>
  <si>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</si>
  <si>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</si>
  <si>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</si>
  <si>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</si>
  <si>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</si>
  <si>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</si>
  <si>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</si>
  <si>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</si>
  <si>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</si>
  <si>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</si>
  <si>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</si>
  <si>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</si>
  <si>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</si>
  <si>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</si>
  <si>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</si>
  <si>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</si>
  <si>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</si>
  <si>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</si>
  <si>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</si>
  <si>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</si>
  <si>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</si>
  <si>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</si>
  <si>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</si>
  <si>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</si>
  <si>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</si>
  <si>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</si>
  <si>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</si>
  <si>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</si>
  <si>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</si>
  <si>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</si>
  <si>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</si>
  <si>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</si>
  <si>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</si>
  <si>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</si>
  <si>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</si>
  <si>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</si>
  <si>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</si>
  <si>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</si>
  <si>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</si>
  <si>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</si>
  <si>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</si>
  <si>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</si>
  <si>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</si>
  <si>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</si>
  <si>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</si>
  <si>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</si>
  <si>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</si>
  <si>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</si>
  <si>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</si>
  <si>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</si>
  <si>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</si>
  <si>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</si>
  <si>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</si>
  <si>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</si>
  <si>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</si>
  <si>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</si>
  <si>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</si>
  <si>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</si>
  <si>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</si>
  <si>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</si>
  <si>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</si>
  <si>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</si>
  <si>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</si>
  <si>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</si>
  <si>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</si>
  <si>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</si>
  <si>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</si>
  <si>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</si>
  <si>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</si>
  <si>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</si>
  <si>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</si>
  <si>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</si>
  <si>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</si>
  <si>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</si>
  <si>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</si>
  <si>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</si>
  <si>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</si>
  <si>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</si>
  <si>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</si>
  <si>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</si>
  <si>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</si>
  <si>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</si>
  <si>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</si>
  <si>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</si>
  <si>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</si>
  <si>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</si>
  <si>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</si>
  <si>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</si>
  <si>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</si>
  <si>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</si>
  <si>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</si>
  <si>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</si>
  <si>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</si>
  <si>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</si>
  <si>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</si>
  <si>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</si>
  <si>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</si>
  <si>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</si>
  <si>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</si>
  <si>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</si>
  <si>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</si>
  <si>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</si>
  <si>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</si>
  <si>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</si>
  <si>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</si>
  <si>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</si>
  <si>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</si>
  <si>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</si>
  <si>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</si>
  <si>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</si>
  <si>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</si>
  <si>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</si>
  <si>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</si>
  <si>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</si>
  <si>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</si>
  <si>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</si>
  <si>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</si>
  <si>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</si>
  <si>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</si>
  <si>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</si>
  <si>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</si>
  <si>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</si>
  <si>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</si>
  <si>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</si>
  <si>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</si>
  <si>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</si>
  <si>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</si>
  <si>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</si>
  <si>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</si>
  <si>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</si>
  <si>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</si>
  <si>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</si>
  <si>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</si>
  <si>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</si>
  <si>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</si>
  <si>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</si>
  <si>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</si>
  <si>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</si>
  <si>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</si>
  <si>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</si>
  <si>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</si>
  <si>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</si>
  <si>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</si>
  <si>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</si>
  <si>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</si>
  <si>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</si>
  <si>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</si>
  <si>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</si>
  <si>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</si>
  <si>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</si>
  <si>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</si>
  <si>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</si>
  <si>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</si>
  <si>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</si>
  <si>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</si>
  <si>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</si>
  <si>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</si>
  <si>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</si>
  <si>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</si>
  <si>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</si>
  <si>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</si>
  <si>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</si>
  <si>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</si>
  <si>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</si>
  <si>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</si>
  <si>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</si>
  <si>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</si>
  <si>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</si>
  <si>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</si>
  <si>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</si>
  <si>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</si>
  <si>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</si>
  <si>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</si>
  <si>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</si>
  <si>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</si>
  <si>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</si>
  <si>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</si>
  <si>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</si>
  <si>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</si>
  <si>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</si>
  <si>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</si>
  <si>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</si>
  <si>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</si>
  <si>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</si>
  <si>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</si>
  <si>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</si>
  <si>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</si>
  <si>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</si>
  <si>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</si>
  <si>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</si>
  <si>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</si>
  <si>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</si>
  <si>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</si>
  <si>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</si>
  <si>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</si>
  <si>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</si>
  <si>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</si>
  <si>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</si>
  <si>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</si>
  <si>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</si>
  <si>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</si>
  <si>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</si>
  <si>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</si>
  <si>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</si>
  <si>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</si>
  <si>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</si>
  <si>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</si>
  <si>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</si>
  <si>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</si>
  <si>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</si>
  <si>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</si>
  <si>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</si>
  <si>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</si>
  <si>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</si>
  <si>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</si>
  <si>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</si>
  <si>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</si>
  <si>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</si>
  <si>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</si>
  <si>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</si>
  <si>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</si>
  <si>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</si>
  <si>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</si>
  <si>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</si>
  <si>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</si>
  <si>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</si>
  <si>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</si>
  <si>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</si>
  <si>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</si>
  <si>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</si>
  <si>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</si>
  <si>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</si>
  <si>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</si>
  <si>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</si>
  <si>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</si>
  <si>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</si>
  <si>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</si>
  <si>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</si>
  <si>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</si>
  <si>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</si>
  <si>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</si>
  <si>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</si>
  <si>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</si>
  <si>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</si>
  <si>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</si>
  <si>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</si>
  <si>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</si>
  <si>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</si>
  <si>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</si>
  <si>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</si>
  <si>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</si>
  <si>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</si>
  <si>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</si>
  <si>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</si>
  <si>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</si>
  <si>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</si>
  <si>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</si>
  <si>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</si>
  <si>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</si>
  <si>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</si>
  <si>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</si>
  <si>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</si>
  <si>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</si>
  <si>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</si>
  <si>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</si>
  <si>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</si>
  <si>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</si>
  <si>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</si>
  <si>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</si>
  <si>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</si>
  <si>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</si>
  <si>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</si>
  <si>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</si>
  <si>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</si>
  <si>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</si>
  <si>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</si>
  <si>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</si>
  <si>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</si>
  <si>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</si>
  <si>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</si>
  <si>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</si>
  <si>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</si>
  <si>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</si>
  <si>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</si>
  <si>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</si>
  <si>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</si>
  <si>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</si>
  <si>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</si>
  <si>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</si>
  <si>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</si>
  <si>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</si>
  <si>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</si>
  <si>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</si>
  <si>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</si>
  <si>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</si>
  <si>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</si>
  <si>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</si>
  <si>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</si>
  <si>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</si>
  <si>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</si>
  <si>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</si>
  <si>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</si>
  <si>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</si>
  <si>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</si>
  <si>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</si>
  <si>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</si>
  <si>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</si>
  <si>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</si>
  <si>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</si>
  <si>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</si>
  <si>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</si>
  <si>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</si>
  <si>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</si>
  <si>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</si>
  <si>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</si>
  <si>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</si>
  <si>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</si>
  <si>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</si>
  <si>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</si>
  <si>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</si>
  <si>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</si>
  <si>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</si>
  <si>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</si>
  <si>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</si>
  <si>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</si>
  <si>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</si>
  <si>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</si>
  <si>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</si>
  <si>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</si>
  <si>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</si>
  <si>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</si>
  <si>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</si>
  <si>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</si>
  <si>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</si>
  <si>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</si>
  <si>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</si>
  <si>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</si>
  <si>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</si>
  <si>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</si>
  <si>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</si>
  <si>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</si>
  <si>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</si>
  <si>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</si>
  <si>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</si>
  <si>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</si>
  <si>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</si>
  <si>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</si>
  <si>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</si>
  <si>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</si>
  <si>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</si>
  <si>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</si>
  <si>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</si>
  <si>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</si>
  <si>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</si>
  <si>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</si>
  <si>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</si>
  <si>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</si>
  <si>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</si>
  <si>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</si>
  <si>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</si>
  <si>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</si>
  <si>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</si>
  <si>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</si>
  <si>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</si>
  <si>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</si>
  <si>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</si>
  <si>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</si>
  <si>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</si>
  <si>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</si>
  <si>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</si>
  <si>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</si>
  <si>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</si>
  <si>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</si>
  <si>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</si>
  <si>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</si>
  <si>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</si>
  <si>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</si>
  <si>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</si>
  <si>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</si>
  <si>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</si>
  <si>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</si>
  <si>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</si>
  <si>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</si>
  <si>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</si>
  <si>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</si>
  <si>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</si>
  <si>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</si>
  <si>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</si>
  <si>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</si>
  <si>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</si>
  <si>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</si>
  <si>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</si>
  <si>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</si>
  <si>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</si>
  <si>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</si>
  <si>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</si>
  <si>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</si>
  <si>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</si>
  <si>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</si>
  <si>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</si>
  <si>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</si>
  <si>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</si>
  <si>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</si>
  <si>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</si>
  <si>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</si>
  <si>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</si>
  <si>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</si>
  <si>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</si>
  <si>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</si>
  <si>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</si>
  <si>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</si>
  <si>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</si>
  <si>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</si>
  <si>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</si>
  <si>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</si>
  <si>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</si>
  <si>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</si>
  <si>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</si>
  <si>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</si>
  <si>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</si>
  <si>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</si>
  <si>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</si>
  <si>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</si>
  <si>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</si>
  <si>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</si>
  <si>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</si>
  <si>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</si>
  <si>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</si>
  <si>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</si>
  <si>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</si>
  <si>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</si>
  <si>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</si>
  <si>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</si>
  <si>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</si>
  <si>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</si>
  <si>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</si>
  <si>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</si>
  <si>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</si>
  <si>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</si>
  <si>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</si>
  <si>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</si>
  <si>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</si>
  <si>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</si>
  <si>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</si>
  <si>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</si>
  <si>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</si>
  <si>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</si>
  <si>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</si>
  <si>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</si>
  <si>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</si>
  <si>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</si>
  <si>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</si>
  <si>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</si>
  <si>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</si>
  <si>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</si>
  <si>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</si>
  <si>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</si>
  <si>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</si>
  <si>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</si>
  <si>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</si>
  <si>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</si>
  <si>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</si>
  <si>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</si>
  <si>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</si>
  <si>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</si>
  <si>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</si>
  <si>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</si>
  <si>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</si>
  <si>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</si>
  <si>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</si>
  <si>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</si>
  <si>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</si>
  <si>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</si>
  <si>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</si>
  <si>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</si>
  <si>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</si>
  <si>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</si>
  <si>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</si>
  <si>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</si>
  <si>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</si>
  <si>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</si>
  <si>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</si>
  <si>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</si>
  <si>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</si>
  <si>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</si>
  <si>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</si>
  <si>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</si>
  <si>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</si>
  <si>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</si>
  <si>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</si>
  <si>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</si>
  <si>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</si>
  <si>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</si>
  <si>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</si>
  <si>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</si>
  <si>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</si>
  <si>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</si>
  <si>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</si>
  <si>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</si>
  <si>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</si>
  <si>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</si>
  <si>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</si>
  <si>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</si>
  <si>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</si>
  <si>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</si>
  <si>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</si>
  <si>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</si>
  <si>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</si>
  <si>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</si>
  <si>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</si>
  <si>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</si>
  <si>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</si>
  <si>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</si>
  <si>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</si>
  <si>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</si>
  <si>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</si>
  <si>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</si>
  <si>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</si>
  <si>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</si>
  <si>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</si>
  <si>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</si>
  <si>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</si>
  <si>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</si>
  <si>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</si>
  <si>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</si>
  <si>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</si>
  <si>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</si>
  <si>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</si>
  <si>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</si>
  <si>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</si>
  <si>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</si>
  <si>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</si>
  <si>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</si>
  <si>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</si>
  <si>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</si>
  <si>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</si>
  <si>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</si>
  <si>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</si>
  <si>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</si>
  <si>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</si>
  <si>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</si>
  <si>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</si>
  <si>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</si>
  <si>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</si>
  <si>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</si>
  <si>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</si>
  <si>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</si>
  <si>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</si>
  <si>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</si>
  <si>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</si>
  <si>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</si>
  <si>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</si>
  <si>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</si>
  <si>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</si>
  <si>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</si>
  <si>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</si>
  <si>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</si>
  <si>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</si>
  <si>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</si>
  <si>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</si>
  <si>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</si>
  <si>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</si>
  <si>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</si>
  <si>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</si>
  <si>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</si>
  <si>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</si>
  <si>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</si>
  <si>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</si>
  <si>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</si>
  <si>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</si>
  <si>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</si>
  <si>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</si>
  <si>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</si>
  <si>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</si>
  <si>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</si>
  <si>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</si>
  <si>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</si>
  <si>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</si>
  <si>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</si>
  <si>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</si>
  <si>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</si>
  <si>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</si>
  <si>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</si>
  <si>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</si>
  <si>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</si>
  <si>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</si>
  <si>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</si>
  <si>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</si>
  <si>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</si>
  <si>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</si>
  <si>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</si>
  <si>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</si>
  <si>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</si>
  <si>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</si>
  <si>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</si>
  <si>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</si>
  <si>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</si>
  <si>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</si>
  <si>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</si>
  <si>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</si>
  <si>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</si>
  <si>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</si>
  <si>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</si>
  <si>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</si>
  <si>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</si>
  <si>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</si>
  <si>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</si>
  <si>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</si>
  <si>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</si>
  <si>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</si>
  <si>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</si>
  <si>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</si>
  <si>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</si>
  <si>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</si>
  <si>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</si>
  <si>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</si>
  <si>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</si>
  <si>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</si>
  <si>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</si>
  <si>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</si>
  <si>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</si>
  <si>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</si>
  <si>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</si>
  <si>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</si>
  <si>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</si>
  <si>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</si>
  <si>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</si>
  <si>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</si>
  <si>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</si>
  <si>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</si>
  <si>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</si>
  <si>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</si>
  <si>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</si>
  <si>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</si>
  <si>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</si>
  <si>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</si>
  <si>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</si>
  <si>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</si>
  <si>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</si>
  <si>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</si>
  <si>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</si>
  <si>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</si>
  <si>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</si>
  <si>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</si>
  <si>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</si>
  <si>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</si>
  <si>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</si>
  <si>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</si>
  <si>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</si>
  <si>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</si>
  <si>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</si>
  <si>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</si>
  <si>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</si>
  <si>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</si>
  <si>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</si>
  <si>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</si>
  <si>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</si>
  <si>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</si>
  <si>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</si>
  <si>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</si>
  <si>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</si>
  <si>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</si>
  <si>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</si>
  <si>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</si>
  <si>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</si>
  <si>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</si>
  <si>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</si>
  <si>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</si>
  <si>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</si>
  <si>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</si>
  <si>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</si>
  <si>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</si>
  <si>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</si>
  <si>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</si>
  <si>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</si>
  <si>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</si>
  <si>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</si>
  <si>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</si>
  <si>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</si>
  <si>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</si>
  <si>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</si>
  <si>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</si>
  <si>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</si>
  <si>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</si>
  <si>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</si>
  <si>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</si>
  <si>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</si>
  <si>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</si>
  <si>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</si>
  <si>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</si>
  <si>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</si>
  <si>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</si>
  <si>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</si>
  <si>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</si>
  <si>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</si>
  <si>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</si>
  <si>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</si>
  <si>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</si>
  <si>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</si>
  <si>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</si>
  <si>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</si>
  <si>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</si>
  <si>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</si>
  <si>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</si>
  <si>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</si>
  <si>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</si>
  <si>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</si>
  <si>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</si>
  <si>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</si>
  <si>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</si>
  <si>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</si>
  <si>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</si>
  <si>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</si>
  <si>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</si>
  <si>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</si>
  <si>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</si>
  <si>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</si>
  <si>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</si>
  <si>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</si>
  <si>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</si>
  <si>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</si>
  <si>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</si>
  <si>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</si>
  <si>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</si>
  <si>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</si>
  <si>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</si>
  <si>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</si>
  <si>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</si>
  <si>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</si>
  <si>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</si>
  <si>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</si>
  <si>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</si>
  <si>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</si>
  <si>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</si>
  <si>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</si>
  <si>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</si>
  <si>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</si>
  <si>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</si>
  <si>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</si>
  <si>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</si>
  <si>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</si>
  <si>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</si>
  <si>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</si>
  <si>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</si>
  <si>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</si>
  <si>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</si>
  <si>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</si>
  <si>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</si>
  <si>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</si>
  <si>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</si>
  <si>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</si>
  <si>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</si>
  <si>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</si>
  <si>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</si>
  <si>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</si>
  <si>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</si>
  <si>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</si>
  <si>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</si>
  <si>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</si>
  <si>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</si>
  <si>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</si>
  <si>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</si>
  <si>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</si>
  <si>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</si>
  <si>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</si>
  <si>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</si>
  <si>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</si>
  <si>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</si>
  <si>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</si>
  <si>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</si>
  <si>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</si>
  <si>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</si>
  <si>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</si>
  <si>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</si>
  <si>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</si>
  <si>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</si>
  <si>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</si>
  <si>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</si>
  <si>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</si>
  <si>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</si>
  <si>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</si>
  <si>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</si>
  <si>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</si>
  <si>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</si>
  <si>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</si>
  <si>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</si>
  <si>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</si>
  <si>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</si>
  <si>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</si>
  <si>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</si>
  <si>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</si>
  <si>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</si>
  <si>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</si>
  <si>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</si>
  <si>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</si>
  <si>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</si>
  <si>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</si>
  <si>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</si>
  <si>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</si>
  <si>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</si>
  <si>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</si>
  <si>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</si>
  <si>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</si>
  <si>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</si>
  <si>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</si>
  <si>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</si>
  <si>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</si>
  <si>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</si>
  <si>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</si>
  <si>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</si>
  <si>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</si>
  <si>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</si>
  <si>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</si>
  <si>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</si>
  <si>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</si>
  <si>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</si>
  <si>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</si>
  <si>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</si>
  <si>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</si>
  <si>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</si>
  <si>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</si>
  <si>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</si>
  <si>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</si>
  <si>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</si>
  <si>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</si>
  <si>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</si>
  <si>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</si>
  <si>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</si>
  <si>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</si>
  <si>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</si>
  <si>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</si>
  <si>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</si>
  <si>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</si>
  <si>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</si>
  <si>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</si>
  <si>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</si>
  <si>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</si>
  <si>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</si>
  <si>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</si>
  <si>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</si>
  <si>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</si>
  <si>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</si>
  <si>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</si>
  <si>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</si>
  <si>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</si>
  <si>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</si>
  <si>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</si>
  <si>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</si>
  <si>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</si>
  <si>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</si>
  <si>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</si>
  <si>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</si>
  <si>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</si>
  <si>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</si>
  <si>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</si>
  <si>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</si>
  <si>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</si>
  <si>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</si>
  <si>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</si>
  <si>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</si>
  <si>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</si>
  <si>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</si>
  <si>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</si>
  <si>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</si>
  <si>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</si>
  <si>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</si>
  <si>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</si>
  <si>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</si>
  <si>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</si>
  <si>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</si>
  <si>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</si>
  <si>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</si>
  <si>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</si>
  <si>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</si>
  <si>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</si>
  <si>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</si>
  <si>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</si>
  <si>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</si>
  <si>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</si>
  <si>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</si>
  <si>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</si>
  <si>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</si>
  <si>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</si>
  <si>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</si>
  <si>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</si>
  <si>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</si>
  <si>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</si>
  <si>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</si>
  <si>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</si>
  <si>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</si>
  <si>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</si>
  <si>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</si>
  <si>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</si>
  <si>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</si>
  <si>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</si>
  <si>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</si>
  <si>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</si>
  <si>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</si>
  <si>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</si>
  <si>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</si>
  <si>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</si>
  <si>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</si>
  <si>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</si>
  <si>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</si>
  <si>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</si>
  <si>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</si>
  <si>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</si>
  <si>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</si>
  <si>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</si>
  <si>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</si>
  <si>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</si>
  <si>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</si>
  <si>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</si>
  <si>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</si>
  <si>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</si>
  <si>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</si>
  <si>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</si>
  <si>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</si>
  <si>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</si>
  <si>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</si>
  <si>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</si>
  <si>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</si>
  <si>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</si>
  <si>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</si>
  <si>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</si>
  <si>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</si>
  <si>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</si>
  <si>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</si>
  <si>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</si>
  <si>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</si>
  <si>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</si>
  <si>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</si>
  <si>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</si>
  <si>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</si>
  <si>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北京市</t>
  </si>
  <si>
    <t>出让</t>
  </si>
  <si>
    <t>通路</t>
  </si>
  <si>
    <t>通电</t>
  </si>
  <si>
    <t>通讯</t>
  </si>
  <si>
    <t>通上水</t>
  </si>
  <si>
    <t>通下水</t>
  </si>
  <si>
    <t>燃气</t>
  </si>
  <si>
    <t>Ⅷ-顺1</t>
  </si>
  <si>
    <t>是</t>
  </si>
  <si>
    <t>地上</t>
  </si>
  <si>
    <t>地下</t>
  </si>
  <si>
    <t>仓储</t>
  </si>
  <si>
    <t>估价对象1-10号楼建筑面积一览表</t>
    <phoneticPr fontId="254" type="noConversion"/>
  </si>
  <si>
    <t>楼号</t>
  </si>
  <si>
    <t>部位</t>
  </si>
  <si>
    <r>
      <t>规划建筑面积（</t>
    </r>
    <r>
      <rPr>
        <sz val="9"/>
        <color theme="1"/>
        <rFont val="Arial"/>
        <family val="2"/>
      </rPr>
      <t>m</t>
    </r>
    <r>
      <rPr>
        <vertAlign val="superscript"/>
        <sz val="9"/>
        <color theme="1"/>
        <rFont val="Arial"/>
        <family val="2"/>
      </rPr>
      <t>2</t>
    </r>
    <r>
      <rPr>
        <sz val="9"/>
        <color theme="1"/>
        <rFont val="华文细黑"/>
        <family val="3"/>
        <charset val="134"/>
      </rPr>
      <t>）</t>
    </r>
  </si>
  <si>
    <t>规划用途</t>
  </si>
  <si>
    <t>地下仓储</t>
  </si>
  <si>
    <t>设计用途</t>
  </si>
  <si>
    <r>
      <t>LOFT</t>
    </r>
    <r>
      <rPr>
        <sz val="9"/>
        <color theme="1"/>
        <rFont val="华文细黑"/>
        <family val="3"/>
        <charset val="134"/>
      </rPr>
      <t>公寓</t>
    </r>
  </si>
  <si>
    <t>底商</t>
  </si>
  <si>
    <t>地下商业</t>
  </si>
  <si>
    <r>
      <t>1#</t>
    </r>
    <r>
      <rPr>
        <b/>
        <sz val="9"/>
        <color theme="1"/>
        <rFont val="华文细黑"/>
        <family val="3"/>
        <charset val="134"/>
      </rPr>
      <t>商务办公楼</t>
    </r>
  </si>
  <si>
    <r>
      <t>2#</t>
    </r>
    <r>
      <rPr>
        <b/>
        <sz val="9"/>
        <color theme="1"/>
        <rFont val="华文细黑"/>
        <family val="3"/>
        <charset val="134"/>
      </rPr>
      <t>商务办公楼</t>
    </r>
  </si>
  <si>
    <r>
      <t>3#</t>
    </r>
    <r>
      <rPr>
        <b/>
        <sz val="9"/>
        <color theme="1"/>
        <rFont val="华文细黑"/>
        <family val="3"/>
        <charset val="134"/>
      </rPr>
      <t>商务办公楼</t>
    </r>
  </si>
  <si>
    <r>
      <t>6#</t>
    </r>
    <r>
      <rPr>
        <b/>
        <sz val="9"/>
        <color theme="1"/>
        <rFont val="华文细黑"/>
        <family val="3"/>
        <charset val="134"/>
      </rPr>
      <t>商务办公楼</t>
    </r>
  </si>
  <si>
    <r>
      <t>7#</t>
    </r>
    <r>
      <rPr>
        <b/>
        <sz val="9"/>
        <color theme="1"/>
        <rFont val="华文细黑"/>
        <family val="3"/>
        <charset val="134"/>
      </rPr>
      <t>商务办公楼</t>
    </r>
  </si>
  <si>
    <r>
      <t>8#</t>
    </r>
    <r>
      <rPr>
        <b/>
        <sz val="9"/>
        <color theme="1"/>
        <rFont val="华文细黑"/>
        <family val="3"/>
        <charset val="134"/>
      </rPr>
      <t>商务办公楼</t>
    </r>
  </si>
  <si>
    <r>
      <t>9#</t>
    </r>
    <r>
      <rPr>
        <b/>
        <sz val="9"/>
        <color theme="1"/>
        <rFont val="华文细黑"/>
        <family val="3"/>
        <charset val="134"/>
      </rPr>
      <t>商务办公楼</t>
    </r>
  </si>
  <si>
    <r>
      <t>10#</t>
    </r>
    <r>
      <rPr>
        <b/>
        <sz val="9"/>
        <color theme="1"/>
        <rFont val="华文细黑"/>
        <family val="3"/>
        <charset val="134"/>
      </rPr>
      <t>商务办公楼</t>
    </r>
  </si>
  <si>
    <r>
      <rPr>
        <sz val="10"/>
        <color indexed="8"/>
        <rFont val="宋体"/>
        <family val="3"/>
        <charset val="134"/>
      </rPr>
      <t>办公（</t>
    </r>
    <r>
      <rPr>
        <sz val="10"/>
        <color indexed="8"/>
        <rFont val="Arial"/>
        <family val="2"/>
      </rPr>
      <t>LOFT</t>
    </r>
    <r>
      <rPr>
        <sz val="10"/>
        <color indexed="8"/>
        <rFont val="宋体"/>
        <family val="3"/>
        <charset val="134"/>
      </rPr>
      <t>）</t>
    </r>
    <phoneticPr fontId="7" type="noConversion"/>
  </si>
  <si>
    <t>商业（底商）</t>
    <phoneticPr fontId="7" type="noConversion"/>
  </si>
  <si>
    <t>地下商业</t>
    <phoneticPr fontId="7" type="noConversion"/>
  </si>
  <si>
    <t>地下仓储</t>
    <phoneticPr fontId="7" type="noConversion"/>
  </si>
  <si>
    <t>估价对象11-18号楼建筑面积一览表</t>
    <phoneticPr fontId="254" type="noConversion"/>
  </si>
  <si>
    <t>底商（毛坯）</t>
    <phoneticPr fontId="254" type="noConversion"/>
  </si>
  <si>
    <r>
      <t>11#</t>
    </r>
    <r>
      <rPr>
        <b/>
        <sz val="9"/>
        <color theme="1"/>
        <rFont val="华文细黑"/>
        <family val="3"/>
        <charset val="134"/>
      </rPr>
      <t>商务办公楼</t>
    </r>
  </si>
  <si>
    <r>
      <t>12#</t>
    </r>
    <r>
      <rPr>
        <b/>
        <sz val="9"/>
        <color theme="1"/>
        <rFont val="华文细黑"/>
        <family val="3"/>
        <charset val="134"/>
      </rPr>
      <t>商务办公楼</t>
    </r>
  </si>
  <si>
    <r>
      <t>13#</t>
    </r>
    <r>
      <rPr>
        <b/>
        <sz val="9"/>
        <color theme="1"/>
        <rFont val="华文细黑"/>
        <family val="3"/>
        <charset val="134"/>
      </rPr>
      <t>商务办公楼</t>
    </r>
  </si>
  <si>
    <r>
      <t>14#</t>
    </r>
    <r>
      <rPr>
        <b/>
        <sz val="9"/>
        <color theme="1"/>
        <rFont val="华文细黑"/>
        <family val="3"/>
        <charset val="134"/>
      </rPr>
      <t>商务办公楼</t>
    </r>
  </si>
  <si>
    <r>
      <t>15#</t>
    </r>
    <r>
      <rPr>
        <b/>
        <sz val="9"/>
        <color theme="1"/>
        <rFont val="华文细黑"/>
        <family val="3"/>
        <charset val="134"/>
      </rPr>
      <t>商务办公楼</t>
    </r>
  </si>
  <si>
    <r>
      <t>16#</t>
    </r>
    <r>
      <rPr>
        <b/>
        <sz val="9"/>
        <color theme="1"/>
        <rFont val="华文细黑"/>
        <family val="3"/>
        <charset val="134"/>
      </rPr>
      <t>商务办公楼</t>
    </r>
  </si>
  <si>
    <r>
      <t>17#</t>
    </r>
    <r>
      <rPr>
        <b/>
        <sz val="9"/>
        <color theme="1"/>
        <rFont val="华文细黑"/>
        <family val="3"/>
        <charset val="134"/>
      </rPr>
      <t>商务办公楼</t>
    </r>
  </si>
  <si>
    <r>
      <t>18#</t>
    </r>
    <r>
      <rPr>
        <b/>
        <sz val="9"/>
        <color theme="1"/>
        <rFont val="华文细黑"/>
        <family val="3"/>
        <charset val="134"/>
      </rPr>
      <t>商务办公楼</t>
    </r>
  </si>
  <si>
    <t>LOFT住宅</t>
  </si>
  <si>
    <t>商业（LOFT)</t>
    <phoneticPr fontId="7" type="noConversion"/>
  </si>
  <si>
    <t>成新度</t>
  </si>
  <si>
    <t>办公（LOFT）</t>
  </si>
  <si>
    <t>商业（LOFT)</t>
  </si>
  <si>
    <t>商业（底商）</t>
  </si>
  <si>
    <t>正常</t>
  </si>
  <si>
    <t>非生产用房</t>
  </si>
  <si>
    <t>钢混</t>
  </si>
  <si>
    <t>收益法</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</si>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</sst>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9"/>
      <color theme="1"/>
      <name val="华文细黑"/>
      <family val="3"/>
      <charset val="134"/>
    </font>
    <font>
      <sz val="9"/>
      <color theme="1"/>
      <name val="Arial"/>
      <family val="2"/>
    </font>
    <font>
      <vertAlign val="superscript"/>
      <sz val="9"/>
      <color theme="1"/>
      <name val="Arial"/>
      <family val="2"/>
    </font>
    <font>
      <b/>
      <sz val="9"/>
      <color theme="1"/>
      <name val="Arial"/>
      <family val="2"/>
    </font>
    <font>
      <b/>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55" fillId="0" borderId="1" xfId="0" applyFont="1" applyBorder="1" applyAlignment="1">
      <alignment horizontal="justify" vertical="center"/>
    </xf>
    <xf numFmtId="0" fontId="256" fillId="0" borderId="1" xfId="0" applyFont="1" applyBorder="1" applyAlignment="1">
      <alignment horizontal="justify" vertical="center"/>
    </xf>
    <xf numFmtId="0" fontId="258" fillId="0" borderId="1" xfId="0" applyFont="1" applyBorder="1" applyAlignment="1">
      <alignment horizontal="justify" vertical="center" wrapText="1"/>
    </xf>
    <xf numFmtId="0" fontId="256" fillId="0" borderId="1" xfId="0" applyFont="1" applyBorder="1" applyAlignment="1">
      <alignment horizontal="justify" vertical="center" wrapText="1"/>
    </xf>
    <xf numFmtId="0" fontId="259" fillId="0" borderId="1" xfId="0" applyFont="1" applyBorder="1" applyAlignment="1">
      <alignment horizontal="justify"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255" fillId="0" borderId="1" xfId="0"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pplyAlignment="1">
      <alignment horizontal="center" vertical="center"/>
    </xf>
    <xf numFmtId="0" fontId="255" fillId="0" borderId="1" xfId="0" applyFont="1" applyBorder="1" applyAlignment="1">
      <alignment horizontal="justify" vertical="center"/>
    </xf>
    <xf numFmtId="0" fontId="255" fillId="0" borderId="1" xfId="0"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估价对象为北京市出让国有建设用地使用权及在建建筑物房地产，为所有。根据《国有土地使用证》[]，估价对象（分摊）出让国有建设用地使用权面积为0平方米，建筑面积为30453.1平方米。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0平方米，规划建筑面积为30453.1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2018年9月11日</v>
      </c>
    </row>
    <row r="13" spans="1:2" s="1596" customFormat="1">
      <c r="A13" s="1594" t="s">
        <v>1227</v>
      </c>
      <c r="B13" s="1595" t="str">
        <f>'预评函-1'!A18</f>
        <v>本次估价的“房地产价值”是指在正常市场情况下，在价值时点2018年9月11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本次评估采用的主估价方法为收益法和比较法。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51081</v>
      </c>
    </row>
    <row r="21" spans="1:2" s="1596" customFormat="1">
      <c r="A21" s="1594" t="s">
        <v>1235</v>
      </c>
      <c r="B21" s="1595">
        <f ca="1">'预评函-2'!D7</f>
        <v>16774</v>
      </c>
    </row>
    <row r="22" spans="1:2" s="1596" customFormat="1">
      <c r="A22" s="1594" t="s">
        <v>1236</v>
      </c>
      <c r="B22" s="1595" t="str">
        <f ca="1">'预评函-2'!D6</f>
        <v>伍亿壹仟零捌拾壹万元整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51081</v>
      </c>
    </row>
    <row r="31" spans="1:2" s="1596" customFormat="1">
      <c r="A31" s="1594" t="s">
        <v>1274</v>
      </c>
      <c r="B31" s="1595">
        <f ca="1">'预评函-2'!D15</f>
        <v>16774</v>
      </c>
    </row>
    <row r="32" spans="1:2" s="1596" customFormat="1">
      <c r="A32" s="1594" t="s">
        <v>1241</v>
      </c>
      <c r="B32" s="1595" t="str">
        <f ca="1">'预评函-2'!D14</f>
        <v>伍亿壹仟零捌拾壹万元整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30453.1</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5" t="s">
        <v>864</v>
      </c>
      <c r="C54" s="2022" t="s">
        <v>1281</v>
      </c>
    </row>
    <row r="55" spans="1:4">
      <c r="A55" s="3000"/>
      <c r="B55" s="2025" t="s">
        <v>865</v>
      </c>
      <c r="C55" s="2022" t="s">
        <v>1282</v>
      </c>
    </row>
    <row r="56" spans="1:4">
      <c r="A56" s="3000"/>
      <c r="B56" s="2025" t="s">
        <v>866</v>
      </c>
      <c r="C56" s="2022" t="s">
        <v>1286</v>
      </c>
    </row>
    <row r="57" spans="1:4">
      <c r="A57" s="300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8" sqref="H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01" t="str">
        <f>IF(B10="北京市","北京市",C10)&amp;F10&amp;IF(结果表!G1="在建","出让国有建设用地使用权及在建建筑物",IF(结果表!G1="土地","出让国有建设用地使用权",))&amp;B9&amp;"预评估"</f>
        <v>北京市出让国有建设用地使用权及在建建筑物预评估</v>
      </c>
      <c r="C1" s="3002"/>
      <c r="D1" s="3002"/>
      <c r="E1" s="3002"/>
      <c r="F1" s="3002"/>
      <c r="G1" s="3002"/>
      <c r="H1" s="3002"/>
      <c r="I1" s="300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c r="C3" s="2040" t="s">
        <v>1779</v>
      </c>
      <c r="D3" s="2039">
        <v>43354</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c r="C8" s="2059"/>
      <c r="D8" s="3004" t="s">
        <v>1785</v>
      </c>
      <c r="E8" s="2060"/>
      <c r="F8" s="2061"/>
      <c r="G8" s="2029"/>
      <c r="H8" s="2029"/>
      <c r="I8" s="2029"/>
      <c r="J8" s="2045"/>
      <c r="K8" s="2046"/>
      <c r="L8" s="2031"/>
      <c r="M8" s="2031"/>
      <c r="N8" s="2032"/>
      <c r="O8" s="2033"/>
      <c r="P8" s="2032"/>
      <c r="Q8" s="2032"/>
      <c r="R8" s="2032"/>
    </row>
    <row r="9" spans="1:19" ht="18" customHeight="1" thickBot="1">
      <c r="A9" s="2043" t="s">
        <v>1786</v>
      </c>
      <c r="B9" s="2062"/>
      <c r="C9" s="2063"/>
      <c r="D9" s="3005"/>
      <c r="E9" s="2062"/>
      <c r="F9" s="2064"/>
      <c r="G9" s="2065"/>
      <c r="H9" s="2065"/>
      <c r="I9" s="2065"/>
      <c r="J9" s="2045"/>
      <c r="K9" s="2057"/>
      <c r="L9" s="2031"/>
      <c r="M9" s="2031"/>
      <c r="N9" s="2032"/>
      <c r="O9" s="2033"/>
      <c r="P9" s="2032"/>
      <c r="Q9" s="2032"/>
      <c r="R9" s="2032"/>
    </row>
    <row r="10" spans="1:19" ht="18" customHeight="1" thickTop="1">
      <c r="A10" s="2066" t="s">
        <v>1787</v>
      </c>
      <c r="B10" s="2067" t="s">
        <v>3052</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3053</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56690</v>
      </c>
      <c r="F13" s="2083">
        <v>60343</v>
      </c>
      <c r="G13" s="2083">
        <v>60343</v>
      </c>
      <c r="H13" s="2083">
        <v>60343</v>
      </c>
      <c r="I13" s="1050"/>
      <c r="J13" s="2045"/>
      <c r="K13" s="2057"/>
      <c r="L13" s="2031"/>
      <c r="M13" s="2031"/>
      <c r="N13" s="2032"/>
      <c r="O13" s="2033"/>
      <c r="P13" s="2032"/>
      <c r="Q13" s="2032"/>
      <c r="R13" s="2032"/>
    </row>
    <row r="14" spans="1:19" ht="18" customHeight="1">
      <c r="A14" s="2080"/>
      <c r="B14" s="2081"/>
      <c r="C14" s="2082" t="s">
        <v>1799</v>
      </c>
      <c r="D14" s="1053"/>
      <c r="E14" s="1053">
        <v>40</v>
      </c>
      <c r="F14" s="1053">
        <v>50</v>
      </c>
      <c r="G14" s="1053">
        <v>50</v>
      </c>
      <c r="H14" s="1053">
        <v>50</v>
      </c>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36.53</v>
      </c>
      <c r="F15" s="1052">
        <f>IF(B12="出让",IF(F13="","",ROUNDDOWN(MIN((F13-$D$3)/365,F14),2)),F14)</f>
        <v>46.54</v>
      </c>
      <c r="G15" s="1052">
        <f>IF(B12="出让",IF(G13="","",ROUNDDOWN(MIN((G13-$D$3)/365,G14),2)),G14)</f>
        <v>46.54</v>
      </c>
      <c r="H15" s="1052">
        <f>IF(B12="出让",IF(H13="","",ROUNDDOWN(MIN((H13-$D$3)/365,H14),2)),H14)</f>
        <v>46.54</v>
      </c>
      <c r="I15" s="1052" t="str">
        <f>IF(B12="出让",IF(I13="","",ROUNDDOWN(MIN((I13-$D$3)/365,I14),2)),I14)</f>
        <v/>
      </c>
      <c r="J15" s="2045"/>
      <c r="K15" s="2086"/>
      <c r="L15" s="2087"/>
      <c r="M15" s="2087"/>
      <c r="N15" s="2088"/>
      <c r="O15" s="2087"/>
      <c r="P15" s="2088"/>
      <c r="Q15" s="2032"/>
      <c r="R15" s="2032"/>
    </row>
    <row r="16" spans="1:19" ht="30.75" customHeight="1">
      <c r="A16" s="2069" t="s">
        <v>1801</v>
      </c>
      <c r="B16" s="3011"/>
      <c r="C16" s="3012"/>
      <c r="D16" s="3013"/>
      <c r="E16" s="2089" t="s">
        <v>1802</v>
      </c>
      <c r="F16" s="3014"/>
      <c r="G16" s="3015"/>
      <c r="H16" s="3015"/>
      <c r="I16" s="3016"/>
      <c r="J16" s="2032"/>
      <c r="K16" s="2086"/>
      <c r="L16" s="2087"/>
      <c r="M16" s="2087"/>
      <c r="N16" s="2088"/>
      <c r="O16" s="2087"/>
      <c r="P16" s="2088"/>
      <c r="Q16" s="2032"/>
      <c r="R16" s="2032"/>
    </row>
    <row r="17" spans="1:22" ht="18" customHeight="1">
      <c r="A17" s="2090" t="s">
        <v>1803</v>
      </c>
      <c r="B17" s="2038" t="s">
        <v>1804</v>
      </c>
      <c r="C17" s="1057">
        <f>'数据-汇总表'!E3</f>
        <v>30453.1</v>
      </c>
      <c r="D17" s="2091" t="s">
        <v>1805</v>
      </c>
      <c r="E17" s="3017" t="s">
        <v>1806</v>
      </c>
      <c r="F17" s="3018"/>
      <c r="G17" s="3018"/>
      <c r="H17" s="3018"/>
      <c r="I17" s="3019"/>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0</v>
      </c>
      <c r="D18" s="2094" t="s">
        <v>1805</v>
      </c>
      <c r="E18" s="3020" t="s">
        <v>1809</v>
      </c>
      <c r="F18" s="3021"/>
      <c r="G18" s="3021"/>
      <c r="H18" s="3021"/>
      <c r="I18" s="3022"/>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07" t="s">
        <v>1814</v>
      </c>
      <c r="C20" s="3008"/>
      <c r="D20" s="3009" t="s">
        <v>1815</v>
      </c>
      <c r="E20" s="3010"/>
      <c r="F20" s="2101" t="s">
        <v>1816</v>
      </c>
      <c r="G20" s="2045"/>
      <c r="H20" s="2045"/>
      <c r="I20" s="2045"/>
      <c r="J20" s="2045"/>
      <c r="K20" s="300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4"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4"/>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4"/>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5"/>
      <c r="B30" s="2038" t="s">
        <v>1833</v>
      </c>
      <c r="C30" s="3026"/>
      <c r="D30" s="302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8"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t="s">
        <v>3054</v>
      </c>
      <c r="C34" s="2137" t="s">
        <v>3055</v>
      </c>
      <c r="D34" s="2137" t="s">
        <v>3056</v>
      </c>
      <c r="E34" s="2137" t="s">
        <v>3057</v>
      </c>
      <c r="F34" s="2137" t="s">
        <v>3058</v>
      </c>
      <c r="G34" s="2137" t="s">
        <v>3059</v>
      </c>
      <c r="H34" s="2137"/>
      <c r="I34" s="2045"/>
      <c r="J34" s="2045"/>
      <c r="K34" s="1798">
        <f>COUNTIF(B34:H34,"——")</f>
        <v>0</v>
      </c>
      <c r="L34" s="2078" t="s">
        <v>1836</v>
      </c>
      <c r="M34" s="2078" t="s">
        <v>1837</v>
      </c>
      <c r="N34" s="2078" t="s">
        <v>1838</v>
      </c>
      <c r="O34" s="2078" t="s">
        <v>1839</v>
      </c>
      <c r="P34" s="2078" t="s">
        <v>1840</v>
      </c>
      <c r="Q34" s="2078" t="s">
        <v>1841</v>
      </c>
      <c r="R34" s="2078" t="s">
        <v>1842</v>
      </c>
      <c r="S34" s="3023" t="s">
        <v>1843</v>
      </c>
      <c r="T34" s="2138" t="str">
        <f>NUMBERSTRING(7-K34,1)&amp;"通"</f>
        <v>七通</v>
      </c>
      <c r="U34" s="2032"/>
      <c r="V34" s="2032"/>
    </row>
    <row r="35" spans="1:22" ht="18" customHeight="1">
      <c r="A35" s="2139"/>
      <c r="B35" s="3030" t="s">
        <v>1844</v>
      </c>
      <c r="C35" s="3030"/>
      <c r="D35" s="3030"/>
      <c r="E35" s="3030"/>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3"/>
      <c r="T35" s="48" t="str">
        <f>IF(T34="一通",L35,IF(T34="二通",M35,IF(T34="三通",N35,IF(T34="四通",O35,IF(T34="五通",P35,IF(T34="六通",Q35,R35))))))</f>
        <v>通路、通电、通讯、通上水、通下水、燃气、</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528</v>
      </c>
      <c r="C37" s="2144" t="s">
        <v>528</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3060</v>
      </c>
      <c r="C38" s="2146" t="s">
        <v>3060</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Q26" sqref="Q26"/>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30453.1</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30453.1</v>
      </c>
      <c r="H5" s="16">
        <f t="shared" ref="H5:AT5" si="0">SUM(H13:H656)</f>
        <v>30453.1</v>
      </c>
      <c r="I5" s="16">
        <f t="shared" si="0"/>
        <v>21779.809999999998</v>
      </c>
      <c r="J5" s="16">
        <f t="shared" si="0"/>
        <v>0</v>
      </c>
      <c r="K5" s="16">
        <f t="shared" si="0"/>
        <v>3035.32</v>
      </c>
      <c r="L5" s="16">
        <f t="shared" si="0"/>
        <v>0</v>
      </c>
      <c r="M5" s="16">
        <f t="shared" si="0"/>
        <v>836.96</v>
      </c>
      <c r="N5" s="16">
        <f t="shared" si="0"/>
        <v>0</v>
      </c>
      <c r="O5" s="16">
        <f t="shared" si="0"/>
        <v>1849.41</v>
      </c>
      <c r="P5" s="16">
        <f t="shared" si="0"/>
        <v>0</v>
      </c>
      <c r="Q5" s="16">
        <f t="shared" si="0"/>
        <v>2951.6000000000004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30453.1</v>
      </c>
      <c r="BA5" s="18">
        <f t="shared" si="1"/>
        <v>30453.1</v>
      </c>
      <c r="BB5" s="18">
        <f t="shared" si="1"/>
        <v>21779.809999999998</v>
      </c>
      <c r="BC5" s="18">
        <f t="shared" si="1"/>
        <v>3035.32</v>
      </c>
      <c r="BD5" s="18">
        <f t="shared" si="1"/>
        <v>836.96</v>
      </c>
      <c r="BE5" s="18">
        <f t="shared" si="1"/>
        <v>1849.41</v>
      </c>
      <c r="BF5" s="18">
        <f t="shared" si="1"/>
        <v>2951.6000000000004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3062</v>
      </c>
      <c r="J9" s="984"/>
      <c r="K9" s="2195" t="s">
        <v>3062</v>
      </c>
      <c r="L9" s="984"/>
      <c r="M9" s="2195" t="s">
        <v>3063</v>
      </c>
      <c r="N9" s="984"/>
      <c r="O9" s="2195" t="s">
        <v>3063</v>
      </c>
      <c r="P9" s="984"/>
      <c r="Q9" s="2195" t="s">
        <v>3062</v>
      </c>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1377</v>
      </c>
      <c r="L10" s="984"/>
      <c r="M10" s="2201" t="s">
        <v>1377</v>
      </c>
      <c r="N10" s="984"/>
      <c r="O10" s="2201" t="s">
        <v>3064</v>
      </c>
      <c r="P10" s="984"/>
      <c r="Q10" s="2201" t="s">
        <v>1377</v>
      </c>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t="str">
        <f>K9</f>
        <v>地上</v>
      </c>
      <c r="BD10" s="29" t="str">
        <f>M9</f>
        <v>地下</v>
      </c>
      <c r="BE10" s="29" t="str">
        <f>O9</f>
        <v>地下</v>
      </c>
      <c r="BF10" s="29" t="str">
        <f>Q9</f>
        <v>地上</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3097</v>
      </c>
      <c r="J11" s="2207"/>
      <c r="K11" s="2206" t="s">
        <v>3073</v>
      </c>
      <c r="L11" s="2207"/>
      <c r="M11" s="2206"/>
      <c r="N11" s="2207"/>
      <c r="O11" s="2206"/>
      <c r="P11" s="2207"/>
      <c r="Q11" s="2206" t="s">
        <v>3097</v>
      </c>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商业</v>
      </c>
      <c r="BD11" s="2191" t="str">
        <f>M10</f>
        <v>商业</v>
      </c>
      <c r="BE11" s="2191" t="str">
        <f>O10</f>
        <v>仓储</v>
      </c>
      <c r="BF11" s="2191" t="str">
        <f>Q10</f>
        <v>商业</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LOFT住宅</v>
      </c>
      <c r="BC12" s="2216" t="str">
        <f>K11</f>
        <v>底商</v>
      </c>
      <c r="BD12" s="2216">
        <f>M11</f>
        <v>0</v>
      </c>
      <c r="BE12" s="2191">
        <f>O11</f>
        <v>0</v>
      </c>
      <c r="BF12" s="2191" t="str">
        <f>Q11</f>
        <v>LOFT住宅</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1</v>
      </c>
      <c r="D13" s="2217" t="s">
        <v>3061</v>
      </c>
      <c r="E13" s="16">
        <f>IF($C$3="是",ROUND($A$3*G13/$B$3,2),ROUND($A$3*(G13-AT13)/$B$3,2))</f>
        <v>0</v>
      </c>
      <c r="F13" s="32"/>
      <c r="G13" s="33">
        <f>H13+AC13+AT13</f>
        <v>946.95999999999992</v>
      </c>
      <c r="H13" s="20">
        <f>SUMIF(I$12:AB$12,"总值",I13:AB13)</f>
        <v>946.95999999999992</v>
      </c>
      <c r="I13" s="2218">
        <f>Sheet1!C6</f>
        <v>194.96</v>
      </c>
      <c r="J13" s="2218"/>
      <c r="K13" s="2218">
        <f>Sheet1!D6</f>
        <v>200.44</v>
      </c>
      <c r="L13" s="2218"/>
      <c r="M13" s="2218">
        <f>Sheet1!E6</f>
        <v>315.2</v>
      </c>
      <c r="N13" s="2218"/>
      <c r="O13" s="2218">
        <f>Sheet1!F6</f>
        <v>236.36</v>
      </c>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1</v>
      </c>
      <c r="AY13" s="1809">
        <f>ROUND($AY$6*AZ13/$AZ$5,2)</f>
        <v>0</v>
      </c>
      <c r="AZ13" s="16">
        <f>BA13+BL13</f>
        <v>946.95999999999992</v>
      </c>
      <c r="BA13" s="16">
        <f>SUM(BB13:BK13)</f>
        <v>946.95999999999992</v>
      </c>
      <c r="BB13" s="16">
        <f>IF($D13="是",I13-J13,0)</f>
        <v>194.96</v>
      </c>
      <c r="BC13" s="16">
        <f>IF($D13="是",K13-L13,0)</f>
        <v>200.44</v>
      </c>
      <c r="BD13" s="16">
        <f>IF($D13="是",M13-N13,0)</f>
        <v>315.2</v>
      </c>
      <c r="BE13" s="16">
        <f>IF($D13="是",O13-P13,0)</f>
        <v>236.36</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v>2</v>
      </c>
      <c r="D14" s="2217" t="s">
        <v>3061</v>
      </c>
      <c r="E14" s="16">
        <f>IF($C$3="是",ROUND($A$3*G14/$B$3,2),ROUND($A$3*(G14-AT14)/$B$3,2))</f>
        <v>0</v>
      </c>
      <c r="F14" s="32"/>
      <c r="G14" s="33">
        <f>H14+AC14+AT14</f>
        <v>118.12</v>
      </c>
      <c r="H14" s="20">
        <f>SUMIF(I$12:AB$12,"总值",I14:AB14)</f>
        <v>118.12</v>
      </c>
      <c r="I14" s="2218">
        <f>Sheet1!C7</f>
        <v>118.12</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2</v>
      </c>
      <c r="AY14" s="1809">
        <f>ROUND($AY$6*AZ14/$AZ$5,2)</f>
        <v>0</v>
      </c>
      <c r="AZ14" s="16">
        <f>BA14+BL14</f>
        <v>118.12</v>
      </c>
      <c r="BA14" s="16">
        <f>SUM(BB14:BK14)</f>
        <v>118.12</v>
      </c>
      <c r="BB14" s="16">
        <f>IF($D14="是",I14-J14,0)</f>
        <v>118.12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v>3</v>
      </c>
      <c r="D15" s="2217" t="s">
        <v>3061</v>
      </c>
      <c r="E15" s="16">
        <f>IF($C$3="是",ROUND($A$3*G15/$B$3,2),ROUND($A$3*(G15-AT15)/$B$3,2))</f>
        <v>0</v>
      </c>
      <c r="F15" s="32"/>
      <c r="G15" s="33">
        <f>H15+AC15+AT15</f>
        <v>136.98000000000002</v>
      </c>
      <c r="H15" s="20">
        <f>SUMIF(I$12:AB$12,"总值",I15:AB15)</f>
        <v>136.98000000000002</v>
      </c>
      <c r="I15" s="2218">
        <f>Sheet1!C8</f>
        <v>107.43</v>
      </c>
      <c r="J15" s="2218"/>
      <c r="K15" s="2218"/>
      <c r="L15" s="2218"/>
      <c r="M15" s="2218"/>
      <c r="N15" s="2218"/>
      <c r="O15" s="2218">
        <f>Sheet1!F8</f>
        <v>29.55</v>
      </c>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3</v>
      </c>
      <c r="AY15" s="1809">
        <f>ROUND($AY$6*AZ15/$AZ$5,2)</f>
        <v>0</v>
      </c>
      <c r="AZ15" s="16">
        <f>BA15+BL15</f>
        <v>136.98000000000002</v>
      </c>
      <c r="BA15" s="16">
        <f>SUM(BB15:BK15)</f>
        <v>136.98000000000002</v>
      </c>
      <c r="BB15" s="16">
        <f>IF($D15="是",I15-J15,0)</f>
        <v>107.43</v>
      </c>
      <c r="BC15" s="16">
        <f>IF($D15="是",K15-L15,0)</f>
        <v>0</v>
      </c>
      <c r="BD15" s="16">
        <f>IF($D15="是",M15-N15,0)</f>
        <v>0</v>
      </c>
      <c r="BE15" s="16">
        <f>IF($D15="是",O15-P15,0)</f>
        <v>29.55</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t="s">
        <v>3061</v>
      </c>
      <c r="E16" s="16">
        <f>IF($C$3="是",ROUND($A$3*G16/$B$3,2),ROUND($A$3*(G16-AT16)/$B$3,2))</f>
        <v>0</v>
      </c>
      <c r="F16" s="32"/>
      <c r="G16" s="33">
        <f>H16+AC16+AT16</f>
        <v>39.590000000000003</v>
      </c>
      <c r="H16" s="20">
        <f>SUMIF(I$12:AB$12,"总值",I16:AB16)</f>
        <v>39.590000000000003</v>
      </c>
      <c r="I16" s="2218">
        <f>Sheet1!C9</f>
        <v>39.590000000000003</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39.590000000000003</v>
      </c>
      <c r="BA16" s="16">
        <f>SUM(BB16:BK16)</f>
        <v>39.590000000000003</v>
      </c>
      <c r="BB16" s="16">
        <f>IF($D16="是",I16-J16,0)</f>
        <v>39.590000000000003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t="s">
        <v>3061</v>
      </c>
      <c r="E17" s="16">
        <f>IF($C$3="是",ROUND($A$3*G17/$B$3,2),ROUND($A$3*(G17-AT17)/$B$3,2))</f>
        <v>0</v>
      </c>
      <c r="F17" s="32"/>
      <c r="G17" s="33">
        <f>H17+AC17+AT17</f>
        <v>124.04</v>
      </c>
      <c r="H17" s="20">
        <f>SUMIF(I$12:AB$12,"总值",I17:AB17)</f>
        <v>124.04</v>
      </c>
      <c r="I17" s="2218">
        <f>Sheet1!C10</f>
        <v>124.04</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124.04</v>
      </c>
      <c r="BA17" s="16">
        <f>SUM(BB17:BK17)</f>
        <v>124.04</v>
      </c>
      <c r="BB17" s="16">
        <f>IF($D17="是",I17-J17,0)</f>
        <v>124.04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7">
        <v>6</v>
      </c>
      <c r="D18" s="2217" t="s">
        <v>3061</v>
      </c>
      <c r="E18" s="35">
        <f t="shared" ref="E18:E112" si="7">IF($C$3="是",ROUND($A$3*G18/$B$3,2),ROUND($A$3*(G18-AT18)/$B$3,2))</f>
        <v>0</v>
      </c>
      <c r="F18" s="36"/>
      <c r="G18" s="37">
        <f t="shared" ref="G18:G109" si="8">H18+AC18+AT18</f>
        <v>28.11</v>
      </c>
      <c r="H18" s="38">
        <f t="shared" ref="H18:H109" si="9">SUMIF(I$12:AB$12,"总值",I18:AB18)</f>
        <v>28.11</v>
      </c>
      <c r="I18" s="39">
        <f>Sheet1!C11</f>
        <v>28.11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6</v>
      </c>
      <c r="AY18" s="42">
        <f t="shared" ref="AY18:AY109" si="14">ROUND($AY$6*AZ18/$AZ$5,2)</f>
        <v>0</v>
      </c>
      <c r="AZ18" s="35">
        <f t="shared" ref="AZ18:AZ109" si="15">BA18+BL18</f>
        <v>28.11</v>
      </c>
      <c r="BA18" s="35">
        <f t="shared" ref="BA18:BA109" si="16">SUM(BB18:BK18)</f>
        <v>28.11</v>
      </c>
      <c r="BB18" s="35">
        <f t="shared" ref="BB18:BB109" si="17">IF($D18="是",I18-J18,0)</f>
        <v>28.11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7">
        <v>7</v>
      </c>
      <c r="D19" s="2217" t="s">
        <v>3061</v>
      </c>
      <c r="E19" s="35">
        <f t="shared" si="7"/>
        <v>0</v>
      </c>
      <c r="F19" s="36"/>
      <c r="G19" s="37">
        <f t="shared" si="8"/>
        <v>197.98</v>
      </c>
      <c r="H19" s="38">
        <f t="shared" si="9"/>
        <v>197.98</v>
      </c>
      <c r="I19" s="39">
        <f>Sheet1!C12</f>
        <v>197.98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7</v>
      </c>
      <c r="AY19" s="42">
        <f t="shared" si="14"/>
        <v>0</v>
      </c>
      <c r="AZ19" s="35">
        <f t="shared" si="15"/>
        <v>197.98</v>
      </c>
      <c r="BA19" s="35">
        <f t="shared" si="16"/>
        <v>197.98</v>
      </c>
      <c r="BB19" s="35">
        <f t="shared" si="17"/>
        <v>197.98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8</v>
      </c>
      <c r="D20" s="2217" t="s">
        <v>3061</v>
      </c>
      <c r="E20" s="35">
        <f t="shared" si="7"/>
        <v>0</v>
      </c>
      <c r="F20" s="36"/>
      <c r="G20" s="37">
        <f t="shared" si="8"/>
        <v>86.48</v>
      </c>
      <c r="H20" s="38">
        <f t="shared" si="9"/>
        <v>86.48</v>
      </c>
      <c r="I20" s="39">
        <f>Sheet1!C13</f>
        <v>86.48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8</v>
      </c>
      <c r="AY20" s="42">
        <f t="shared" si="14"/>
        <v>0</v>
      </c>
      <c r="AZ20" s="35">
        <f t="shared" si="15"/>
        <v>86.48</v>
      </c>
      <c r="BA20" s="35">
        <f t="shared" si="16"/>
        <v>86.48</v>
      </c>
      <c r="BB20" s="35">
        <f t="shared" si="17"/>
        <v>86.48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9</v>
      </c>
      <c r="D21" s="2217" t="s">
        <v>3061</v>
      </c>
      <c r="E21" s="35">
        <f t="shared" si="7"/>
        <v>0</v>
      </c>
      <c r="F21" s="36"/>
      <c r="G21" s="37">
        <f t="shared" si="8"/>
        <v>151.32</v>
      </c>
      <c r="H21" s="38">
        <f t="shared" si="9"/>
        <v>151.32</v>
      </c>
      <c r="I21" s="39">
        <f>Sheet1!C14</f>
        <v>151.32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9</v>
      </c>
      <c r="AY21" s="42">
        <f t="shared" si="14"/>
        <v>0</v>
      </c>
      <c r="AZ21" s="35">
        <f t="shared" si="15"/>
        <v>151.32</v>
      </c>
      <c r="BA21" s="35">
        <f t="shared" si="16"/>
        <v>151.32</v>
      </c>
      <c r="BB21" s="35">
        <f t="shared" si="17"/>
        <v>151.32</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10</v>
      </c>
      <c r="D22" s="2217" t="s">
        <v>3061</v>
      </c>
      <c r="E22" s="35">
        <f t="shared" si="7"/>
        <v>0</v>
      </c>
      <c r="F22" s="36"/>
      <c r="G22" s="37">
        <f t="shared" si="8"/>
        <v>201.69</v>
      </c>
      <c r="H22" s="38">
        <f t="shared" si="9"/>
        <v>201.69</v>
      </c>
      <c r="I22" s="39">
        <f>Sheet1!C15</f>
        <v>201.69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10</v>
      </c>
      <c r="AY22" s="42">
        <f t="shared" si="14"/>
        <v>0</v>
      </c>
      <c r="AZ22" s="35">
        <f t="shared" si="15"/>
        <v>201.69</v>
      </c>
      <c r="BA22" s="35">
        <f t="shared" si="16"/>
        <v>201.69</v>
      </c>
      <c r="BB22" s="35">
        <f t="shared" si="17"/>
        <v>201.69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11</v>
      </c>
      <c r="D23" s="2217" t="s">
        <v>3061</v>
      </c>
      <c r="E23" s="35">
        <f t="shared" si="7"/>
        <v>0</v>
      </c>
      <c r="F23" s="36"/>
      <c r="G23" s="37">
        <f t="shared" si="8"/>
        <v>7506.89</v>
      </c>
      <c r="H23" s="38">
        <f t="shared" si="9"/>
        <v>7506.89</v>
      </c>
      <c r="I23" s="39">
        <f>Sheet1!K6</f>
        <v>4307.96</v>
      </c>
      <c r="J23" s="39"/>
      <c r="K23" s="39">
        <f>Sheet1!M6</f>
        <v>1695.56</v>
      </c>
      <c r="L23" s="39"/>
      <c r="M23" s="39">
        <f>Sheet1!N6</f>
        <v>521.76</v>
      </c>
      <c r="N23" s="39"/>
      <c r="O23" s="39">
        <f>Sheet1!O6</f>
        <v>178.86</v>
      </c>
      <c r="P23" s="39"/>
      <c r="Q23" s="39">
        <f>Sheet1!L6</f>
        <v>802.75</v>
      </c>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11</v>
      </c>
      <c r="AY23" s="42">
        <f t="shared" si="14"/>
        <v>0</v>
      </c>
      <c r="AZ23" s="35">
        <f t="shared" si="15"/>
        <v>7506.89</v>
      </c>
      <c r="BA23" s="35">
        <f t="shared" si="16"/>
        <v>7506.89</v>
      </c>
      <c r="BB23" s="35">
        <f t="shared" si="17"/>
        <v>4307.96</v>
      </c>
      <c r="BC23" s="35">
        <f t="shared" si="18"/>
        <v>1695.56</v>
      </c>
      <c r="BD23" s="35">
        <f t="shared" si="19"/>
        <v>521.76</v>
      </c>
      <c r="BE23" s="35">
        <f t="shared" si="20"/>
        <v>178.86</v>
      </c>
      <c r="BF23" s="35">
        <f t="shared" si="21"/>
        <v>802.75</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12</v>
      </c>
      <c r="D24" s="2217" t="s">
        <v>3061</v>
      </c>
      <c r="E24" s="35">
        <f t="shared" si="7"/>
        <v>0</v>
      </c>
      <c r="F24" s="36"/>
      <c r="G24" s="37">
        <f t="shared" si="8"/>
        <v>19809.5</v>
      </c>
      <c r="H24" s="38">
        <f t="shared" si="9"/>
        <v>19809.5</v>
      </c>
      <c r="I24" s="39">
        <f>Sheet1!K7</f>
        <v>16064.74</v>
      </c>
      <c r="J24" s="39"/>
      <c r="K24" s="39">
        <f>Sheet1!M7</f>
        <v>793.48</v>
      </c>
      <c r="L24" s="39"/>
      <c r="M24" s="39"/>
      <c r="N24" s="39"/>
      <c r="O24" s="39">
        <f>Sheet1!O7</f>
        <v>1001.39</v>
      </c>
      <c r="P24" s="39"/>
      <c r="Q24" s="39">
        <f>Sheet1!L7</f>
        <v>1949.89</v>
      </c>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12</v>
      </c>
      <c r="AY24" s="42">
        <f t="shared" si="14"/>
        <v>0</v>
      </c>
      <c r="AZ24" s="35">
        <f t="shared" si="15"/>
        <v>19809.5</v>
      </c>
      <c r="BA24" s="35">
        <f t="shared" si="16"/>
        <v>19809.5</v>
      </c>
      <c r="BB24" s="35">
        <f t="shared" si="17"/>
        <v>16064.74</v>
      </c>
      <c r="BC24" s="35">
        <f t="shared" si="18"/>
        <v>793.48</v>
      </c>
      <c r="BD24" s="35">
        <f t="shared" si="19"/>
        <v>0</v>
      </c>
      <c r="BE24" s="35">
        <f t="shared" si="20"/>
        <v>1001.39</v>
      </c>
      <c r="BF24" s="35">
        <f t="shared" si="21"/>
        <v>1949.89</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13</v>
      </c>
      <c r="D25" s="2217" t="s">
        <v>3061</v>
      </c>
      <c r="E25" s="35">
        <f t="shared" si="7"/>
        <v>0</v>
      </c>
      <c r="F25" s="36"/>
      <c r="G25" s="37">
        <f t="shared" si="8"/>
        <v>1105.44</v>
      </c>
      <c r="H25" s="38">
        <f t="shared" si="9"/>
        <v>1105.44</v>
      </c>
      <c r="I25" s="39">
        <f>Sheet1!K8</f>
        <v>157.38999999999999</v>
      </c>
      <c r="J25" s="39"/>
      <c r="K25" s="39">
        <f>Sheet1!M8</f>
        <v>345.84</v>
      </c>
      <c r="L25" s="39"/>
      <c r="M25" s="39"/>
      <c r="N25" s="39"/>
      <c r="O25" s="39">
        <f>Sheet1!O8</f>
        <v>403.25</v>
      </c>
      <c r="P25" s="39"/>
      <c r="Q25" s="39">
        <f>Sheet1!L8</f>
        <v>198.96</v>
      </c>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13</v>
      </c>
      <c r="AY25" s="42">
        <f t="shared" si="14"/>
        <v>0</v>
      </c>
      <c r="AZ25" s="35">
        <f t="shared" si="15"/>
        <v>1105.44</v>
      </c>
      <c r="BA25" s="35">
        <f t="shared" si="16"/>
        <v>1105.44</v>
      </c>
      <c r="BB25" s="35">
        <f t="shared" si="17"/>
        <v>157.38999999999999</v>
      </c>
      <c r="BC25" s="35">
        <f t="shared" si="18"/>
        <v>345.84</v>
      </c>
      <c r="BD25" s="35">
        <f t="shared" si="19"/>
        <v>0</v>
      </c>
      <c r="BE25" s="35">
        <f t="shared" si="20"/>
        <v>403.25</v>
      </c>
      <c r="BF25" s="35">
        <f t="shared" si="21"/>
        <v>198.96</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42" t="s">
        <v>1940</v>
      </c>
      <c r="B2" s="3042"/>
      <c r="C2" s="3042"/>
      <c r="D2" s="970" t="s">
        <v>1916</v>
      </c>
      <c r="E2" s="2231" t="s">
        <v>1917</v>
      </c>
      <c r="F2" s="1395"/>
      <c r="G2" s="2232"/>
      <c r="H2" s="2233"/>
      <c r="I2" s="2234" t="s">
        <v>1941</v>
      </c>
      <c r="J2" s="1395"/>
      <c r="K2" s="1395"/>
      <c r="L2" s="1395"/>
      <c r="M2" s="1395"/>
      <c r="N2" s="1430"/>
      <c r="O2" s="1395"/>
      <c r="P2" s="1395"/>
    </row>
    <row r="3" spans="1:16" ht="15.75" thickBot="1">
      <c r="A3" s="3043" t="s">
        <v>1914</v>
      </c>
      <c r="B3" s="3043"/>
      <c r="C3" s="3043"/>
      <c r="D3" s="46">
        <f>'数据-基础表'!AY6</f>
        <v>0</v>
      </c>
      <c r="E3" s="46">
        <f>'数据-基础表'!AZ5</f>
        <v>30453.1</v>
      </c>
      <c r="F3" s="1395"/>
      <c r="G3" s="1402"/>
      <c r="H3" s="1250" t="s">
        <v>1915</v>
      </c>
      <c r="I3" s="55" t="e">
        <f>ROUND('数据-基础表'!B3/'数据-基础表'!A3,2)</f>
        <v>#DIV/0!</v>
      </c>
      <c r="J3" s="1395"/>
      <c r="K3" s="1395"/>
      <c r="L3" s="1395"/>
      <c r="M3" s="1395"/>
      <c r="N3" s="1430"/>
      <c r="O3" s="1395"/>
      <c r="P3" s="1395"/>
    </row>
    <row r="4" spans="1:16" ht="15">
      <c r="A4" s="3044"/>
      <c r="B4" s="3045"/>
      <c r="C4" s="3046"/>
      <c r="D4" s="2235" t="s">
        <v>1916</v>
      </c>
      <c r="E4" s="2236" t="s">
        <v>1917</v>
      </c>
      <c r="F4" s="1395"/>
      <c r="G4" s="2237" t="s">
        <v>1942</v>
      </c>
      <c r="H4" s="1250" t="s">
        <v>1922</v>
      </c>
      <c r="I4" s="55" t="e">
        <f>ROUND(SUMIF('数据-基础表'!I9:AS9,"地上",'数据-基础表'!I5:AS5)/'数据-基础表'!A3,2)</f>
        <v>#DIV/0!</v>
      </c>
      <c r="J4" s="1395"/>
      <c r="K4" s="1395"/>
      <c r="L4" s="1395"/>
      <c r="M4" s="1395"/>
      <c r="N4" s="1430"/>
      <c r="O4" s="1395"/>
      <c r="P4" s="1395"/>
    </row>
    <row r="5" spans="1:16">
      <c r="A5" s="47" t="s">
        <v>1918</v>
      </c>
      <c r="B5" s="3047" t="s">
        <v>1919</v>
      </c>
      <c r="C5" s="3047"/>
      <c r="D5" s="48">
        <f>ROUND($D$3*E5/$E$3,2)</f>
        <v>0</v>
      </c>
      <c r="E5" s="49">
        <f>SUMIF('数据-基础表'!$11:$11,"住宅",'数据-基础表'!$5:$5)</f>
        <v>0</v>
      </c>
      <c r="F5" s="1395"/>
      <c r="G5" s="1402"/>
      <c r="H5" s="1250" t="s">
        <v>1915</v>
      </c>
      <c r="I5" s="55" t="e">
        <f>ROUND(E31/D31,2)</f>
        <v>#DIV/0!</v>
      </c>
      <c r="J5" s="1395"/>
      <c r="K5" s="1395"/>
      <c r="L5" s="1395"/>
      <c r="M5" s="1395"/>
      <c r="N5" s="1395"/>
      <c r="O5" s="1395"/>
      <c r="P5" s="1395"/>
    </row>
    <row r="6" spans="1:16" ht="15" thickBot="1">
      <c r="A6" s="2238"/>
      <c r="B6" s="3047" t="s">
        <v>1920</v>
      </c>
      <c r="C6" s="3047"/>
      <c r="D6" s="48">
        <f>ROUND($D$3*E6/$E$3,2)</f>
        <v>0</v>
      </c>
      <c r="E6" s="49">
        <f>E3-E5</f>
        <v>30453.1</v>
      </c>
      <c r="F6" s="1395"/>
      <c r="G6" s="2239" t="s">
        <v>1921</v>
      </c>
      <c r="H6" s="1402" t="s">
        <v>1922</v>
      </c>
      <c r="I6" s="942" t="e">
        <f>ROUND(F31/D31,2)</f>
        <v>#DIV/0!</v>
      </c>
      <c r="J6" s="1395"/>
      <c r="K6" s="1395"/>
      <c r="L6" s="1395"/>
      <c r="M6" s="1395"/>
      <c r="N6" s="1395"/>
      <c r="O6" s="1395"/>
      <c r="P6" s="1395"/>
    </row>
    <row r="7" spans="1:16" ht="15">
      <c r="A7" s="3039"/>
      <c r="B7" s="3040"/>
      <c r="C7" s="3041"/>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0</v>
      </c>
      <c r="E8" s="51">
        <f>SUMIF('数据-基础表'!BB10:BK10,"地上",'数据-基础表'!BB5:BK5)</f>
        <v>27766.729999999996</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836.96</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1849.41</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0</v>
      </c>
      <c r="E16" s="53">
        <f>SUM(E8:E15)</f>
        <v>30453.099999999995</v>
      </c>
      <c r="F16" s="1395"/>
      <c r="G16" s="2241"/>
      <c r="H16" s="2244" t="s">
        <v>1944</v>
      </c>
      <c r="I16" s="2245"/>
      <c r="J16" s="1395"/>
      <c r="K16" s="3036" t="s">
        <v>1944</v>
      </c>
      <c r="L16" s="3037"/>
      <c r="M16" s="3037"/>
      <c r="N16" s="3037"/>
      <c r="O16" s="3037"/>
      <c r="P16" s="3038"/>
    </row>
    <row r="17" spans="1:19" ht="15">
      <c r="A17" s="2246" t="s">
        <v>1945</v>
      </c>
      <c r="B17" s="2247" t="s">
        <v>1946</v>
      </c>
      <c r="C17" s="2248" t="s">
        <v>1947</v>
      </c>
      <c r="D17" s="2249" t="s">
        <v>1935</v>
      </c>
      <c r="E17" s="2250" t="s">
        <v>1936</v>
      </c>
      <c r="F17" s="2251"/>
      <c r="G17" s="2252"/>
      <c r="H17" s="2253" t="s">
        <v>1948</v>
      </c>
      <c r="I17" s="2254" t="s">
        <v>1933</v>
      </c>
      <c r="J17" s="1395"/>
      <c r="K17" s="3033" t="s">
        <v>1949</v>
      </c>
      <c r="L17" s="3034"/>
      <c r="M17" s="3035"/>
      <c r="N17" s="3033" t="s">
        <v>1950</v>
      </c>
      <c r="O17" s="3034"/>
      <c r="P17" s="3035"/>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264" t="s">
        <v>3083</v>
      </c>
      <c r="D19" s="48">
        <f>ROUND($D$3*E19/$E$3,2)</f>
        <v>0</v>
      </c>
      <c r="E19" s="56">
        <f t="shared" ref="E19:E26" si="1">SUM(F19:G19)</f>
        <v>21779.809999999998</v>
      </c>
      <c r="F19" s="57">
        <f>'数据-基础表'!I5</f>
        <v>21779.809999999998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21779.809999999998</v>
      </c>
    </row>
    <row r="20" spans="1:19">
      <c r="A20" s="2267"/>
      <c r="B20" s="50" t="s">
        <v>1962</v>
      </c>
      <c r="C20" s="2954" t="s">
        <v>3098</v>
      </c>
      <c r="D20" s="48">
        <f t="shared" ref="D20:D26" si="6">ROUND($D$3*E20/$E$3,2)</f>
        <v>0</v>
      </c>
      <c r="E20" s="56">
        <f t="shared" si="1"/>
        <v>2951.6000000000004</v>
      </c>
      <c r="F20" s="57">
        <f>'数据-基础表'!Q5</f>
        <v>2951.6000000000004</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2951.6000000000004</v>
      </c>
    </row>
    <row r="21" spans="1:19">
      <c r="A21" s="2267"/>
      <c r="B21" s="50" t="s">
        <v>1962</v>
      </c>
      <c r="C21" s="2954" t="s">
        <v>3084</v>
      </c>
      <c r="D21" s="48">
        <f t="shared" si="6"/>
        <v>0</v>
      </c>
      <c r="E21" s="56">
        <f t="shared" si="1"/>
        <v>3035.32</v>
      </c>
      <c r="F21" s="57">
        <f>'数据-基础表'!K5</f>
        <v>3035.32</v>
      </c>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3035.32</v>
      </c>
    </row>
    <row r="22" spans="1:19">
      <c r="A22" s="2267"/>
      <c r="B22" s="50" t="s">
        <v>1962</v>
      </c>
      <c r="C22" s="2954" t="s">
        <v>3085</v>
      </c>
      <c r="D22" s="48">
        <f t="shared" si="6"/>
        <v>0</v>
      </c>
      <c r="E22" s="56">
        <f t="shared" si="1"/>
        <v>836.96</v>
      </c>
      <c r="F22" s="61"/>
      <c r="G22" s="62">
        <f>'数据-基础表'!M5</f>
        <v>836.96</v>
      </c>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836.96</v>
      </c>
    </row>
    <row r="23" spans="1:19">
      <c r="A23" s="2267"/>
      <c r="B23" s="50" t="s">
        <v>1962</v>
      </c>
      <c r="C23" s="2955" t="s">
        <v>3086</v>
      </c>
      <c r="D23" s="48">
        <f>ROUND($D$3*E23/$E$3,2)</f>
        <v>0</v>
      </c>
      <c r="E23" s="56">
        <f>SUM(F23:G23)</f>
        <v>1849.41</v>
      </c>
      <c r="F23" s="61"/>
      <c r="G23" s="62">
        <f>'数据-基础表'!O5</f>
        <v>1849.41</v>
      </c>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1849.41</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0</v>
      </c>
      <c r="E27" s="1397">
        <f>IF(SUM(E19:E26)='数据-基础表'!BA5,SUM(E19:E26),IF(F27="地上面积有误","面积有误","地下面积有误"))</f>
        <v>30453.099999999995</v>
      </c>
      <c r="F27" s="1396">
        <f>IF(SUM(F19:F26)=E8,SUM(F19:F26),"地上面积有误")</f>
        <v>27766.729999999996</v>
      </c>
      <c r="G27" s="1398">
        <f>SUM(G19:G26)</f>
        <v>2686.37</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30453.099999999995</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0</v>
      </c>
      <c r="E31" s="729">
        <f>E27+E30</f>
        <v>30453.099999999995</v>
      </c>
      <c r="F31" s="730">
        <f>F27+F30</f>
        <v>27766.729999999996</v>
      </c>
      <c r="G31" s="731">
        <f>G27+G30</f>
        <v>2686.37</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J28" sqref="AJ2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43354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3099</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办公（LOFT）</v>
      </c>
      <c r="B6" s="2311" t="str">
        <f>IF(A6=0,"","经营性")</f>
        <v>经营性</v>
      </c>
      <c r="C6" s="2312" t="s">
        <v>27</v>
      </c>
      <c r="D6" s="1054">
        <f>SUMIF(项目基本情况!D$12:I$12,C6,项目基本情况!D$14:I$14)</f>
        <v>50</v>
      </c>
      <c r="E6" s="1051">
        <f>IF(B6="","",SUMIF(项目基本情况!D$12:I$12,C6,项目基本情况!D$13:I$13))</f>
        <v>60343</v>
      </c>
      <c r="F6" s="72">
        <f>SUMIF(项目基本情况!D$12:I$12,C6,项目基本情况!D$15:I$15)</f>
        <v>46.54</v>
      </c>
      <c r="G6" s="73">
        <f>IF(ISERROR(ROUND(POWER(1+H6,D6-F6)*(POWER(1+H6,F6)-1)/(POWER(1+H6,D6)-1),3)),0,ROUND(POWER(1+H6,D6-F6)*(POWER(1+H6,F6)-1)/(POWER(1+H6,D6)-1),3))</f>
        <v>0.98199999999999998</v>
      </c>
      <c r="H6" s="802">
        <v>0.05</v>
      </c>
      <c r="I6" s="802">
        <v>0.05</v>
      </c>
      <c r="J6" s="74">
        <v>8.5000000000000006E-2</v>
      </c>
      <c r="K6" s="1254">
        <f>SUMIF('数据-汇总表'!C$19:C$33,A6,'数据-汇总表'!E$19:E$33)</f>
        <v>21779.809999999998</v>
      </c>
      <c r="L6" s="803">
        <v>3200</v>
      </c>
      <c r="M6" s="75">
        <f t="shared" ref="M6:M14" si="0">ROUND(K6*L6/10000,0)</f>
        <v>6970</v>
      </c>
      <c r="N6" s="801">
        <v>1</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3</v>
      </c>
      <c r="V6" s="79">
        <v>0.01</v>
      </c>
      <c r="W6" s="79">
        <v>0.1</v>
      </c>
      <c r="X6" s="1264"/>
      <c r="Y6" s="80">
        <v>1</v>
      </c>
      <c r="Z6" s="81"/>
      <c r="AA6" s="74"/>
      <c r="AB6" s="74"/>
      <c r="AC6" s="1264"/>
      <c r="AD6" s="82"/>
      <c r="AE6" s="1265">
        <f ca="1">IF(AN6="",0,SUMIF(INDIRECT("'"&amp;AN6&amp;"'"&amp;"!E:E"),$AE$5,INDIRECT("'"&amp;AN6&amp;"'"&amp;"!F:F")))</f>
        <v>46.54</v>
      </c>
      <c r="AF6" s="1807"/>
      <c r="AG6" s="147">
        <f>IF(AF6="",0,AE6-AF6)</f>
        <v>0</v>
      </c>
      <c r="AH6" s="83"/>
      <c r="AI6" s="85">
        <v>365</v>
      </c>
      <c r="AJ6" s="86"/>
      <c r="AK6" s="87">
        <v>1.4999999999999999E-2</v>
      </c>
      <c r="AL6" s="88">
        <v>1.5E-3</v>
      </c>
      <c r="AM6" s="89">
        <v>0.01</v>
      </c>
      <c r="AN6" s="2313" t="s">
        <v>3106</v>
      </c>
      <c r="AO6" s="55">
        <f ca="1">SUMIF(INDIRECT("'"&amp;AN6&amp;"'"&amp;"!A:A"),"总价",INDIRECT("'"&amp;AN6&amp;"'"&amp;"!B:B"))</f>
        <v>36343</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商业（LOFT)</v>
      </c>
      <c r="B7" s="2311" t="str">
        <f t="shared" ref="B7:B13" si="1">IF(A7=0,"","经营性")</f>
        <v>经营性</v>
      </c>
      <c r="C7" s="2312" t="s">
        <v>1377</v>
      </c>
      <c r="D7" s="1054">
        <f>SUMIF(项目基本情况!D$12:I$12,C7,项目基本情况!D$14:I$14)</f>
        <v>40</v>
      </c>
      <c r="E7" s="1051">
        <f>IF(B7="","",SUMIF(项目基本情况!D$12:I$12,C7,项目基本情况!D$13:I$13))</f>
        <v>56690</v>
      </c>
      <c r="F7" s="72">
        <f>SUMIF(项目基本情况!D$12:I$12,C7,项目基本情况!D$15:I$15)</f>
        <v>36.53</v>
      </c>
      <c r="G7" s="73">
        <f t="shared" ref="G7:G11" si="2">IF(ISERROR(ROUND(POWER(1+H7,D7-F7)*(POWER(1+H7,F7)-1)/(POWER(1+H7,D7)-1),3)),0,ROUND(POWER(1+H7,D7-F7)*(POWER(1+H7,F7)-1)/(POWER(1+H7,D7)-1),3))</f>
        <v>0.96899999999999997</v>
      </c>
      <c r="H7" s="802">
        <v>0.05</v>
      </c>
      <c r="I7" s="802">
        <v>0.05</v>
      </c>
      <c r="J7" s="74">
        <v>8.5000000000000006E-2</v>
      </c>
      <c r="K7" s="1254">
        <f>SUMIF('数据-汇总表'!C$19:C$33,A7,'数据-汇总表'!E$19:E$33)</f>
        <v>2951.6000000000004</v>
      </c>
      <c r="L7" s="803">
        <v>2500</v>
      </c>
      <c r="M7" s="75">
        <f t="shared" si="0"/>
        <v>738</v>
      </c>
      <c r="N7" s="801">
        <v>1</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t="str">
        <f>'数据-汇总表'!C21</f>
        <v>商业（底商）</v>
      </c>
      <c r="B8" s="2311" t="str">
        <f t="shared" si="1"/>
        <v>经营性</v>
      </c>
      <c r="C8" s="2312" t="s">
        <v>1377</v>
      </c>
      <c r="D8" s="1054">
        <f>SUMIF(项目基本情况!D$12:I$12,C8,项目基本情况!D$14:I$14)</f>
        <v>40</v>
      </c>
      <c r="E8" s="1051">
        <f>IF(B8="","",SUMIF(项目基本情况!D$12:I$12,C8,项目基本情况!D$13:I$13))</f>
        <v>56690</v>
      </c>
      <c r="F8" s="72">
        <f>SUMIF(项目基本情况!D$12:I$12,C8,项目基本情况!D$15:I$15)</f>
        <v>36.53</v>
      </c>
      <c r="G8" s="73">
        <f t="shared" si="2"/>
        <v>0.96899999999999997</v>
      </c>
      <c r="H8" s="802">
        <v>0.05</v>
      </c>
      <c r="I8" s="802">
        <v>0.05</v>
      </c>
      <c r="J8" s="74">
        <v>8.5000000000000006E-2</v>
      </c>
      <c r="K8" s="1254">
        <f>SUMIF('数据-汇总表'!C$19:C$33,A8,'数据-汇总表'!E$19:E$33)</f>
        <v>3035.32</v>
      </c>
      <c r="L8" s="803">
        <v>2300</v>
      </c>
      <c r="M8" s="75">
        <f>ROUND(K8*L8/10000,0)</f>
        <v>698</v>
      </c>
      <c r="N8" s="801">
        <v>1</v>
      </c>
      <c r="O8" s="75" t="str">
        <f t="shared" si="3"/>
        <v>——</v>
      </c>
      <c r="P8" s="76" t="str">
        <f t="shared" si="4"/>
        <v>——</v>
      </c>
      <c r="Q8" s="804">
        <v>0.2</v>
      </c>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t="str">
        <f>'数据-汇总表'!C22</f>
        <v>地下商业</v>
      </c>
      <c r="B9" s="2311" t="str">
        <f t="shared" si="1"/>
        <v>经营性</v>
      </c>
      <c r="C9" s="2312" t="s">
        <v>1377</v>
      </c>
      <c r="D9" s="1054">
        <f>SUMIF(项目基本情况!D$12:I$12,C9,项目基本情况!D$14:I$14)</f>
        <v>40</v>
      </c>
      <c r="E9" s="1051">
        <f>IF(B9="","",SUMIF(项目基本情况!D$12:I$12,C9,项目基本情况!D$13:I$13))</f>
        <v>56690</v>
      </c>
      <c r="F9" s="72">
        <f>SUMIF(项目基本情况!D$12:I$12,C9,项目基本情况!D$15:I$15)</f>
        <v>36.53</v>
      </c>
      <c r="G9" s="73">
        <f t="shared" si="2"/>
        <v>0.96199999999999997</v>
      </c>
      <c r="H9" s="74">
        <v>0.04</v>
      </c>
      <c r="I9" s="74">
        <v>4.4999999999999998E-2</v>
      </c>
      <c r="J9" s="74">
        <v>8.5000000000000006E-2</v>
      </c>
      <c r="K9" s="1254">
        <f>SUMIF('数据-汇总表'!C$19:C$33,A9,'数据-汇总表'!E$19:E$33)</f>
        <v>836.96</v>
      </c>
      <c r="L9" s="803">
        <v>2200</v>
      </c>
      <c r="M9" s="75">
        <f t="shared" si="0"/>
        <v>184</v>
      </c>
      <c r="N9" s="801">
        <v>1</v>
      </c>
      <c r="O9" s="75" t="str">
        <f t="shared" si="3"/>
        <v>——</v>
      </c>
      <c r="P9" s="76" t="str">
        <f t="shared" si="4"/>
        <v>——</v>
      </c>
      <c r="Q9" s="90">
        <v>0.1</v>
      </c>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t="str">
        <f>'数据-汇总表'!C23</f>
        <v>地下仓储</v>
      </c>
      <c r="B10" s="2311" t="str">
        <f t="shared" si="1"/>
        <v>经营性</v>
      </c>
      <c r="C10" s="2312" t="s">
        <v>3064</v>
      </c>
      <c r="D10" s="1054">
        <f>SUMIF(项目基本情况!D$12:I$12,C10,项目基本情况!D$14:I$14)</f>
        <v>50</v>
      </c>
      <c r="E10" s="1051">
        <f>IF(B10="","",SUMIF(项目基本情况!D$12:I$12,C10,项目基本情况!D$13:I$13))</f>
        <v>60343</v>
      </c>
      <c r="F10" s="72">
        <f>SUMIF(项目基本情况!D$12:I$12,C10,项目基本情况!D$15:I$15)</f>
        <v>46.54</v>
      </c>
      <c r="G10" s="73">
        <f t="shared" si="2"/>
        <v>0.97599999999999998</v>
      </c>
      <c r="H10" s="74">
        <v>0.04</v>
      </c>
      <c r="I10" s="74">
        <v>4.4999999999999998E-2</v>
      </c>
      <c r="J10" s="74">
        <v>8.5000000000000006E-2</v>
      </c>
      <c r="K10" s="1254">
        <f>SUMIF('数据-汇总表'!C$19:C$33,A10,'数据-汇总表'!E$19:E$33)</f>
        <v>1849.41</v>
      </c>
      <c r="L10" s="803">
        <v>2200</v>
      </c>
      <c r="M10" s="75">
        <f t="shared" si="0"/>
        <v>407</v>
      </c>
      <c r="N10" s="801">
        <v>1</v>
      </c>
      <c r="O10" s="75" t="str">
        <f t="shared" si="3"/>
        <v>——</v>
      </c>
      <c r="P10" s="76" t="str">
        <f t="shared" si="4"/>
        <v>——</v>
      </c>
      <c r="Q10" s="90">
        <v>0.1</v>
      </c>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0.97899999999999998</v>
      </c>
      <c r="H16" s="99">
        <f>ROUND(SUMPRODUCT(H6:H13,K6:K13)/SUMPRODUCT((H6:H13&gt;0)*(K6:K13)),3)</f>
        <v>4.9000000000000002E-2</v>
      </c>
      <c r="I16" s="100"/>
      <c r="J16" s="100"/>
      <c r="K16" s="101">
        <f>SUM(K6:K15)</f>
        <v>30453.099999999995</v>
      </c>
      <c r="L16" s="102">
        <f>ROUND(M16*10000/SUM(K6:K14),0)</f>
        <v>2954</v>
      </c>
      <c r="M16" s="102">
        <f>SUM(M6:M14)</f>
        <v>8997</v>
      </c>
      <c r="N16" s="103">
        <f>ROUND(SUMPRODUCT(M6:M14,N6:N14)/M16,3)</f>
        <v>1</v>
      </c>
      <c r="O16" s="102">
        <f>SUM(O6:O14)</f>
        <v>0</v>
      </c>
      <c r="P16" s="102">
        <f>SUM(P6:P14)</f>
        <v>0</v>
      </c>
      <c r="Q16" s="104">
        <f>ROUND(SUMPRODUCT(Q6:Q13,K6:K13)/SUMPRODUCT((Q6:Q13&gt;0)*(K6:K13)),2)</f>
        <v>0.19</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3</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2.9</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2.9</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0.10000000000000009</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0.05</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0.02</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4.7500000000000001E-2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7.0000000000000007E-2</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v>0</v>
      </c>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56</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8" t="s">
        <v>2085</v>
      </c>
      <c r="B1" s="3049"/>
      <c r="C1" s="3049"/>
      <c r="D1" s="3049"/>
      <c r="E1" s="3049"/>
      <c r="F1" s="3049"/>
      <c r="G1" s="3049"/>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4" sqref="D14"/>
    </sheetView>
  </sheetViews>
  <sheetFormatPr defaultRowHeight="13.5"/>
  <cols>
    <col min="1" max="1" width="23.375" style="1741" customWidth="1"/>
    <col min="2" max="9" width="15.75" style="1741" customWidth="1"/>
    <col min="10" max="16384" width="9" style="1741"/>
  </cols>
  <sheetData>
    <row r="1" spans="1:10" ht="16.5">
      <c r="A1" s="1746" t="s">
        <v>1365</v>
      </c>
      <c r="B1" s="1746">
        <f>SUM(B14:B23)</f>
        <v>30453.1</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43354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51081</v>
      </c>
      <c r="C5" s="1746">
        <f ca="1">ROUND(B5*10000/$B$1,0)</f>
        <v>16774</v>
      </c>
      <c r="D5" s="1746" t="e">
        <f ca="1">ROUND(B5*10000/$B$2,0)</f>
        <v>#DIV/0!</v>
      </c>
      <c r="E5" s="1745"/>
      <c r="F5" s="1743"/>
      <c r="G5" s="1743"/>
    </row>
    <row r="6" spans="1:10" ht="16.5">
      <c r="A6" s="1746" t="s">
        <v>1356</v>
      </c>
      <c r="B6" s="1746">
        <f ca="1">SUM(G14:G23)</f>
        <v>51081</v>
      </c>
      <c r="C6" s="1746">
        <f ca="1">ROUND(B6*10000/$B$1,0)</f>
        <v>16774</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30453.1</v>
      </c>
      <c r="C14" s="1744">
        <f>结果表!C118</f>
        <v>0</v>
      </c>
      <c r="D14" s="1744">
        <f ca="1">结果表!H118</f>
        <v>51081</v>
      </c>
      <c r="E14" s="1744">
        <f ca="1">ROUND(D14*10000/B14,0)</f>
        <v>16774</v>
      </c>
      <c r="F14" s="1744" t="e">
        <f ca="1">ROUND(D14*10000/C14,0)</f>
        <v>#DIV/0!</v>
      </c>
      <c r="G14" s="1744">
        <f ca="1">结果表!D122</f>
        <v>51081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c r="D1" s="2423"/>
      <c r="E1" s="2423"/>
      <c r="F1" s="2425" t="s">
        <v>2123</v>
      </c>
      <c r="G1" s="2074" t="s">
        <v>2124</v>
      </c>
      <c r="H1" s="2426" t="str">
        <f>IF(G1="现房","——","估价对象范围")</f>
        <v>估价对象范围</v>
      </c>
      <c r="I1" s="2427"/>
    </row>
    <row r="2" spans="1:12" ht="21.75" customHeight="1" thickBot="1">
      <c r="A2" s="3122" t="str">
        <f>项目基本情况!S2</f>
        <v>北京市出让国有建设用地使用权及在建建筑物房地产</v>
      </c>
      <c r="B2" s="3123"/>
      <c r="C2" s="3123"/>
      <c r="D2" s="3123"/>
      <c r="E2" s="3123"/>
      <c r="F2" s="3123"/>
      <c r="G2" s="3123"/>
      <c r="H2" s="3123"/>
      <c r="I2" s="3124"/>
    </row>
    <row r="3" spans="1:12" ht="12.75">
      <c r="A3" s="3125" t="s">
        <v>2125</v>
      </c>
      <c r="B3" s="3126"/>
      <c r="C3" s="3126"/>
      <c r="D3" s="3126"/>
      <c r="E3" s="3126"/>
      <c r="F3" s="3126"/>
      <c r="G3" s="3126"/>
      <c r="H3" s="3126"/>
      <c r="I3" s="3126"/>
    </row>
    <row r="4" spans="1:12" ht="14.25">
      <c r="A4" s="2430" t="s">
        <v>2126</v>
      </c>
      <c r="B4" s="2431" t="s">
        <v>2127</v>
      </c>
      <c r="C4" s="2432" t="s">
        <v>3106</v>
      </c>
      <c r="D4" s="2432" t="s">
        <v>3107</v>
      </c>
      <c r="E4" s="3106" t="s">
        <v>2128</v>
      </c>
      <c r="F4" s="3119"/>
      <c r="G4" s="3119"/>
      <c r="H4" s="3119"/>
      <c r="I4" s="3107"/>
      <c r="K4" s="2433" t="str">
        <f>IF(ISNUMBER(FIND("比较法",结果表!C4)),"比较法",IF(ISNUMBER(FIND("成本法",结果表!C4)),"成本法",IF(ISNUMBER(FIND("假设开发法",结果表!C4)),"假设开发法",IF(ISNUMBER(FIND("收益法",结果表!C4)),"收益法","基准地价系数修正法"))))</f>
        <v>收益法</v>
      </c>
      <c r="L4" s="2433" t="str">
        <f>IF(ISNUMBER(FIND("比较法",结果表!D4)),"比较法",IF(ISNUMBER(FIND("成本法",结果表!D4)),"成本法",IF(ISNUMBER(FIND("假设开发法",结果表!D4)),"假设开发法",IF(ISNUMBER(FIND("收益法",结果表!D4)),"收益法","基准地价系数修正法"))))</f>
        <v>比较法</v>
      </c>
    </row>
    <row r="5" spans="1:12" ht="12.75">
      <c r="A5" s="3097" t="s">
        <v>2129</v>
      </c>
      <c r="B5" s="3023">
        <v>25</v>
      </c>
      <c r="C5" s="3127"/>
      <c r="D5" s="3115"/>
      <c r="E5" s="140" t="s">
        <v>2130</v>
      </c>
      <c r="F5" s="2434"/>
      <c r="G5" s="2434"/>
      <c r="H5" s="2434"/>
      <c r="I5" s="1834"/>
    </row>
    <row r="6" spans="1:12" ht="12.75">
      <c r="A6" s="3097"/>
      <c r="B6" s="3023"/>
      <c r="C6" s="3129"/>
      <c r="D6" s="3115"/>
      <c r="E6" s="140" t="s">
        <v>2131</v>
      </c>
      <c r="F6" s="2434"/>
      <c r="G6" s="2434"/>
      <c r="H6" s="2434"/>
      <c r="I6" s="1834"/>
    </row>
    <row r="7" spans="1:12" ht="12.75">
      <c r="A7" s="3097"/>
      <c r="B7" s="3023"/>
      <c r="C7" s="3128"/>
      <c r="D7" s="3115"/>
      <c r="E7" s="140" t="s">
        <v>2132</v>
      </c>
      <c r="F7" s="2434"/>
      <c r="G7" s="2434"/>
      <c r="H7" s="2434"/>
      <c r="I7" s="1834"/>
    </row>
    <row r="8" spans="1:12" ht="12.75">
      <c r="A8" s="3097" t="s">
        <v>2133</v>
      </c>
      <c r="B8" s="3023">
        <v>15</v>
      </c>
      <c r="C8" s="3127"/>
      <c r="D8" s="3115"/>
      <c r="E8" s="140" t="s">
        <v>2134</v>
      </c>
      <c r="F8" s="2434"/>
      <c r="G8" s="2434"/>
      <c r="H8" s="2434"/>
      <c r="I8" s="1834"/>
    </row>
    <row r="9" spans="1:12" ht="12.75">
      <c r="A9" s="3097"/>
      <c r="B9" s="3023"/>
      <c r="C9" s="3128"/>
      <c r="D9" s="3115"/>
      <c r="E9" s="140" t="s">
        <v>2135</v>
      </c>
      <c r="F9" s="2434"/>
      <c r="G9" s="2434"/>
      <c r="H9" s="2434"/>
      <c r="I9" s="1834"/>
    </row>
    <row r="10" spans="1:12" ht="12.75">
      <c r="A10" s="3097" t="s">
        <v>2136</v>
      </c>
      <c r="B10" s="3023">
        <v>15</v>
      </c>
      <c r="C10" s="3127"/>
      <c r="D10" s="3115"/>
      <c r="E10" s="140" t="s">
        <v>2137</v>
      </c>
      <c r="F10" s="2434"/>
      <c r="G10" s="2434"/>
      <c r="H10" s="2434"/>
      <c r="I10" s="1834"/>
    </row>
    <row r="11" spans="1:12" ht="12.75">
      <c r="A11" s="3097"/>
      <c r="B11" s="3023"/>
      <c r="C11" s="3128"/>
      <c r="D11" s="3115"/>
      <c r="E11" s="140" t="s">
        <v>2138</v>
      </c>
      <c r="F11" s="2434"/>
      <c r="G11" s="2434"/>
      <c r="H11" s="2434"/>
      <c r="I11" s="1834"/>
    </row>
    <row r="12" spans="1:12" ht="12.75">
      <c r="A12" s="3097" t="s">
        <v>2139</v>
      </c>
      <c r="B12" s="3023">
        <v>15</v>
      </c>
      <c r="C12" s="3127"/>
      <c r="D12" s="3115"/>
      <c r="E12" s="140" t="s">
        <v>2140</v>
      </c>
      <c r="F12" s="2434"/>
      <c r="G12" s="2434"/>
      <c r="H12" s="2434"/>
      <c r="I12" s="1834"/>
    </row>
    <row r="13" spans="1:12" ht="12.75">
      <c r="A13" s="3097"/>
      <c r="B13" s="3023"/>
      <c r="C13" s="3128"/>
      <c r="D13" s="3115"/>
      <c r="E13" s="140" t="s">
        <v>2141</v>
      </c>
      <c r="F13" s="2434"/>
      <c r="G13" s="2434"/>
      <c r="H13" s="2434"/>
      <c r="I13" s="1834"/>
    </row>
    <row r="14" spans="1:12" ht="12.75">
      <c r="A14" s="3097" t="s">
        <v>2142</v>
      </c>
      <c r="B14" s="3023">
        <v>30</v>
      </c>
      <c r="C14" s="3127">
        <v>4</v>
      </c>
      <c r="D14" s="3115">
        <v>6</v>
      </c>
      <c r="E14" s="140" t="s">
        <v>2143</v>
      </c>
      <c r="F14" s="2434"/>
      <c r="G14" s="2434"/>
      <c r="H14" s="2434"/>
      <c r="I14" s="1834"/>
    </row>
    <row r="15" spans="1:12" ht="12.75">
      <c r="A15" s="3097"/>
      <c r="B15" s="3023"/>
      <c r="C15" s="3129"/>
      <c r="D15" s="3115"/>
      <c r="E15" s="140" t="s">
        <v>2144</v>
      </c>
      <c r="F15" s="2434"/>
      <c r="G15" s="2434"/>
      <c r="H15" s="2434"/>
      <c r="I15" s="1834"/>
    </row>
    <row r="16" spans="1:12" ht="12.75">
      <c r="A16" s="3097"/>
      <c r="B16" s="3023"/>
      <c r="C16" s="3128"/>
      <c r="D16" s="3115"/>
      <c r="E16" s="140" t="s">
        <v>2145</v>
      </c>
      <c r="F16" s="2434"/>
      <c r="G16" s="2434"/>
      <c r="H16" s="2434"/>
      <c r="I16" s="1834"/>
    </row>
    <row r="17" spans="1:35" ht="15">
      <c r="A17" s="2435" t="s">
        <v>2146</v>
      </c>
      <c r="B17" s="64"/>
      <c r="C17" s="141">
        <f>SUM(C5:C16)</f>
        <v>4</v>
      </c>
      <c r="D17" s="141">
        <f>SUM(D5:D16)</f>
        <v>6</v>
      </c>
      <c r="E17" s="138"/>
      <c r="F17" s="138"/>
      <c r="G17" s="138"/>
      <c r="H17" s="138"/>
      <c r="I17" s="138"/>
      <c r="K17" s="2433"/>
      <c r="L17" s="2436" t="s">
        <v>2147</v>
      </c>
      <c r="M17" s="2436" t="s">
        <v>2148</v>
      </c>
    </row>
    <row r="18" spans="1:35" ht="15.75" thickBot="1">
      <c r="A18" s="2437" t="s">
        <v>2149</v>
      </c>
      <c r="B18" s="2438"/>
      <c r="C18" s="142">
        <f>ROUND(C17/SUM(C17:D17),2)</f>
        <v>0.4</v>
      </c>
      <c r="D18" s="142">
        <f>1-C18</f>
        <v>0.6</v>
      </c>
      <c r="E18" s="138"/>
      <c r="F18" s="138"/>
      <c r="G18" s="138"/>
      <c r="H18" s="138"/>
      <c r="I18" s="138"/>
      <c r="K18" s="2433" t="s">
        <v>2150</v>
      </c>
      <c r="L18" s="2433">
        <f>IF(C1="",'数据-汇总表'!E3,SUMIF(项目类型,C1,'数据-汇总表'!E17:E26)+SUMIF(项目类型,C1,'数据-汇总表'!I17:I26))</f>
        <v>30453.1</v>
      </c>
      <c r="M18" s="2433">
        <f>IF(C1="",'数据-汇总表'!E3,SUMIF(项目类型,C1,'数据-汇总表'!E17:E26))</f>
        <v>30453.1</v>
      </c>
    </row>
    <row r="19" spans="1:35" ht="15">
      <c r="A19" s="2439" t="s">
        <v>2151</v>
      </c>
      <c r="B19" s="2440" t="s">
        <v>2152</v>
      </c>
      <c r="C19" s="143">
        <f ca="1">SUMIF(INDIRECT("'"&amp;C4&amp;"'"&amp;"!A:A"),结果表!B19,INDIRECT("'"&amp;C4&amp;"'"&amp;"!B:B"))</f>
        <v>36343</v>
      </c>
      <c r="D19" s="144">
        <f ca="1">SUMIF(INDIRECT("'"&amp;D4&amp;"'"&amp;"!A:A"),结果表!B19,INDIRECT("'"&amp;D4&amp;"'"&amp;"!B:B"))</f>
        <v>60906</v>
      </c>
      <c r="E19" s="2439" t="s">
        <v>2153</v>
      </c>
      <c r="F19" s="2440" t="s">
        <v>2152</v>
      </c>
      <c r="G19" s="145">
        <f ca="1">ROUND(C19*$C$18+D19*$D$18,0)</f>
        <v>51081</v>
      </c>
      <c r="H19" s="2441" t="s">
        <v>2154</v>
      </c>
      <c r="I19" s="138"/>
      <c r="K19" s="2433" t="s">
        <v>2155</v>
      </c>
      <c r="L19" s="2433">
        <f>IF(C1="",'数据-汇总表'!D3,SUMIF(项目类型,C1,'数据-汇总表'!D17:D26)+SUMIF(项目类型,C1,'数据-汇总表'!H17:H27))</f>
        <v>0</v>
      </c>
      <c r="M19" s="2433">
        <f>IF(C1="",'数据-汇总表'!D3,SUMIF(项目类型,C1,'数据-汇总表'!D17:D26))</f>
        <v>0</v>
      </c>
    </row>
    <row r="20" spans="1:35" ht="15">
      <c r="A20" s="2442"/>
      <c r="B20" s="1250" t="s">
        <v>2156</v>
      </c>
      <c r="C20" s="146">
        <f ca="1">SUMIF(INDIRECT("'"&amp;C4&amp;"'"&amp;"!A:A"),结果表!B20,INDIRECT("'"&amp;C4&amp;"'"&amp;"!B:B"))</f>
        <v>16687</v>
      </c>
      <c r="D20" s="147">
        <f ca="1">SUMIF(INDIRECT("'"&amp;D4&amp;"'"&amp;"!A:A"),结果表!B20,INDIRECT("'"&amp;D4&amp;"'"&amp;"!B:B"))</f>
        <v>20000</v>
      </c>
      <c r="E20" s="2442"/>
      <c r="F20" s="1250" t="s">
        <v>2156</v>
      </c>
      <c r="G20" s="148">
        <f ca="1">ROUND(C20*$C$18+D20*$D$18,0)</f>
        <v>18675</v>
      </c>
      <c r="H20" s="983" t="s">
        <v>2157</v>
      </c>
      <c r="I20" s="138"/>
    </row>
    <row r="21" spans="1:35" ht="15" customHeight="1" thickBot="1">
      <c r="A21" s="1003"/>
      <c r="B21" s="2443" t="s">
        <v>2158</v>
      </c>
      <c r="C21" s="789" t="e">
        <f ca="1">ROUND(C19*10000/L19,0)</f>
        <v>#DIV/0!</v>
      </c>
      <c r="D21" s="790" t="e">
        <f ca="1">ROUND(D19*10000/L19,0)</f>
        <v>#DIV/0!</v>
      </c>
      <c r="E21" s="1003"/>
      <c r="F21" s="2443" t="s">
        <v>2158</v>
      </c>
      <c r="G21" s="149" t="e">
        <f ca="1">ROUND(G19*10000/L19,0)</f>
        <v>#DIV/0!</v>
      </c>
      <c r="H21" s="2444" t="s">
        <v>2157</v>
      </c>
      <c r="I21" s="138"/>
    </row>
    <row r="22" spans="1:35" ht="15" thickBot="1">
      <c r="A22" s="2285" t="s">
        <v>2159</v>
      </c>
      <c r="B22" s="2445"/>
      <c r="C22" s="2446"/>
      <c r="D22" s="791">
        <f ca="1">IF(C19&lt;D19,D19/C19-1,C19/D19-1)</f>
        <v>0.67586605398563693</v>
      </c>
      <c r="E22" s="138"/>
      <c r="F22" s="138"/>
      <c r="G22" s="138"/>
      <c r="H22" s="138"/>
      <c r="I22" s="138"/>
    </row>
    <row r="23" spans="1:35" ht="13.5" thickBot="1">
      <c r="A23" s="2423"/>
      <c r="B23" s="2423"/>
      <c r="C23" s="2423"/>
      <c r="D23" s="2423"/>
      <c r="E23" s="138"/>
      <c r="F23" s="138"/>
      <c r="G23" s="138"/>
      <c r="H23" s="138"/>
      <c r="I23" s="138"/>
    </row>
    <row r="24" spans="1:35" ht="14.25">
      <c r="A24" s="3136" t="s">
        <v>2160</v>
      </c>
      <c r="B24" s="2440" t="s">
        <v>2152</v>
      </c>
      <c r="C24" s="145">
        <f>IF(B30=0,0,D30)</f>
        <v>0</v>
      </c>
      <c r="D24" s="2447"/>
      <c r="E24" s="138"/>
      <c r="F24" s="138"/>
      <c r="G24" s="138"/>
      <c r="H24" s="138"/>
      <c r="I24" s="138"/>
    </row>
    <row r="25" spans="1:35" ht="14.25">
      <c r="A25" s="3137"/>
      <c r="B25" s="1250" t="s">
        <v>2156</v>
      </c>
      <c r="C25" s="150">
        <f>IF(B30=0,0,C30)</f>
        <v>0</v>
      </c>
      <c r="D25" s="2448"/>
      <c r="E25" s="138"/>
      <c r="F25" s="138"/>
      <c r="G25" s="138"/>
      <c r="H25" s="138"/>
      <c r="I25" s="138"/>
    </row>
    <row r="26" spans="1:35" ht="13.5" customHeight="1">
      <c r="A26" s="2449" t="s">
        <v>2161</v>
      </c>
      <c r="B26" s="151" t="s">
        <v>2162</v>
      </c>
      <c r="C26" s="151" t="s">
        <v>2163</v>
      </c>
      <c r="D26" s="152" t="s">
        <v>2164</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2165</v>
      </c>
      <c r="B30" s="151"/>
      <c r="C30" s="151"/>
      <c r="D30" s="151"/>
      <c r="E30" s="2932" t="s">
        <v>3041</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2166</v>
      </c>
      <c r="B32" s="2453"/>
      <c r="C32" s="153">
        <f ca="1">IF(D32="总价",G19-C24,G20-C25)</f>
        <v>51081</v>
      </c>
      <c r="D32" s="2454" t="s">
        <v>2167</v>
      </c>
      <c r="E32" s="138"/>
      <c r="F32" s="138"/>
      <c r="G32" s="138"/>
      <c r="H32" s="138"/>
      <c r="I32" s="138"/>
    </row>
    <row r="33" spans="1:15" ht="15">
      <c r="A33" s="960" t="s">
        <v>2168</v>
      </c>
      <c r="B33" s="2455"/>
      <c r="C33" s="2456"/>
      <c r="D33" s="2457"/>
      <c r="E33" s="2458" t="s">
        <v>2169</v>
      </c>
      <c r="F33" s="2459" t="str">
        <f>IF(D32="楼面单价","取值（单价）","取值（总价）")</f>
        <v>取值（总价）</v>
      </c>
      <c r="G33" s="138"/>
      <c r="H33" s="138"/>
      <c r="I33" s="138"/>
    </row>
    <row r="34" spans="1:15" ht="15">
      <c r="A34" s="2460"/>
      <c r="B34" s="2461"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2171</v>
      </c>
      <c r="F34" s="1739"/>
      <c r="G34" s="138"/>
      <c r="H34" s="138"/>
      <c r="I34" s="138"/>
    </row>
    <row r="35" spans="1:15" ht="15.75" thickBot="1">
      <c r="A35" s="2463"/>
      <c r="B35" s="2464"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2173</v>
      </c>
      <c r="F35" s="163"/>
      <c r="G35" s="138"/>
      <c r="H35" s="138"/>
      <c r="I35" s="138"/>
    </row>
    <row r="36" spans="1:15" ht="15.75" thickBot="1">
      <c r="A36" s="3116" t="s">
        <v>2174</v>
      </c>
      <c r="B36" s="2466" t="s">
        <v>2175</v>
      </c>
      <c r="C36" s="154"/>
      <c r="D36" s="2467"/>
      <c r="E36" s="2468"/>
      <c r="F36" s="2469"/>
      <c r="G36" s="138"/>
      <c r="H36" s="138"/>
      <c r="I36" s="138"/>
    </row>
    <row r="37" spans="1:15" ht="15.75" thickBot="1">
      <c r="A37" s="3117"/>
      <c r="B37" s="2271" t="s">
        <v>2176</v>
      </c>
      <c r="C37" s="156"/>
      <c r="D37" s="1395"/>
      <c r="E37" s="1395"/>
      <c r="F37" s="2469"/>
      <c r="G37" s="138"/>
      <c r="H37" s="138"/>
      <c r="I37" s="138"/>
    </row>
    <row r="38" spans="1:15" ht="15.75" thickBot="1">
      <c r="A38" s="3118"/>
      <c r="B38" s="2470" t="s">
        <v>2177</v>
      </c>
      <c r="C38" s="727"/>
      <c r="D38" s="2471" t="s">
        <v>2178</v>
      </c>
      <c r="E38" s="1395"/>
      <c r="F38" s="2469"/>
      <c r="G38" s="138"/>
      <c r="H38" s="138"/>
      <c r="I38" s="138"/>
    </row>
    <row r="39" spans="1:15" ht="15">
      <c r="A39" s="2442" t="s">
        <v>2179</v>
      </c>
      <c r="B39" s="2472" t="s">
        <v>2180</v>
      </c>
      <c r="C39" s="2473" t="s">
        <v>2181</v>
      </c>
      <c r="D39" s="2473" t="s">
        <v>2182</v>
      </c>
      <c r="E39" s="2474" t="s">
        <v>2183</v>
      </c>
      <c r="F39" s="2469"/>
      <c r="G39" s="138"/>
      <c r="H39" s="138"/>
      <c r="I39" s="138"/>
    </row>
    <row r="40" spans="1:15" ht="14.25">
      <c r="A40" s="2475" t="s">
        <v>2184</v>
      </c>
      <c r="B40" s="158"/>
      <c r="C40" s="159"/>
      <c r="D40" s="159"/>
      <c r="E40" s="160"/>
      <c r="F40" s="2469"/>
      <c r="G40" s="138"/>
      <c r="H40" s="138"/>
      <c r="I40" s="138"/>
    </row>
    <row r="41" spans="1:15" ht="14.25">
      <c r="A41" s="2475" t="s">
        <v>2185</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2186</v>
      </c>
      <c r="B44" s="2480"/>
      <c r="C44" s="2480"/>
      <c r="D44" s="2481"/>
      <c r="E44" s="2481"/>
      <c r="F44" s="2482"/>
      <c r="G44" s="2482"/>
      <c r="H44" s="2482"/>
      <c r="I44" s="2482"/>
      <c r="J44" s="2483" t="s">
        <v>2187</v>
      </c>
      <c r="K44" s="2484"/>
      <c r="L44" s="2484"/>
      <c r="M44" s="2484"/>
      <c r="N44" s="2484"/>
      <c r="O44" s="2484"/>
    </row>
    <row r="45" spans="1:15" ht="14.25" customHeight="1" thickBot="1">
      <c r="A45" s="3133" t="s">
        <v>2188</v>
      </c>
      <c r="B45" s="3134"/>
      <c r="C45" s="3135"/>
      <c r="D45" s="164">
        <f ca="1">ROUND(H101*F45,0)</f>
        <v>51081</v>
      </c>
      <c r="E45" s="165" t="s">
        <v>2189</v>
      </c>
      <c r="F45" s="166">
        <v>1</v>
      </c>
      <c r="G45" s="167" t="s">
        <v>2190</v>
      </c>
      <c r="H45" s="138"/>
      <c r="I45" s="138"/>
      <c r="J45" s="3052" t="s">
        <v>2191</v>
      </c>
      <c r="K45" s="3052"/>
      <c r="L45" s="3052"/>
      <c r="M45" s="3052"/>
      <c r="N45" s="3052"/>
      <c r="O45" s="3052"/>
    </row>
    <row r="46" spans="1:15" ht="14.25" customHeight="1">
      <c r="A46" s="3130" t="s">
        <v>2192</v>
      </c>
      <c r="B46" s="3131"/>
      <c r="C46" s="3131"/>
      <c r="D46" s="3131"/>
      <c r="E46" s="3131"/>
      <c r="F46" s="3131"/>
      <c r="G46" s="3132"/>
      <c r="H46" s="2485"/>
      <c r="I46" s="168"/>
      <c r="J46" s="1812">
        <v>1</v>
      </c>
      <c r="K46" s="3052" t="s">
        <v>2193</v>
      </c>
      <c r="L46" s="3052"/>
      <c r="M46" s="3053"/>
      <c r="N46" s="3053"/>
      <c r="O46" s="3053"/>
    </row>
    <row r="47" spans="1:15" ht="12" customHeight="1">
      <c r="A47" s="169" t="s">
        <v>2194</v>
      </c>
      <c r="B47" s="170"/>
      <c r="C47" s="171"/>
      <c r="D47" s="172" t="s">
        <v>2195</v>
      </c>
      <c r="E47" s="24" t="s">
        <v>2196</v>
      </c>
      <c r="F47" s="173" t="s">
        <v>2197</v>
      </c>
      <c r="G47" s="174" t="s">
        <v>2198</v>
      </c>
      <c r="H47" s="2485"/>
      <c r="I47" s="168"/>
      <c r="J47" s="1812">
        <v>2</v>
      </c>
      <c r="K47" s="3052" t="s">
        <v>2199</v>
      </c>
      <c r="L47" s="3052"/>
      <c r="M47" s="3054">
        <f>'数据-取费表'!B2</f>
        <v>43354</v>
      </c>
      <c r="N47" s="3054"/>
      <c r="O47" s="3054"/>
    </row>
    <row r="48" spans="1:15" ht="25.5">
      <c r="A48" s="3120" t="s">
        <v>2200</v>
      </c>
      <c r="B48" s="3121"/>
      <c r="C48" s="3121"/>
      <c r="D48" s="140">
        <f>IF(H48="情况1",0,IF(H48="情况2",D52,IF(H48="情况3",D53,IF(H48="情况4",D54))))</f>
        <v>0</v>
      </c>
      <c r="E48" s="1801" t="str">
        <f>IF(H48="情况4","(销售额-原购置价)×税（费）率","销售额×税（费）率")</f>
        <v>销售额×税（费）率</v>
      </c>
      <c r="F48" s="175" t="str">
        <f>IF(H48="情况1","免征",'数据-取费表'!B41)</f>
        <v>免征</v>
      </c>
      <c r="G48" s="2486" t="s">
        <v>2201</v>
      </c>
      <c r="H48" s="2487" t="s">
        <v>2202</v>
      </c>
      <c r="I48" s="2485"/>
      <c r="J48" s="1812">
        <v>3</v>
      </c>
      <c r="K48" s="3052" t="s">
        <v>2203</v>
      </c>
      <c r="L48" s="3052"/>
      <c r="M48" s="3055">
        <f ca="1">H101</f>
        <v>51081</v>
      </c>
      <c r="N48" s="3055"/>
      <c r="O48" s="3055"/>
    </row>
    <row r="49" spans="1:35" ht="25.5" customHeight="1">
      <c r="A49" s="176" t="s">
        <v>2204</v>
      </c>
      <c r="B49" s="3100" t="s">
        <v>2205</v>
      </c>
      <c r="C49" s="3100"/>
      <c r="D49" s="177">
        <v>0</v>
      </c>
      <c r="E49" s="23" t="s">
        <v>2206</v>
      </c>
      <c r="F49" s="28" t="s">
        <v>34</v>
      </c>
      <c r="G49" s="3081"/>
      <c r="H49" s="138"/>
      <c r="I49" s="2488"/>
      <c r="J49" s="1812">
        <v>4</v>
      </c>
      <c r="K49" s="3052" t="str">
        <f>IF(项目基本情况!E8="房地产抵押价值","房地产抵押价值","抵押担保权已注销时的房地产抵押价值")</f>
        <v>抵押担保权已注销时的房地产抵押价值</v>
      </c>
      <c r="L49" s="3052"/>
      <c r="M49" s="3055" t="str">
        <f>IF(项目基本情况!E8="房地产抵押价值",H107,H109)</f>
        <v>——</v>
      </c>
      <c r="N49" s="3055"/>
      <c r="O49" s="3055"/>
    </row>
    <row r="50" spans="1:35" ht="25.5" customHeight="1">
      <c r="A50" s="178"/>
      <c r="B50" s="3100" t="s">
        <v>2207</v>
      </c>
      <c r="C50" s="3100"/>
      <c r="D50" s="179"/>
      <c r="E50" s="31"/>
      <c r="F50" s="180"/>
      <c r="G50" s="3082"/>
      <c r="H50" s="138"/>
      <c r="I50" s="2488"/>
      <c r="J50" s="3052" t="s">
        <v>2208</v>
      </c>
      <c r="K50" s="3052"/>
      <c r="L50" s="3052"/>
      <c r="M50" s="3052"/>
      <c r="N50" s="3052"/>
      <c r="O50" s="3052"/>
    </row>
    <row r="51" spans="1:35" ht="12" customHeight="1">
      <c r="A51" s="181"/>
      <c r="B51" s="3100" t="s">
        <v>2209</v>
      </c>
      <c r="C51" s="3100"/>
      <c r="D51" s="182"/>
      <c r="E51" s="30"/>
      <c r="F51" s="180"/>
      <c r="G51" s="3083"/>
      <c r="H51" s="138"/>
      <c r="I51" s="2488"/>
      <c r="J51" s="2489" t="s">
        <v>2210</v>
      </c>
      <c r="K51" s="3052" t="s">
        <v>2211</v>
      </c>
      <c r="L51" s="3052"/>
      <c r="M51" s="2489" t="s">
        <v>2212</v>
      </c>
      <c r="N51" s="2489" t="s">
        <v>2213</v>
      </c>
      <c r="O51" s="2489" t="s">
        <v>2214</v>
      </c>
    </row>
    <row r="52" spans="1:35" ht="24" customHeight="1">
      <c r="A52" s="183" t="s">
        <v>2215</v>
      </c>
      <c r="B52" s="3100" t="s">
        <v>2216</v>
      </c>
      <c r="C52" s="3100"/>
      <c r="D52" s="182">
        <f ca="1">ROUND(D45*'数据-取费表'!B41/(1+'数据-取费表'!C42),0)</f>
        <v>2724</v>
      </c>
      <c r="E52" s="11" t="s">
        <v>2217</v>
      </c>
      <c r="F52" s="184">
        <f>'数据-取费表'!B41</f>
        <v>5.6000000000000001E-2</v>
      </c>
      <c r="G52" s="2490"/>
      <c r="H52" s="138"/>
      <c r="I52" s="2488"/>
      <c r="J52" s="1812">
        <v>1</v>
      </c>
      <c r="K52" s="3075" t="s">
        <v>2218</v>
      </c>
      <c r="L52" s="3075"/>
      <c r="M52" s="1754">
        <f>D48</f>
        <v>0</v>
      </c>
      <c r="N52" s="1812" t="str">
        <f>E48</f>
        <v>销售额×税（费）率</v>
      </c>
      <c r="O52" s="1755" t="str">
        <f>F48</f>
        <v>免征</v>
      </c>
    </row>
    <row r="53" spans="1:35" ht="12" customHeight="1">
      <c r="A53" s="183" t="s">
        <v>2219</v>
      </c>
      <c r="B53" s="3101" t="s">
        <v>2220</v>
      </c>
      <c r="C53" s="3102"/>
      <c r="D53" s="182">
        <f ca="1">ROUND(D45*'数据-取费表'!B41/(1+'数据-取费表'!C42),0)</f>
        <v>2724</v>
      </c>
      <c r="E53" s="11" t="s">
        <v>2217</v>
      </c>
      <c r="F53" s="184">
        <f>'数据-取费表'!B41</f>
        <v>5.6000000000000001E-2</v>
      </c>
      <c r="G53" s="2490"/>
      <c r="H53" s="138"/>
      <c r="I53" s="2488"/>
      <c r="J53" s="1812">
        <v>2</v>
      </c>
      <c r="K53" s="3075" t="s">
        <v>2221</v>
      </c>
      <c r="L53" s="3075"/>
      <c r="M53" s="1754">
        <f t="shared" ref="M53:O54" ca="1" si="0">D55</f>
        <v>26</v>
      </c>
      <c r="N53" s="1812" t="str">
        <f t="shared" si="0"/>
        <v>销售额×税（费）率</v>
      </c>
      <c r="O53" s="1755">
        <f t="shared" si="0"/>
        <v>5.0000000000000001E-4</v>
      </c>
    </row>
    <row r="54" spans="1:35" ht="12" customHeight="1">
      <c r="A54" s="183" t="s">
        <v>2222</v>
      </c>
      <c r="B54" s="3101" t="s">
        <v>2223</v>
      </c>
      <c r="C54" s="3102"/>
      <c r="D54" s="182">
        <f ca="1">C68</f>
        <v>2724</v>
      </c>
      <c r="E54" s="30" t="s">
        <v>2224</v>
      </c>
      <c r="F54" s="184">
        <f>'数据-取费表'!B41</f>
        <v>5.6000000000000001E-2</v>
      </c>
      <c r="G54" s="2490"/>
      <c r="H54" s="2491"/>
      <c r="I54" s="2488"/>
      <c r="J54" s="1812">
        <v>3</v>
      </c>
      <c r="K54" s="3075" t="s">
        <v>2225</v>
      </c>
      <c r="L54" s="3075"/>
      <c r="M54" s="1754">
        <f t="shared" ca="1" si="0"/>
        <v>28912</v>
      </c>
      <c r="N54" s="1812" t="str">
        <f t="shared" si="0"/>
        <v>增值额×税（费）率</v>
      </c>
      <c r="O54" s="1756" t="str">
        <f t="shared" si="0"/>
        <v>——</v>
      </c>
    </row>
    <row r="55" spans="1:35" ht="24" customHeight="1">
      <c r="A55" s="3139" t="s">
        <v>2226</v>
      </c>
      <c r="B55" s="3121"/>
      <c r="C55" s="3121"/>
      <c r="D55" s="185">
        <f ca="1">IF(H55="个人住宅",0,ROUND(D45*I55,0))</f>
        <v>26</v>
      </c>
      <c r="E55" s="11" t="s">
        <v>2227</v>
      </c>
      <c r="F55" s="184">
        <f>IF(H55="正常",I55,"免征")</f>
        <v>5.0000000000000001E-4</v>
      </c>
      <c r="G55" s="2490"/>
      <c r="H55" s="2487" t="s">
        <v>2228</v>
      </c>
      <c r="I55" s="186">
        <f>'数据-取费表'!B49</f>
        <v>5.0000000000000001E-4</v>
      </c>
      <c r="J55" s="1812" t="str">
        <f>IF(H59="非个人房产","",4)</f>
        <v/>
      </c>
      <c r="K55" s="3075" t="str">
        <f>IF(H59="非个人房产","——","个人所得税")</f>
        <v>——</v>
      </c>
      <c r="L55" s="3075"/>
      <c r="M55" s="1757" t="str">
        <f>D59</f>
        <v>——</v>
      </c>
      <c r="N55" s="1810" t="str">
        <f>E59</f>
        <v>——</v>
      </c>
      <c r="O55" s="1758" t="str">
        <f>F59</f>
        <v>——</v>
      </c>
    </row>
    <row r="56" spans="1:35" ht="24.75">
      <c r="A56" s="3139" t="s">
        <v>2229</v>
      </c>
      <c r="B56" s="3121"/>
      <c r="C56" s="3121"/>
      <c r="D56" s="185">
        <f ca="1">IF(H56="个人住宅",D57,D58)</f>
        <v>28912</v>
      </c>
      <c r="E56" s="11" t="s">
        <v>2230</v>
      </c>
      <c r="F56" s="184" t="str">
        <f>IF(H56="正常",F58,"免征")</f>
        <v>——</v>
      </c>
      <c r="G56" s="2492" t="s">
        <v>2231</v>
      </c>
      <c r="H56" s="2493" t="s">
        <v>2228</v>
      </c>
      <c r="I56" s="2494"/>
      <c r="J56" s="1812" t="str">
        <f>IF(项目基本情况!K6="上海银行",IF(J55="",4,J55+1),"")</f>
        <v/>
      </c>
      <c r="K56" s="3058" t="str">
        <f>IF(项目基本情况!K6="上海银行","其他处置费用","")</f>
        <v/>
      </c>
      <c r="L56" s="3059"/>
      <c r="M56" s="1754" t="str">
        <f>IF(项目基本情况!K6="上海银行",M69,"")</f>
        <v/>
      </c>
      <c r="N56" s="3061" t="str">
        <f>IF(项目基本情况!K6="上海银行","包含处置中涉及的律师、诉讼、拍卖、评估等费用","")</f>
        <v/>
      </c>
      <c r="O56" s="3062"/>
    </row>
    <row r="57" spans="1:35" ht="12.75">
      <c r="A57" s="183" t="s">
        <v>2204</v>
      </c>
      <c r="B57" s="3106" t="s">
        <v>2232</v>
      </c>
      <c r="C57" s="3107"/>
      <c r="D57" s="187">
        <v>0</v>
      </c>
      <c r="E57" s="23" t="s">
        <v>2206</v>
      </c>
      <c r="F57" s="155"/>
      <c r="G57" s="2490"/>
      <c r="H57" s="2494"/>
      <c r="I57" s="2494"/>
      <c r="J57" s="3075">
        <f>IF(AND(J55="",J56=""),4,IF(项目基本情况!K6="上海银行",结果表!J56+1,结果表!J55+1))</f>
        <v>4</v>
      </c>
      <c r="K57" s="3075" t="s">
        <v>2233</v>
      </c>
      <c r="L57" s="2495" t="s">
        <v>2234</v>
      </c>
      <c r="M57" s="1759"/>
      <c r="N57" s="1760">
        <f ca="1">SUMIF(M52:M56,"&lt;9e307")</f>
        <v>28938</v>
      </c>
      <c r="O57" s="2496"/>
      <c r="P57" s="1753" t="e">
        <f ca="1">N57/M49</f>
        <v>#VALUE!</v>
      </c>
    </row>
    <row r="58" spans="1:35" ht="24.75">
      <c r="A58" s="183" t="s">
        <v>2215</v>
      </c>
      <c r="B58" s="3106" t="s">
        <v>2235</v>
      </c>
      <c r="C58" s="3119"/>
      <c r="D58" s="185">
        <f ca="1">IF(H58="转让取得",C81,C97)</f>
        <v>28912</v>
      </c>
      <c r="E58" s="11" t="s">
        <v>2230</v>
      </c>
      <c r="F58" s="24" t="s">
        <v>34</v>
      </c>
      <c r="G58" s="2490"/>
      <c r="H58" s="2493" t="s">
        <v>2236</v>
      </c>
      <c r="I58" s="2494"/>
      <c r="J58" s="3075"/>
      <c r="K58" s="3075"/>
      <c r="L58" s="2495" t="s">
        <v>2237</v>
      </c>
      <c r="M58" s="1761"/>
      <c r="N58" s="2497" t="str">
        <f ca="1">NUMBERSTRING(INT(N57*10000),2)&amp;"元整"</f>
        <v>贰亿捌仟玖佰叁拾捌万元整</v>
      </c>
      <c r="O58" s="2498"/>
    </row>
    <row r="59" spans="1:35" ht="24.75" thickBot="1">
      <c r="A59" s="3079" t="s">
        <v>2238</v>
      </c>
      <c r="B59" s="3080"/>
      <c r="C59" s="3080"/>
      <c r="D59" s="188" t="str">
        <f>IF(H59="非个人房产","——",IF(H59="个人住宅",0,ROUND(D45*I59,0)))</f>
        <v>——</v>
      </c>
      <c r="E59" s="189" t="str">
        <f>IF(H59="非个人房产","——","销售额×税（费）率")</f>
        <v>——</v>
      </c>
      <c r="F59" s="190" t="str">
        <f>IF(H59="非个人房产","——",IF(H59="个人住宅","免征",I59))</f>
        <v>——</v>
      </c>
      <c r="G59" s="2499" t="s">
        <v>2231</v>
      </c>
      <c r="H59" s="2493" t="s">
        <v>2239</v>
      </c>
      <c r="I59" s="191">
        <v>0.01</v>
      </c>
      <c r="J59" s="3077">
        <f>J57+1</f>
        <v>5</v>
      </c>
      <c r="K59" s="3075" t="s">
        <v>2240</v>
      </c>
      <c r="L59" s="1812" t="s">
        <v>2234</v>
      </c>
      <c r="M59" s="1762"/>
      <c r="N59" s="1763" t="e">
        <f ca="1">M49-N57</f>
        <v>#VALUE!</v>
      </c>
      <c r="O59" s="2500"/>
    </row>
    <row r="60" spans="1:35" ht="12" customHeight="1">
      <c r="A60" s="2501"/>
      <c r="B60" s="2423"/>
      <c r="C60" s="2423"/>
      <c r="D60" s="2423"/>
      <c r="E60" s="2170"/>
      <c r="F60" s="2494"/>
      <c r="G60" s="2494"/>
      <c r="H60" s="2502"/>
      <c r="I60" s="138"/>
      <c r="J60" s="3078"/>
      <c r="K60" s="3075"/>
      <c r="L60" s="2495" t="s">
        <v>2237</v>
      </c>
      <c r="M60" s="1761"/>
      <c r="N60" s="2497" t="e">
        <f ca="1">NUMBERSTRING(INT(N59*10000),2)&amp;"元整"</f>
        <v>#VALUE!</v>
      </c>
      <c r="O60" s="2498"/>
    </row>
    <row r="61" spans="1:35" ht="13.5" thickBot="1">
      <c r="A61" s="3138" t="s">
        <v>2241</v>
      </c>
      <c r="B61" s="3138"/>
      <c r="C61" s="3138"/>
      <c r="D61" s="3138"/>
      <c r="E61" s="3138"/>
      <c r="F61" s="2494"/>
      <c r="G61" s="2494"/>
      <c r="H61" s="2502"/>
      <c r="I61" s="138"/>
      <c r="J61" s="1812">
        <f>J59+1</f>
        <v>6</v>
      </c>
      <c r="K61" s="3075" t="s">
        <v>2242</v>
      </c>
      <c r="L61" s="3075"/>
      <c r="M61" s="1764"/>
      <c r="N61" s="1765" t="e">
        <f ca="1">ROUND(N59*10000/'数据-汇总表'!E3,0)</f>
        <v>#VALUE!</v>
      </c>
      <c r="O61" s="2503"/>
    </row>
    <row r="62" spans="1:35" ht="12.75">
      <c r="A62" s="3095" t="s">
        <v>2243</v>
      </c>
      <c r="B62" s="3096"/>
      <c r="C62" s="1804"/>
      <c r="D62" s="1804" t="s">
        <v>2244</v>
      </c>
      <c r="E62" s="192" t="s">
        <v>2245</v>
      </c>
      <c r="F62" s="2494"/>
      <c r="G62" s="2494"/>
      <c r="H62" s="2502"/>
      <c r="I62" s="138"/>
    </row>
    <row r="63" spans="1:35" ht="12.75">
      <c r="A63" s="203" t="s">
        <v>775</v>
      </c>
      <c r="B63" s="193" t="s">
        <v>2246</v>
      </c>
      <c r="C63" s="194">
        <f ca="1">ROUND((C64+C65)/(1+'数据-取费表'!C42),0)</f>
        <v>48649</v>
      </c>
      <c r="D63" s="195"/>
      <c r="E63" s="196"/>
      <c r="F63" s="2494"/>
      <c r="G63" s="2494"/>
      <c r="H63" s="2502"/>
      <c r="I63" s="138"/>
      <c r="J63" s="3060" t="s">
        <v>2247</v>
      </c>
      <c r="K63" s="2504" t="s">
        <v>2248</v>
      </c>
      <c r="L63" s="1752" t="e">
        <f>IF(M49&gt;10000,M49*0.5%,IF(AND(M49&gt;1000,M49&lt;=10000),M49*1%,IF(AND(M49&gt;100,M49&lt;=1000),M49*3%,IF(AND(M49&gt;10,M49&lt;=100),M49*5%,M49*8%))))</f>
        <v>#VALUE!</v>
      </c>
      <c r="M63" s="24" t="e">
        <f>ROUND(L63,1)</f>
        <v>#VALUE!</v>
      </c>
      <c r="Z63" s="2428"/>
      <c r="AI63" s="2429"/>
    </row>
    <row r="64" spans="1:35" ht="14.25" customHeight="1">
      <c r="A64" s="197" t="s">
        <v>770</v>
      </c>
      <c r="B64" s="198" t="s">
        <v>2249</v>
      </c>
      <c r="C64" s="199">
        <f ca="1">D45</f>
        <v>51081</v>
      </c>
      <c r="D64" s="200" t="s">
        <v>32</v>
      </c>
      <c r="E64" s="201"/>
      <c r="F64" s="2494"/>
      <c r="G64" s="2494"/>
      <c r="H64" s="2502"/>
      <c r="I64" s="138"/>
      <c r="J64" s="3060"/>
      <c r="K64" s="2504" t="s">
        <v>2250</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8"/>
      <c r="AI64" s="2429"/>
    </row>
    <row r="65" spans="1:35" ht="14.25" customHeight="1">
      <c r="A65" s="197" t="s">
        <v>771</v>
      </c>
      <c r="B65" s="198" t="s">
        <v>2252</v>
      </c>
      <c r="C65" s="202"/>
      <c r="D65" s="200"/>
      <c r="E65" s="201"/>
      <c r="F65" s="2494"/>
      <c r="G65" s="2494"/>
      <c r="H65" s="2502"/>
      <c r="I65" s="138"/>
      <c r="J65" s="3060"/>
      <c r="K65" s="2504" t="s">
        <v>2253</v>
      </c>
      <c r="L65" s="1752" t="e">
        <f>IF(M49&gt;1000,M49*0.1%,IF(AND(M49&gt;500,M49&lt;=1000),M49*0.5%,IF(AND(M49&gt;50,M49&lt;=500),M49*1%,IF(AND(M49&gt;1,M49&lt;=50),M49*1.5%))))</f>
        <v>#VALUE!</v>
      </c>
      <c r="M65" s="24" t="e">
        <f t="shared" si="1"/>
        <v>#VALUE!</v>
      </c>
      <c r="N65" s="138" t="s">
        <v>2251</v>
      </c>
      <c r="Z65" s="2428"/>
      <c r="AI65" s="2429"/>
    </row>
    <row r="66" spans="1:35" ht="14.25" customHeight="1">
      <c r="A66" s="203" t="s">
        <v>772</v>
      </c>
      <c r="B66" s="204" t="s">
        <v>2254</v>
      </c>
      <c r="C66" s="205"/>
      <c r="D66" s="206" t="s">
        <v>32</v>
      </c>
      <c r="E66" s="1776" t="s">
        <v>1371</v>
      </c>
      <c r="F66" s="2494"/>
      <c r="G66" s="2494"/>
      <c r="H66" s="2502"/>
      <c r="I66" s="138"/>
      <c r="J66" s="3060"/>
      <c r="K66" s="2504" t="s">
        <v>2255</v>
      </c>
      <c r="L66" s="1752" t="e">
        <f>M49*0.5%</f>
        <v>#VALUE!</v>
      </c>
      <c r="M66" s="24" t="e">
        <f>IF(L66&gt;0.5,0.5,ROUND(L66,0))</f>
        <v>#VALUE!</v>
      </c>
      <c r="N66" s="138" t="s">
        <v>2256</v>
      </c>
      <c r="Z66" s="2428"/>
      <c r="AI66" s="2429"/>
    </row>
    <row r="67" spans="1:35" ht="14.25" customHeight="1">
      <c r="A67" s="203" t="s">
        <v>773</v>
      </c>
      <c r="B67" s="204" t="s">
        <v>2257</v>
      </c>
      <c r="C67" s="207">
        <f ca="1">C63-C66</f>
        <v>48649</v>
      </c>
      <c r="D67" s="200" t="s">
        <v>32</v>
      </c>
      <c r="E67" s="201"/>
      <c r="F67" s="2494"/>
      <c r="G67" s="2494"/>
      <c r="H67" s="2502"/>
      <c r="I67" s="138"/>
      <c r="J67" s="3060"/>
      <c r="K67" s="2504" t="s">
        <v>2258</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2259</v>
      </c>
      <c r="C68" s="210">
        <f ca="1">IF(C67&lt;=0,0,ROUND(C67*D68,0))</f>
        <v>2724</v>
      </c>
      <c r="D68" s="211">
        <f>'数据-取费表'!B41</f>
        <v>5.6000000000000001E-2</v>
      </c>
      <c r="E68" s="212"/>
      <c r="F68" s="2494"/>
      <c r="G68" s="2494"/>
      <c r="H68" s="2502"/>
      <c r="I68" s="138"/>
      <c r="J68" s="3060"/>
      <c r="K68" s="2504" t="s">
        <v>2260</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60"/>
      <c r="K69" s="2504" t="s">
        <v>2261</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4" t="s">
        <v>2262</v>
      </c>
      <c r="B70" s="3105"/>
      <c r="C70" s="3105"/>
      <c r="D70" s="3105"/>
      <c r="E70" s="3105"/>
      <c r="F70" s="3105"/>
      <c r="G70" s="3105"/>
      <c r="H70" s="3105"/>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5" t="s">
        <v>2243</v>
      </c>
      <c r="B71" s="3096"/>
      <c r="C71" s="1804"/>
      <c r="D71" s="1804" t="s">
        <v>2244</v>
      </c>
      <c r="E71" s="213" t="s">
        <v>2245</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2263</v>
      </c>
      <c r="C72" s="207">
        <f ca="1">ROUND(D45/(1+'数据-取费表'!C42),0)</f>
        <v>48649</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2264</v>
      </c>
      <c r="C73" s="207">
        <f ca="1">C74+C78</f>
        <v>292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2265</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2266</v>
      </c>
      <c r="C75" s="218"/>
      <c r="D75" s="200" t="s">
        <v>32</v>
      </c>
      <c r="E75" s="219" t="s">
        <v>2267</v>
      </c>
      <c r="F75" s="2516" t="s">
        <v>2268</v>
      </c>
      <c r="G75" s="219" t="s">
        <v>2269</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2270</v>
      </c>
      <c r="C76" s="200">
        <f>IF(F75="购房发票",ROUND(C75*H75*D76,0),0)</f>
        <v>0</v>
      </c>
      <c r="D76" s="222">
        <v>0.05</v>
      </c>
      <c r="E76" s="3101" t="s">
        <v>2271</v>
      </c>
      <c r="F76" s="3100"/>
      <c r="G76" s="3100"/>
      <c r="H76" s="3103"/>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8" t="s">
        <v>2274</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2275</v>
      </c>
      <c r="C78" s="225">
        <f ca="1">ROUND(D45*D78/(1+'数据-取费表'!C42),0)</f>
        <v>292</v>
      </c>
      <c r="D78" s="226">
        <f>'数据-取费表'!B43</f>
        <v>6.000000000000001E-3</v>
      </c>
      <c r="E78" s="3092" t="s">
        <v>2276</v>
      </c>
      <c r="F78" s="3093"/>
      <c r="G78" s="3093"/>
      <c r="H78" s="3094"/>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2277</v>
      </c>
      <c r="C79" s="207">
        <f ca="1">C72-C73</f>
        <v>48357</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2278</v>
      </c>
      <c r="C80" s="227">
        <f ca="1">IF(C79&lt;=0,0,C79/C73)</f>
        <v>165.60616438356163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2279</v>
      </c>
      <c r="C81" s="228">
        <f ca="1">ROUND(IF(C79&lt;=0,0,IF(C80&gt;=200%,C79*60%-C73*35%,IF(C80&gt;=100%,C79*50%-C73*15%,IF(C80&gt;=50%,C79*40%-C73*5%,IF(C80&lt;50%,C79*30%,0))))),0)</f>
        <v>28912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4" t="s">
        <v>2280</v>
      </c>
      <c r="B83" s="3105"/>
      <c r="C83" s="3105"/>
      <c r="D83" s="3105"/>
      <c r="E83" s="3105"/>
      <c r="F83" s="3105"/>
      <c r="G83" s="3105"/>
      <c r="H83" s="3105"/>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5" t="s">
        <v>2243</v>
      </c>
      <c r="B84" s="3096"/>
      <c r="C84" s="1804"/>
      <c r="D84" s="1804" t="s">
        <v>2244</v>
      </c>
      <c r="E84" s="213" t="s">
        <v>2245</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2263</v>
      </c>
      <c r="C85" s="207">
        <f ca="1">ROUND(D45/(1+'数据-取费表'!C42),0)</f>
        <v>48649</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2264</v>
      </c>
      <c r="C86" s="207">
        <f ca="1">IF(H88="仅含出让金",C87+C90+C91+C92+C93+C94,C87+C91+C92+C93+C94)</f>
        <v>292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2281</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2282</v>
      </c>
      <c r="C88" s="236"/>
      <c r="D88" s="226"/>
      <c r="E88" s="237" t="s">
        <v>2283</v>
      </c>
      <c r="F88" s="1800"/>
      <c r="G88" s="238" t="s">
        <v>2284</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2272</v>
      </c>
      <c r="C89" s="225">
        <f>ROUND(C88*D89,0)</f>
        <v>0</v>
      </c>
      <c r="D89" s="226">
        <f>'数据-取费表'!B48+'数据-取费表'!B49</f>
        <v>3.0499999999999999E-2</v>
      </c>
      <c r="E89" s="237" t="s">
        <v>2285</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2286</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2287</v>
      </c>
      <c r="B91" s="198" t="s">
        <v>2288</v>
      </c>
      <c r="C91" s="225">
        <f>IF(H91="——",成本法!C33,I91)</f>
        <v>0</v>
      </c>
      <c r="D91" s="226"/>
      <c r="E91" s="3092" t="s">
        <v>2289</v>
      </c>
      <c r="F91" s="3093"/>
      <c r="G91" s="3093"/>
      <c r="H91" s="2523" t="s">
        <v>2290</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2291</v>
      </c>
      <c r="B92" s="198" t="s">
        <v>2292</v>
      </c>
      <c r="C92" s="225">
        <f>ROUND((C87+C90+C91)*D92,0)</f>
        <v>0</v>
      </c>
      <c r="D92" s="226">
        <v>0.1</v>
      </c>
      <c r="E92" s="3092" t="s">
        <v>2293</v>
      </c>
      <c r="F92" s="3093"/>
      <c r="G92" s="3093"/>
      <c r="H92" s="3094"/>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2294</v>
      </c>
      <c r="B93" s="198" t="s">
        <v>2275</v>
      </c>
      <c r="C93" s="225">
        <f ca="1">ROUND(D45*D93/(1+'数据-取费表'!C42),0)</f>
        <v>292</v>
      </c>
      <c r="D93" s="226">
        <f>'数据-取费表'!B43</f>
        <v>6.000000000000001E-3</v>
      </c>
      <c r="E93" s="3092" t="s">
        <v>2276</v>
      </c>
      <c r="F93" s="3093"/>
      <c r="G93" s="3093"/>
      <c r="H93" s="3094"/>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2295</v>
      </c>
      <c r="B94" s="198" t="s">
        <v>2296</v>
      </c>
      <c r="C94" s="236">
        <f>ROUND((C87+C90+C91)*D94,0)</f>
        <v>0</v>
      </c>
      <c r="D94" s="226">
        <v>0.2</v>
      </c>
      <c r="E94" s="3140" t="s">
        <v>2297</v>
      </c>
      <c r="F94" s="3141"/>
      <c r="G94" s="3141"/>
      <c r="H94" s="3142"/>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2277</v>
      </c>
      <c r="C95" s="207">
        <f ca="1">ROUND(C85-C86,0)</f>
        <v>48357</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2278</v>
      </c>
      <c r="C96" s="227">
        <f ca="1">IF(C95&lt;=0,0,C95/C86)</f>
        <v>165.60616438356163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2279</v>
      </c>
      <c r="C97" s="228">
        <f ca="1">ROUND(IF(C95&lt;=0,0,IF(C96&gt;=200%,C95*60%-C86*35%,IF(C96&gt;=100%,C95*50%-C86*15%,IF(C96&gt;=50%,C95*40%-C86*5%,IF(C96&lt;50%,C95*30%,0))))),0)</f>
        <v>28912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2298</v>
      </c>
      <c r="B99" s="2423"/>
      <c r="C99" s="2423"/>
      <c r="D99" s="2423"/>
      <c r="E99" s="2170"/>
      <c r="F99" s="2170"/>
      <c r="G99" s="2170"/>
      <c r="H99" s="2169"/>
      <c r="I99" s="138"/>
    </row>
    <row r="100" spans="1:35" ht="18.75" customHeight="1">
      <c r="A100" s="3044" t="s">
        <v>2299</v>
      </c>
      <c r="B100" s="3045"/>
      <c r="C100" s="3045"/>
      <c r="D100" s="3076"/>
      <c r="E100" s="3045" t="s">
        <v>2300</v>
      </c>
      <c r="F100" s="3045"/>
      <c r="G100" s="3045"/>
      <c r="H100" s="3076"/>
      <c r="I100" s="138"/>
    </row>
    <row r="101" spans="1:35" ht="18.75" customHeight="1">
      <c r="A101" s="3084" t="s">
        <v>2301</v>
      </c>
      <c r="B101" s="3085"/>
      <c r="C101" s="736" t="str">
        <f>C4</f>
        <v>收益法</v>
      </c>
      <c r="D101" s="737" t="str">
        <f>D4</f>
        <v>比较法-商业</v>
      </c>
      <c r="E101" s="3056" t="s">
        <v>2302</v>
      </c>
      <c r="F101" s="3057"/>
      <c r="G101" s="2525" t="s">
        <v>2303</v>
      </c>
      <c r="H101" s="1048">
        <f ca="1">H118</f>
        <v>51081</v>
      </c>
      <c r="I101" s="138"/>
    </row>
    <row r="102" spans="1:35" ht="18.75" customHeight="1">
      <c r="A102" s="3086" t="s">
        <v>2304</v>
      </c>
      <c r="B102" s="2525" t="s">
        <v>2303</v>
      </c>
      <c r="C102" s="736">
        <f ca="1">C19</f>
        <v>36343</v>
      </c>
      <c r="D102" s="737">
        <f ca="1">D19</f>
        <v>60906</v>
      </c>
      <c r="E102" s="3056"/>
      <c r="F102" s="3057"/>
      <c r="G102" s="2525" t="s">
        <v>2305</v>
      </c>
      <c r="H102" s="371">
        <f ca="1">I118</f>
        <v>16774</v>
      </c>
      <c r="I102" s="138"/>
    </row>
    <row r="103" spans="1:35" ht="42.75" customHeight="1">
      <c r="A103" s="3086"/>
      <c r="B103" s="2525" t="s">
        <v>2305</v>
      </c>
      <c r="C103" s="738">
        <f ca="1">C20</f>
        <v>16687</v>
      </c>
      <c r="D103" s="739">
        <f ca="1">D20</f>
        <v>20000</v>
      </c>
      <c r="E103" s="3050" t="s">
        <v>2306</v>
      </c>
      <c r="F103" s="3051"/>
      <c r="G103" s="2526" t="s">
        <v>2307</v>
      </c>
      <c r="H103" s="1048">
        <f>IF(D36="正常操作",H104+H105+H106,H105+H106)</f>
        <v>0</v>
      </c>
      <c r="I103" s="138"/>
    </row>
    <row r="104" spans="1:35" ht="18.75" customHeight="1">
      <c r="A104" s="3086" t="s">
        <v>2308</v>
      </c>
      <c r="B104" s="2527" t="s">
        <v>2303</v>
      </c>
      <c r="C104" s="740">
        <f ca="1">H118</f>
        <v>51081</v>
      </c>
      <c r="D104" s="741"/>
      <c r="E104" s="2271" t="s">
        <v>2309</v>
      </c>
      <c r="F104" s="2262"/>
      <c r="G104" s="2526" t="s">
        <v>2307</v>
      </c>
      <c r="H104" s="1049">
        <f>IF(D36="同一抵押权人同一抵押物续贷",C36&amp;"（未扣减，详见特别提示）",C36)</f>
        <v>0</v>
      </c>
      <c r="I104" s="138"/>
    </row>
    <row r="105" spans="1:35" ht="18.75" customHeight="1" thickBot="1">
      <c r="A105" s="3098"/>
      <c r="B105" s="2528" t="s">
        <v>2305</v>
      </c>
      <c r="C105" s="742">
        <f ca="1">I118</f>
        <v>16774</v>
      </c>
      <c r="D105" s="743"/>
      <c r="E105" s="2271" t="s">
        <v>2310</v>
      </c>
      <c r="F105" s="2262"/>
      <c r="G105" s="2526" t="s">
        <v>2307</v>
      </c>
      <c r="H105" s="1049">
        <f>C37</f>
        <v>0</v>
      </c>
      <c r="I105" s="138"/>
    </row>
    <row r="106" spans="1:35" ht="18.75" customHeight="1">
      <c r="A106" s="2423" t="s">
        <v>2311</v>
      </c>
      <c r="B106" s="2423"/>
      <c r="C106" s="2423"/>
      <c r="D106" s="2423"/>
      <c r="E106" s="2529" t="s">
        <v>2312</v>
      </c>
      <c r="F106" s="2262"/>
      <c r="G106" s="2526" t="s">
        <v>2307</v>
      </c>
      <c r="H106" s="1049">
        <f>C38</f>
        <v>0</v>
      </c>
      <c r="I106" s="138"/>
    </row>
    <row r="107" spans="1:35" ht="18.75" customHeight="1">
      <c r="A107" s="138"/>
      <c r="B107" s="138"/>
      <c r="C107" s="138"/>
      <c r="D107" s="138"/>
      <c r="E107" s="3087" t="str">
        <f>IF(项目基本情况!E8="已注销","——","3.房地产抵押价值")</f>
        <v>3.房地产抵押价值</v>
      </c>
      <c r="F107" s="3057"/>
      <c r="G107" s="2525" t="s">
        <v>2303</v>
      </c>
      <c r="H107" s="1048">
        <f ca="1">IF(E107="——","——",H101-H103)</f>
        <v>51081</v>
      </c>
      <c r="I107" s="138"/>
    </row>
    <row r="108" spans="1:35" ht="18.75" customHeight="1">
      <c r="A108" s="138"/>
      <c r="B108" s="138"/>
      <c r="C108" s="138"/>
      <c r="D108" s="138"/>
      <c r="E108" s="3087"/>
      <c r="F108" s="3057"/>
      <c r="G108" s="2525" t="s">
        <v>2305</v>
      </c>
      <c r="H108" s="371">
        <f ca="1">ROUND(H107*10000/'数据-汇总表'!E3,0)</f>
        <v>16774</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25" t="s">
        <v>2303</v>
      </c>
      <c r="H109" s="348" t="str">
        <f>IF(E109="——","——",H101-H105-H106)</f>
        <v>——</v>
      </c>
      <c r="I109" s="138"/>
    </row>
    <row r="110" spans="1:35" ht="18.75" customHeight="1">
      <c r="A110" s="138"/>
      <c r="B110" s="138"/>
      <c r="C110" s="138"/>
      <c r="D110" s="138"/>
      <c r="E110" s="3087"/>
      <c r="F110" s="3057"/>
      <c r="G110" s="2525" t="s">
        <v>2305</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25" t="s">
        <v>2303</v>
      </c>
      <c r="H111" s="1048" t="str">
        <f>IF(E111="——","——",N59)</f>
        <v>——</v>
      </c>
      <c r="I111" s="138"/>
    </row>
    <row r="112" spans="1:35" ht="18.75" customHeight="1" thickBot="1">
      <c r="A112" s="138"/>
      <c r="B112" s="138"/>
      <c r="C112" s="138"/>
      <c r="D112" s="138"/>
      <c r="E112" s="3090"/>
      <c r="F112" s="3091"/>
      <c r="G112" s="2530" t="s">
        <v>2305</v>
      </c>
      <c r="H112" s="790" t="str">
        <f>IF(E111="——","——",N61)</f>
        <v>——</v>
      </c>
      <c r="I112" s="138"/>
    </row>
    <row r="113" spans="1:11" ht="18.75" customHeight="1">
      <c r="A113" s="138"/>
      <c r="B113" s="138"/>
      <c r="C113" s="138"/>
      <c r="D113" s="138"/>
      <c r="E113" s="3099" t="s">
        <v>2311</v>
      </c>
      <c r="F113" s="3099"/>
      <c r="G113" s="3099"/>
      <c r="H113" s="3099"/>
      <c r="I113" s="138"/>
    </row>
    <row r="114" spans="1:11" ht="3.75" customHeight="1">
      <c r="A114" s="2423"/>
      <c r="B114" s="2423"/>
      <c r="C114" s="2423"/>
      <c r="D114" s="2423"/>
      <c r="E114" s="2501"/>
      <c r="F114" s="2501"/>
      <c r="G114" s="2501"/>
      <c r="H114" s="2501"/>
      <c r="I114" s="2423"/>
    </row>
    <row r="115" spans="1:11" ht="18.75" customHeight="1">
      <c r="A115" s="3112" t="s">
        <v>2313</v>
      </c>
      <c r="B115" s="3113"/>
      <c r="C115" s="3113"/>
      <c r="D115" s="3113"/>
      <c r="E115" s="3113"/>
      <c r="F115" s="3113"/>
      <c r="G115" s="3113"/>
      <c r="H115" s="3113"/>
      <c r="I115" s="3114"/>
    </row>
    <row r="116" spans="1:11" ht="27" customHeight="1">
      <c r="A116" s="3023" t="s">
        <v>2314</v>
      </c>
      <c r="B116" s="3066" t="s">
        <v>2315</v>
      </c>
      <c r="C116" s="3066" t="s">
        <v>2316</v>
      </c>
      <c r="D116" s="3072" t="s">
        <v>2317</v>
      </c>
      <c r="E116" s="3073"/>
      <c r="F116" s="3108" t="s">
        <v>2318</v>
      </c>
      <c r="G116" s="3108"/>
      <c r="H116" s="3023" t="s">
        <v>2319</v>
      </c>
      <c r="I116" s="3023"/>
    </row>
    <row r="117" spans="1:11" ht="18.75" customHeight="1">
      <c r="A117" s="3023"/>
      <c r="B117" s="3067"/>
      <c r="C117" s="3067"/>
      <c r="D117" s="1798" t="s">
        <v>2320</v>
      </c>
      <c r="E117" s="1798" t="s">
        <v>2321</v>
      </c>
      <c r="F117" s="1798" t="s">
        <v>2320</v>
      </c>
      <c r="G117" s="1798" t="s">
        <v>2322</v>
      </c>
      <c r="H117" s="1798" t="s">
        <v>2320</v>
      </c>
      <c r="I117" s="1798" t="s">
        <v>2322</v>
      </c>
    </row>
    <row r="118" spans="1:11" ht="24.75" customHeight="1">
      <c r="A118" s="2531" t="str">
        <f>项目基本情况!S2</f>
        <v>北京市出让国有建设用地使用权及在建建筑物房地产</v>
      </c>
      <c r="B118" s="1798">
        <f>M18</f>
        <v>30453.1</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51081</v>
      </c>
      <c r="I118" s="1798">
        <f ca="1">ROUND(IF(D32="楼面单价",C32,H118*10000/B118),0)</f>
        <v>16774</v>
      </c>
    </row>
    <row r="119" spans="1:11" ht="18.75" customHeight="1">
      <c r="A119" s="3023" t="s">
        <v>2323</v>
      </c>
      <c r="B119" s="3023"/>
      <c r="C119" s="3023"/>
      <c r="D119" s="3068" t="e">
        <f ca="1">NUMBERSTRING(INT(D118*10000),2)&amp;"元整"</f>
        <v>#REF!</v>
      </c>
      <c r="E119" s="3069"/>
      <c r="F119" s="3068" t="e">
        <f ca="1">NUMBERSTRING(INT(F118*10000),2)&amp;"元整"</f>
        <v>#REF!</v>
      </c>
      <c r="G119" s="3069"/>
      <c r="H119" s="3068" t="str">
        <f ca="1">NUMBERSTRING(INT(H118*10000),2)&amp;"元整"</f>
        <v>伍亿壹仟零捌拾壹万元整</v>
      </c>
      <c r="I119" s="3069"/>
    </row>
    <row r="120" spans="1:11" ht="18.75" customHeight="1">
      <c r="A120" s="3063" t="str">
        <f>IF(项目基本情况!B9="房地产市场价值","",MID(E103,3,LEN(E103)-2))</f>
        <v>估价师知悉的法定优先受偿款</v>
      </c>
      <c r="B120" s="3064"/>
      <c r="C120" s="3065"/>
      <c r="D120" s="3063">
        <f>H103</f>
        <v>0</v>
      </c>
      <c r="E120" s="3064"/>
      <c r="F120" s="3064"/>
      <c r="G120" s="3064"/>
      <c r="H120" s="3064"/>
      <c r="I120" s="3065"/>
      <c r="K120" s="2428" t="str">
        <f>IF(D120=0,"故，本次评估不存在"&amp;A120,"故，本次评估"&amp;A120&amp;"为人民币"&amp;D120&amp;"万元整。")</f>
        <v>故，本次评估不存在估价师知悉的法定优先受偿款</v>
      </c>
    </row>
    <row r="121" spans="1:11" ht="18.75" customHeight="1">
      <c r="A121" s="3109" t="s">
        <v>2323</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房地产抵押价值</v>
      </c>
      <c r="B122" s="3074"/>
      <c r="C122" s="3074"/>
      <c r="D122" s="3063">
        <f ca="1">H107</f>
        <v>51081</v>
      </c>
      <c r="E122" s="3064"/>
      <c r="F122" s="3064"/>
      <c r="G122" s="3064"/>
      <c r="H122" s="3064"/>
      <c r="I122" s="3065"/>
    </row>
    <row r="123" spans="1:11" ht="18.75" customHeight="1">
      <c r="A123" s="3023" t="s">
        <v>2323</v>
      </c>
      <c r="B123" s="3023"/>
      <c r="C123" s="3023"/>
      <c r="D123" s="3068" t="str">
        <f ca="1">NUMBERSTRING(INT(D122*10000),2)&amp;"元整"</f>
        <v>伍亿壹仟零捌拾壹万元整</v>
      </c>
      <c r="E123" s="3070"/>
      <c r="F123" s="3070"/>
      <c r="G123" s="3070"/>
      <c r="H123" s="3070"/>
      <c r="I123" s="3069"/>
    </row>
    <row r="124" spans="1:11" ht="18.75" customHeight="1">
      <c r="A124" s="3074" t="str">
        <f>IF(项目基本情况!B9="房地产市场价值","",MID(E109,3,LEN(E109)-2))</f>
        <v/>
      </c>
      <c r="B124" s="3074"/>
      <c r="C124" s="3074"/>
      <c r="D124" s="3063" t="str">
        <f>H109</f>
        <v>——</v>
      </c>
      <c r="E124" s="3064"/>
      <c r="F124" s="3064"/>
      <c r="G124" s="3064"/>
      <c r="H124" s="3064"/>
      <c r="I124" s="3065"/>
    </row>
    <row r="125" spans="1:11" ht="18.75" customHeight="1">
      <c r="A125" s="3023" t="s">
        <v>2323</v>
      </c>
      <c r="B125" s="3023"/>
      <c r="C125" s="3023"/>
      <c r="D125" s="3068" t="e">
        <f>NUMBERSTRING(INT(D124*10000),2)&amp;"元整"</f>
        <v>#VALUE!</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2323</v>
      </c>
      <c r="B127" s="3023"/>
      <c r="C127" s="3023"/>
      <c r="D127" s="3068" t="e">
        <f>NUMBERSTRING(INT(D126*10000),2)&amp;"元整"</f>
        <v>#VALUE!</v>
      </c>
      <c r="E127" s="3070"/>
      <c r="F127" s="3070"/>
      <c r="G127" s="3070"/>
      <c r="H127" s="3070"/>
      <c r="I127" s="3069"/>
    </row>
    <row r="128" spans="1:11" ht="21.75" customHeight="1">
      <c r="A128" s="3071" t="s">
        <v>2324</v>
      </c>
      <c r="B128" s="3071"/>
      <c r="C128" s="3071"/>
      <c r="D128" s="3071"/>
      <c r="E128" s="3071"/>
      <c r="F128" s="3071"/>
      <c r="G128" s="3071"/>
      <c r="H128" s="3071"/>
      <c r="I128" s="3071"/>
    </row>
    <row r="129" spans="1:35" ht="21.75" customHeight="1">
      <c r="A129" s="2532" t="s">
        <v>2325</v>
      </c>
      <c r="B129" s="2533"/>
      <c r="C129" s="2534" t="s">
        <v>2326</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2327</v>
      </c>
      <c r="G135" s="2549"/>
      <c r="H135" s="2549"/>
      <c r="I135" s="2550" t="s">
        <v>2328</v>
      </c>
    </row>
    <row r="136" spans="1:35" ht="21.75" customHeight="1">
      <c r="A136" s="795"/>
      <c r="B136" s="2551"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2330</v>
      </c>
    </row>
    <row r="139" spans="1:35" ht="21.75" customHeight="1">
      <c r="A139" s="795"/>
      <c r="B139" s="2551" t="s">
        <v>2331</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2330</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11</v>
      </c>
    </row>
    <row r="2" spans="1:9" s="244" customFormat="1" ht="18" customHeight="1">
      <c r="A2" s="245" t="s">
        <v>2333</v>
      </c>
      <c r="B2" s="246">
        <f ca="1">IF(D2="——",C52,C52-E2)</f>
        <v>14852</v>
      </c>
      <c r="C2" s="243" t="s">
        <v>2334</v>
      </c>
      <c r="D2" s="2554" t="s">
        <v>70</v>
      </c>
      <c r="E2" s="1443" t="e">
        <f ca="1">SUMIF(INDIRECT("'"&amp;G2&amp;"'"&amp;"!A:A"),"承租人权益价值",INDIRECT("'"&amp;G2&amp;"'"&amp;"!c:c"))</f>
        <v>#REF!</v>
      </c>
      <c r="F2" s="2555" t="s">
        <v>2334</v>
      </c>
      <c r="G2" s="2556"/>
    </row>
    <row r="3" spans="1:9" s="244" customFormat="1" ht="18" customHeight="1" thickBot="1">
      <c r="A3" s="247" t="s">
        <v>2335</v>
      </c>
      <c r="B3" s="248">
        <f ca="1">ROUND(B2*10000/(IF(B1="",'数据-汇总表'!E3,INDIRECT("'数据-取费表'!k"&amp;$G$1))),0)</f>
        <v>4877</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0</v>
      </c>
      <c r="D5" s="255" t="s">
        <v>2340</v>
      </c>
      <c r="E5" s="256" t="s">
        <v>2341</v>
      </c>
      <c r="F5" s="256" t="s">
        <v>2342</v>
      </c>
      <c r="G5" s="257"/>
    </row>
    <row r="6" spans="1:9" s="258" customFormat="1" ht="13.5" customHeight="1">
      <c r="A6" s="952" t="s">
        <v>2343</v>
      </c>
      <c r="B6" s="259" t="s">
        <v>2344</v>
      </c>
      <c r="C6" s="260"/>
      <c r="D6" s="261"/>
      <c r="E6" s="262"/>
      <c r="F6" s="262"/>
      <c r="G6" s="263"/>
    </row>
    <row r="7" spans="1:9" s="258" customFormat="1" ht="13.5" customHeight="1">
      <c r="A7" s="952" t="s">
        <v>2345</v>
      </c>
      <c r="B7" s="259" t="s">
        <v>2346</v>
      </c>
      <c r="C7" s="264">
        <f>ROUND(C6*F7,0)</f>
        <v>0</v>
      </c>
      <c r="D7" s="264"/>
      <c r="E7" s="262"/>
      <c r="F7" s="265">
        <f>'数据-取费表'!B48+'数据-取费表'!B49</f>
        <v>3.0499999999999999E-2</v>
      </c>
      <c r="G7" s="263"/>
    </row>
    <row r="8" spans="1:9" s="267" customFormat="1">
      <c r="A8" s="952" t="s">
        <v>2347</v>
      </c>
      <c r="B8" s="259" t="s">
        <v>2348</v>
      </c>
      <c r="C8" s="264">
        <f>IF(G8="已包含在土地购买价格中","0",IF(B1="",'数据-取费表'!B29,IF(G9="全部缴纳",C9+C10,H9)))</f>
        <v>0</v>
      </c>
      <c r="D8" s="266"/>
      <c r="E8" s="264"/>
      <c r="F8" s="265"/>
      <c r="G8" s="2557"/>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8"/>
      <c r="H9" s="1393"/>
      <c r="I9" s="2559" t="s">
        <v>2350</v>
      </c>
    </row>
    <row r="10" spans="1:9" s="258" customFormat="1" ht="13.5" customHeight="1">
      <c r="A10" s="953" t="s">
        <v>801</v>
      </c>
      <c r="B10" s="268" t="s">
        <v>2351</v>
      </c>
      <c r="C10" s="269">
        <f ca="1">ROUND(D10*E10/10000,0)</f>
        <v>0</v>
      </c>
      <c r="D10" s="1035">
        <f ca="1">IF(B1="",'数据-汇总表'!E6,IF(INDIRECT("'数据-取费表'!c"&amp;$G$1)="住宅",INDIRECT("'数据-取费表'!s"&amp;$G$1),INDIRECT("'数据-取费表'!k"&amp;$G$1)+INDIRECT("'数据-取费表'!s"&amp;$G$1)))</f>
        <v>30453.1</v>
      </c>
      <c r="E10" s="269">
        <f>'数据-取费表'!B28</f>
        <v>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f ca="1">IF(G19="已包含在土地取得成本中","0",ROUND(D19*E19/10000,0))</f>
        <v>609</v>
      </c>
      <c r="D19" s="1039">
        <f ca="1">D9+D10</f>
        <v>30453.1</v>
      </c>
      <c r="E19" s="255">
        <f>'数据-取费表'!B31</f>
        <v>200</v>
      </c>
      <c r="F19" s="275"/>
      <c r="G19" s="2557"/>
    </row>
    <row r="20" spans="1:7" s="258" customFormat="1" ht="13.5" customHeight="1">
      <c r="A20" s="299" t="s">
        <v>2364</v>
      </c>
      <c r="B20" s="254" t="s">
        <v>2365</v>
      </c>
      <c r="C20" s="276">
        <f ca="1">ROUND((C5+C19)*F20,0)</f>
        <v>12</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89</v>
      </c>
      <c r="D22" s="279">
        <f ca="1">C26</f>
        <v>1.4E-3</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0</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88</v>
      </c>
      <c r="D24" s="282"/>
      <c r="E24" s="282"/>
      <c r="F24" s="283"/>
      <c r="G24" s="284" t="s">
        <v>2378</v>
      </c>
    </row>
    <row r="25" spans="1:7" s="258" customFormat="1" ht="24">
      <c r="A25" s="954" t="s">
        <v>2379</v>
      </c>
      <c r="B25" s="259" t="s">
        <v>2380</v>
      </c>
      <c r="C25" s="1358">
        <f ca="1">ROUND(IF('数据-取费表'!B22&lt;=1,C20*F22*'数据-取费表'!B23/2,C20*(POWER((1+F22),'数据-取费表'!B23/2)-1)),0)</f>
        <v>1</v>
      </c>
      <c r="D25" s="282"/>
      <c r="E25" s="285"/>
      <c r="F25" s="283"/>
      <c r="G25" s="286" t="s">
        <v>2381</v>
      </c>
    </row>
    <row r="26" spans="1:7" s="258" customFormat="1">
      <c r="A26" s="954"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114</v>
      </c>
      <c r="D27" s="279">
        <f ca="1">C29</f>
        <v>3.7000000000000002E-3</v>
      </c>
      <c r="E27" s="280" t="s">
        <v>2385</v>
      </c>
      <c r="F27" s="290">
        <f ca="1">IF(B1="",'数据-取费表'!Q16,INDIRECT("'数据-取费表'!q"&amp;$G$1))</f>
        <v>0.19</v>
      </c>
      <c r="G27" s="291" t="s">
        <v>2386</v>
      </c>
    </row>
    <row r="28" spans="1:7" s="258" customFormat="1" ht="13.5" customHeight="1">
      <c r="A28" s="954" t="s">
        <v>791</v>
      </c>
      <c r="B28" s="292" t="s">
        <v>2387</v>
      </c>
      <c r="C28" s="293">
        <f ca="1">ROUND((C5+C19+C20)*F27*'数据-取费表'!B21/'数据-取费表'!B20,0)</f>
        <v>114</v>
      </c>
      <c r="D28" s="279"/>
      <c r="E28" s="280"/>
      <c r="F28" s="290"/>
      <c r="G28" s="291"/>
    </row>
    <row r="29" spans="1:7" s="258" customFormat="1" ht="13.5" customHeight="1">
      <c r="A29" s="954" t="s">
        <v>792</v>
      </c>
      <c r="B29" s="292" t="s">
        <v>2388</v>
      </c>
      <c r="C29" s="282">
        <f ca="1">ROUND(C21*F27*'数据-取费表'!B21/'数据-取费表'!B20,4)</f>
        <v>3.7000000000000002E-3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894</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10011</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8997</v>
      </c>
      <c r="D34" s="261"/>
      <c r="E34" s="264"/>
      <c r="F34" s="301">
        <f ca="1">IF('数据-取费表'!B24=0,1,IF(B1="",'数据-取费表'!N16,INDIRECT("'数据-取费表'!n"&amp;$G$1)))</f>
        <v>1</v>
      </c>
      <c r="G34" s="263" t="s">
        <v>2397</v>
      </c>
    </row>
    <row r="35" spans="1:7" ht="13.5" customHeight="1">
      <c r="A35" s="954" t="s">
        <v>796</v>
      </c>
      <c r="B35" s="259" t="s">
        <v>2398</v>
      </c>
      <c r="C35" s="264">
        <f ca="1">ROUND(C34*F35,0)</f>
        <v>270</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2401</v>
      </c>
    </row>
    <row r="37" spans="1:7" s="302" customFormat="1" ht="13.5" customHeight="1">
      <c r="A37" s="954" t="s">
        <v>798</v>
      </c>
      <c r="B37" s="259" t="s">
        <v>2402</v>
      </c>
      <c r="C37" s="293">
        <f ca="1">ROUND(E37*D37*F34/10000,0)</f>
        <v>609</v>
      </c>
      <c r="D37" s="261">
        <f ca="1">D19</f>
        <v>30453.1</v>
      </c>
      <c r="E37" s="293">
        <f>'数据-取费表'!B35</f>
        <v>200</v>
      </c>
      <c r="F37" s="303"/>
      <c r="G37" s="305" t="s">
        <v>2403</v>
      </c>
    </row>
    <row r="38" spans="1:7" ht="13.5" customHeight="1">
      <c r="A38" s="954" t="s">
        <v>799</v>
      </c>
      <c r="B38" s="259" t="s">
        <v>2404</v>
      </c>
      <c r="C38" s="264">
        <f ca="1">ROUND(C34*F38,0)</f>
        <v>135</v>
      </c>
      <c r="D38" s="264"/>
      <c r="E38" s="264"/>
      <c r="F38" s="303">
        <f>'数据-取费表'!B36</f>
        <v>1.4999999999999999E-2</v>
      </c>
      <c r="G38" s="263" t="s">
        <v>2399</v>
      </c>
    </row>
    <row r="39" spans="1:7" s="258" customFormat="1" ht="13.5" customHeight="1">
      <c r="A39" s="299" t="s">
        <v>2405</v>
      </c>
      <c r="B39" s="254" t="s">
        <v>2406</v>
      </c>
      <c r="C39" s="276">
        <f ca="1">ROUND(C33*F20,0)</f>
        <v>200</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711</v>
      </c>
      <c r="D41" s="279">
        <f ca="1">C44</f>
        <v>1.4E-3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697</v>
      </c>
      <c r="D42" s="282"/>
      <c r="E42" s="282"/>
      <c r="F42" s="283"/>
      <c r="G42" s="3143" t="s">
        <v>2415</v>
      </c>
    </row>
    <row r="43" spans="1:7" ht="13.5" customHeight="1">
      <c r="A43" s="954" t="s">
        <v>792</v>
      </c>
      <c r="B43" s="259" t="s">
        <v>2416</v>
      </c>
      <c r="C43" s="282">
        <f ca="1">ROUND(IF('数据-取费表'!B22&lt;=1,C39*F22*'数据-取费表'!B21/2,C39*(POWER((1+F22),'数据-取费表'!B21/2)-1)),0)</f>
        <v>14</v>
      </c>
      <c r="D43" s="282"/>
      <c r="E43" s="282"/>
      <c r="F43" s="283"/>
      <c r="G43" s="3144"/>
    </row>
    <row r="44" spans="1:7" ht="13.5" customHeight="1">
      <c r="A44" s="954" t="s">
        <v>793</v>
      </c>
      <c r="B44" s="259" t="s">
        <v>2417</v>
      </c>
      <c r="C44" s="282">
        <f ca="1">ROUND(IF('数据-取费表'!B22&lt;=1,C40*F22*'数据-取费表'!B21/2,C40*(POWER((1+F22),'数据-取费表'!B21/2)-1)),4)</f>
        <v>1.4E-3</v>
      </c>
      <c r="D44" s="282"/>
      <c r="E44" s="282"/>
      <c r="F44" s="283"/>
      <c r="G44" s="3145"/>
    </row>
    <row r="45" spans="1:7" s="258" customFormat="1" ht="13.5" customHeight="1">
      <c r="A45" s="299" t="s">
        <v>2418</v>
      </c>
      <c r="B45" s="288" t="s">
        <v>2384</v>
      </c>
      <c r="C45" s="289">
        <f ca="1">C46</f>
        <v>1940</v>
      </c>
      <c r="D45" s="279">
        <f ca="1">C47</f>
        <v>3.8E-3</v>
      </c>
      <c r="E45" s="280" t="s">
        <v>2410</v>
      </c>
      <c r="F45" s="290"/>
      <c r="G45" s="291" t="s">
        <v>2419</v>
      </c>
    </row>
    <row r="46" spans="1:7" s="258" customFormat="1" ht="13.5" customHeight="1">
      <c r="A46" s="954" t="s">
        <v>791</v>
      </c>
      <c r="B46" s="292" t="s">
        <v>2420</v>
      </c>
      <c r="C46" s="293">
        <f ca="1">ROUND((C33+C39)*F27,0)</f>
        <v>1940</v>
      </c>
      <c r="D46" s="307"/>
      <c r="E46" s="280"/>
      <c r="F46" s="290"/>
      <c r="G46" s="291"/>
    </row>
    <row r="47" spans="1:7" s="258" customFormat="1" ht="13.5" customHeight="1">
      <c r="A47" s="954" t="s">
        <v>792</v>
      </c>
      <c r="B47" s="292" t="s">
        <v>2421</v>
      </c>
      <c r="C47" s="282">
        <f ca="1">ROUND(C40*F27,4)</f>
        <v>3.8E-3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13958</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13958</v>
      </c>
      <c r="D51" s="276"/>
      <c r="E51" s="276"/>
      <c r="F51" s="308"/>
      <c r="G51" s="278" t="s">
        <v>2431</v>
      </c>
    </row>
    <row r="52" spans="1:7" s="252" customFormat="1" ht="16.5" thickBot="1">
      <c r="A52" s="309" t="s">
        <v>2432</v>
      </c>
      <c r="B52" s="310"/>
      <c r="C52" s="311">
        <f ca="1">C31+C51</f>
        <v>14852</v>
      </c>
      <c r="D52" s="310"/>
      <c r="E52" s="310"/>
      <c r="F52" s="310"/>
      <c r="G52" s="312"/>
    </row>
    <row r="55" spans="1:7" ht="15">
      <c r="B55" s="314" t="s">
        <v>2433</v>
      </c>
      <c r="C55" s="315"/>
    </row>
    <row r="56" spans="1:7">
      <c r="B56" s="317" t="s">
        <v>1513</v>
      </c>
      <c r="C56" s="319">
        <f ca="1">1-C57</f>
        <v>6.0000000000000053E-2</v>
      </c>
    </row>
    <row r="57" spans="1:7">
      <c r="B57" s="317" t="s">
        <v>1514</v>
      </c>
      <c r="C57" s="318">
        <f ca="1">ROUND(C51/C52,3)</f>
        <v>0.94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7" t="str">
        <f>项目基本情况!B1</f>
        <v>北京市出让国有建设用地使用权及在建建筑物预评估</v>
      </c>
      <c r="C37" s="2957"/>
      <c r="D37" s="2957"/>
      <c r="E37" s="2957"/>
      <c r="F37" s="2957"/>
      <c r="G37" s="2957"/>
      <c r="H37" s="2957"/>
      <c r="I37" s="295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60" t="s">
        <v>2434</v>
      </c>
      <c r="D1" s="242"/>
      <c r="E1" s="242"/>
      <c r="F1" s="242"/>
      <c r="G1" s="1382">
        <f>MATCH(B1,'数据-取费表'!A6:A16,0)+5</f>
        <v>11</v>
      </c>
      <c r="H1" s="1285" t="str">
        <f>IF(ISERROR(FIND("住宅",B1)),"非住宅","住宅")</f>
        <v>非住宅</v>
      </c>
    </row>
    <row r="2" spans="1:8" s="244" customFormat="1" ht="18" customHeight="1">
      <c r="A2" s="245" t="s">
        <v>2333</v>
      </c>
      <c r="B2" s="246">
        <f ca="1">ROUND(IF(D2="——",C52/10000,C52/10000-E2),0)</f>
        <v>14887</v>
      </c>
      <c r="C2" s="243" t="s">
        <v>2334</v>
      </c>
      <c r="D2" s="2554" t="s">
        <v>70</v>
      </c>
      <c r="E2" s="1443" t="e">
        <f ca="1">SUMIF(INDIRECT("'"&amp;G2&amp;"'"&amp;"!A:A"),"承租人权益价值",INDIRECT("'"&amp;G2&amp;"'"&amp;"!c:c"))</f>
        <v>#REF!</v>
      </c>
      <c r="F2" s="2555" t="s">
        <v>2334</v>
      </c>
      <c r="G2" s="2556"/>
    </row>
    <row r="3" spans="1:8" s="244" customFormat="1" ht="18" customHeight="1" thickBot="1">
      <c r="A3" s="247" t="s">
        <v>2335</v>
      </c>
      <c r="B3" s="248">
        <f ca="1">ROUND(B2*10000/(IF(B1="",'数据-汇总表'!E3,INDIRECT("'数据-取费表'!k"&amp;$G$1))),0)</f>
        <v>4889</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0</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0</v>
      </c>
      <c r="D8" s="266"/>
      <c r="E8" s="264"/>
      <c r="F8" s="265"/>
      <c r="G8" s="2557"/>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0</v>
      </c>
      <c r="D10" s="1035">
        <f ca="1">IF(B1="",'数据-汇总表'!E6,IF(INDIRECT("'数据-取费表'!c"&amp;$G$1)="住宅",INDIRECT("'数据-取费表'!s"&amp;$G$1),INDIRECT("'数据-取费表'!k"&amp;$G$1)+INDIRECT("'数据-取费表'!s"&amp;$G$1)))</f>
        <v>30453.1</v>
      </c>
      <c r="E10" s="269">
        <f>'数据-取费表'!B28</f>
        <v>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6090620</v>
      </c>
      <c r="D19" s="1039">
        <f ca="1">D9+D10</f>
        <v>30453.1</v>
      </c>
      <c r="E19" s="255">
        <f>'数据-取费表'!B31</f>
        <v>200</v>
      </c>
      <c r="F19" s="275"/>
      <c r="G19" s="2557"/>
    </row>
    <row r="20" spans="1:7" s="258" customFormat="1" ht="13.5" customHeight="1">
      <c r="A20" s="299" t="s">
        <v>2445</v>
      </c>
      <c r="B20" s="254" t="s">
        <v>2446</v>
      </c>
      <c r="C20" s="276">
        <f ca="1">ROUND((C5+C19)*F20,0)</f>
        <v>121812</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918573</v>
      </c>
      <c r="D22" s="279">
        <f ca="1">C26</f>
        <v>1.4E-3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0</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909792</v>
      </c>
      <c r="D24" s="282"/>
      <c r="E24" s="282"/>
      <c r="F24" s="283"/>
      <c r="G24" s="284" t="s">
        <v>2457</v>
      </c>
    </row>
    <row r="25" spans="1:7" s="258" customFormat="1" ht="24">
      <c r="A25" s="954" t="s">
        <v>2347</v>
      </c>
      <c r="B25" s="259" t="s">
        <v>2458</v>
      </c>
      <c r="C25" s="1384">
        <f ca="1">ROUND(IF('数据-取费表'!B22&lt;=1,C20*F22*'数据-取费表'!B22/2,C20*(POWER((1+F22),'数据-取费表'!B22/2)-1)),0)</f>
        <v>8781</v>
      </c>
      <c r="D25" s="282"/>
      <c r="E25" s="285"/>
      <c r="F25" s="283"/>
      <c r="G25" s="286" t="s">
        <v>2459</v>
      </c>
    </row>
    <row r="26" spans="1:7" s="258" customFormat="1">
      <c r="A26" s="954" t="s">
        <v>795</v>
      </c>
      <c r="B26" s="259" t="s">
        <v>2382</v>
      </c>
      <c r="C26" s="282">
        <f ca="1">ROUND(IF('数据-取费表'!B22&lt;=1,F21*F22*'数据-取费表'!B22/2,F21*(POWER((1+F22),'数据-取费表'!B22/2)-1)),4)</f>
        <v>1.4E-3</v>
      </c>
      <c r="D26" s="282"/>
      <c r="E26" s="285"/>
      <c r="F26" s="283"/>
      <c r="G26" s="287"/>
    </row>
    <row r="27" spans="1:7" s="258" customFormat="1" ht="24.75">
      <c r="A27" s="299" t="s">
        <v>2383</v>
      </c>
      <c r="B27" s="288" t="s">
        <v>2384</v>
      </c>
      <c r="C27" s="289">
        <f ca="1">C28</f>
        <v>1180362</v>
      </c>
      <c r="D27" s="279">
        <f ca="1">C29</f>
        <v>3.8E-3</v>
      </c>
      <c r="E27" s="280" t="s">
        <v>2385</v>
      </c>
      <c r="F27" s="290">
        <f ca="1">IF(B1="",'数据-取费表'!Q16,INDIRECT("'数据-取费表'!q"&amp;$G$1))</f>
        <v>0.19</v>
      </c>
      <c r="G27" s="291" t="s">
        <v>2386</v>
      </c>
    </row>
    <row r="28" spans="1:7" s="258" customFormat="1" ht="13.5" customHeight="1">
      <c r="A28" s="954" t="s">
        <v>791</v>
      </c>
      <c r="B28" s="292" t="s">
        <v>2387</v>
      </c>
      <c r="C28" s="293">
        <f ca="1">ROUND((C5+C19+C20)*F27,0)</f>
        <v>1180362</v>
      </c>
      <c r="D28" s="279"/>
      <c r="E28" s="280"/>
      <c r="F28" s="290"/>
      <c r="G28" s="291"/>
    </row>
    <row r="29" spans="1:7" s="258" customFormat="1" ht="13.5" customHeight="1">
      <c r="A29" s="954" t="s">
        <v>792</v>
      </c>
      <c r="B29" s="292" t="s">
        <v>2388</v>
      </c>
      <c r="C29" s="282">
        <f ca="1">ROUND(C21*F27,4)</f>
        <v>3.8E-3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9019389</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100104716</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89965642</v>
      </c>
      <c r="D34" s="261"/>
      <c r="E34" s="264"/>
      <c r="F34" s="301"/>
      <c r="G34" s="263"/>
    </row>
    <row r="35" spans="1:7" ht="13.5" customHeight="1">
      <c r="A35" s="954" t="s">
        <v>796</v>
      </c>
      <c r="B35" s="259" t="s">
        <v>2398</v>
      </c>
      <c r="C35" s="264">
        <f ca="1">ROUND(C34*F35,0)</f>
        <v>2698969</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0.05</v>
      </c>
      <c r="G36" s="304" t="s">
        <v>2401</v>
      </c>
    </row>
    <row r="37" spans="1:7" s="302" customFormat="1" ht="13.5" customHeight="1">
      <c r="A37" s="954" t="s">
        <v>798</v>
      </c>
      <c r="B37" s="259" t="s">
        <v>2402</v>
      </c>
      <c r="C37" s="293">
        <f ca="1">ROUND(E37*D37,0)</f>
        <v>6090620</v>
      </c>
      <c r="D37" s="261">
        <f ca="1">D19</f>
        <v>30453.1</v>
      </c>
      <c r="E37" s="293">
        <f>'数据-取费表'!B35</f>
        <v>200</v>
      </c>
      <c r="F37" s="303"/>
      <c r="G37" s="305"/>
    </row>
    <row r="38" spans="1:7" ht="13.5" customHeight="1">
      <c r="A38" s="954" t="s">
        <v>799</v>
      </c>
      <c r="B38" s="259" t="s">
        <v>2404</v>
      </c>
      <c r="C38" s="264">
        <f ca="1">ROUND(C34*F38,0)</f>
        <v>1349485</v>
      </c>
      <c r="D38" s="264"/>
      <c r="E38" s="264"/>
      <c r="F38" s="303">
        <f>'数据-取费表'!B36</f>
        <v>1.4999999999999999E-2</v>
      </c>
      <c r="G38" s="263" t="s">
        <v>2399</v>
      </c>
    </row>
    <row r="39" spans="1:7" s="258" customFormat="1" ht="13.5" customHeight="1">
      <c r="A39" s="299" t="s">
        <v>2405</v>
      </c>
      <c r="B39" s="254" t="s">
        <v>2406</v>
      </c>
      <c r="C39" s="276">
        <f ca="1">ROUND(C33*F20,0)</f>
        <v>2002094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7360830</v>
      </c>
      <c r="D41" s="279">
        <f ca="1">C44</f>
        <v>1.4E-3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7216500</v>
      </c>
      <c r="D42" s="282"/>
      <c r="E42" s="282"/>
      <c r="F42" s="283"/>
      <c r="G42" s="3143" t="s">
        <v>2462</v>
      </c>
    </row>
    <row r="43" spans="1:7" ht="13.5" customHeight="1">
      <c r="A43" s="954" t="s">
        <v>792</v>
      </c>
      <c r="B43" s="259" t="s">
        <v>2416</v>
      </c>
      <c r="C43" s="282">
        <f ca="1">ROUND(IF('数据-取费表'!B22&lt;=1,C39*F22*'数据-取费表'!B20/2,C39*(POWER((1+F22),'数据-取费表'!B20/2)-1)),0)</f>
        <v>144330</v>
      </c>
      <c r="D43" s="282"/>
      <c r="E43" s="282"/>
      <c r="F43" s="283"/>
      <c r="G43" s="3144"/>
    </row>
    <row r="44" spans="1:7" ht="13.5" customHeight="1">
      <c r="A44" s="954" t="s">
        <v>793</v>
      </c>
      <c r="B44" s="259" t="s">
        <v>2417</v>
      </c>
      <c r="C44" s="282">
        <f ca="1">ROUND(IF('数据-取费表'!B22&lt;=1,C40*F22*'数据-取费表'!B20/2,C40*(POWER((1+F22),'数据-取费表'!B20/2)-1)),4)</f>
        <v>1.4E-3</v>
      </c>
      <c r="D44" s="282"/>
      <c r="E44" s="282"/>
      <c r="F44" s="283"/>
      <c r="G44" s="3145"/>
    </row>
    <row r="45" spans="1:7" s="258" customFormat="1" ht="13.5" customHeight="1">
      <c r="A45" s="299" t="s">
        <v>2418</v>
      </c>
      <c r="B45" s="288" t="s">
        <v>2384</v>
      </c>
      <c r="C45" s="289">
        <f ca="1">C46</f>
        <v>19400294</v>
      </c>
      <c r="D45" s="279">
        <f ca="1">C47</f>
        <v>3.8E-3</v>
      </c>
      <c r="E45" s="280" t="s">
        <v>2410</v>
      </c>
      <c r="F45" s="290"/>
      <c r="G45" s="291" t="s">
        <v>2419</v>
      </c>
    </row>
    <row r="46" spans="1:7" s="258" customFormat="1" ht="13.5" customHeight="1">
      <c r="A46" s="954" t="s">
        <v>791</v>
      </c>
      <c r="B46" s="292" t="s">
        <v>2420</v>
      </c>
      <c r="C46" s="293">
        <f ca="1">ROUND((C33+C39)*F27,0)</f>
        <v>19400294</v>
      </c>
      <c r="D46" s="307"/>
      <c r="E46" s="280"/>
      <c r="F46" s="290"/>
      <c r="G46" s="291"/>
    </row>
    <row r="47" spans="1:7" s="258" customFormat="1" ht="13.5" customHeight="1">
      <c r="A47" s="954" t="s">
        <v>792</v>
      </c>
      <c r="B47" s="292" t="s">
        <v>2421</v>
      </c>
      <c r="C47" s="282">
        <f ca="1">ROUND(C40*F27,4)</f>
        <v>3.8E-3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139845832</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139845832</v>
      </c>
      <c r="D51" s="276"/>
      <c r="E51" s="276"/>
      <c r="F51" s="308"/>
      <c r="G51" s="278" t="s">
        <v>2431</v>
      </c>
    </row>
    <row r="52" spans="1:7" s="252" customFormat="1" ht="16.5" thickBot="1">
      <c r="A52" s="309" t="s">
        <v>2432</v>
      </c>
      <c r="B52" s="310"/>
      <c r="C52" s="311">
        <f ca="1">C31+C51</f>
        <v>148865221</v>
      </c>
      <c r="D52" s="310"/>
      <c r="E52" s="310"/>
      <c r="F52" s="310"/>
      <c r="G52" s="312"/>
    </row>
    <row r="55" spans="1:7" ht="15">
      <c r="B55" s="314" t="s">
        <v>2433</v>
      </c>
      <c r="C55" s="315"/>
    </row>
    <row r="56" spans="1:7">
      <c r="B56" s="317" t="s">
        <v>1513</v>
      </c>
      <c r="C56" s="319">
        <f ca="1">1-C57</f>
        <v>6.1000000000000054E-2</v>
      </c>
    </row>
    <row r="57" spans="1:7">
      <c r="B57" s="317" t="s">
        <v>1514</v>
      </c>
      <c r="C57" s="318">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0</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8" t="s">
        <v>2816</v>
      </c>
      <c r="D2" s="2729" t="s">
        <v>2817</v>
      </c>
      <c r="E2" s="2730"/>
      <c r="F2" s="2729" t="s">
        <v>2818</v>
      </c>
      <c r="G2" s="2731">
        <f>IF(E2="商业",项目基本情况!B37,IF(E2="办公",项目基本情况!C37,IF(E2="住宅",项目基本情况!D37,项目基本情况!E37)))</f>
        <v>0</v>
      </c>
      <c r="H2" s="2729" t="s">
        <v>2819</v>
      </c>
      <c r="I2" s="2731">
        <f>IF(E2="商业",项目基本情况!B38,IF(E2="办公",项目基本情况!C38,IF(E2="住宅",项目基本情况!D38,项目基本情况!E38)))</f>
        <v>0</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8" t="s">
        <v>2822</v>
      </c>
      <c r="D3" s="2729" t="s">
        <v>2823</v>
      </c>
      <c r="E3" s="2734"/>
      <c r="F3" s="2735" t="s">
        <v>2824</v>
      </c>
      <c r="G3" s="916" t="e">
        <f>IF(F3="宗地容积率",'数据-汇总表'!I4,IF(F3="估价对象容积率",'数据-汇总表'!I6,'数据-汇总表'!I7))</f>
        <v>#DIV/0!</v>
      </c>
      <c r="H3" s="198" t="s">
        <v>2825</v>
      </c>
      <c r="I3" s="947"/>
      <c r="J3" s="2732" t="s">
        <v>2826</v>
      </c>
      <c r="K3" s="1373"/>
      <c r="L3" s="2733" t="s">
        <v>2827</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160"/>
      <c r="B4" s="3161"/>
      <c r="C4" s="3161"/>
      <c r="D4" s="3162"/>
      <c r="E4" s="3162"/>
      <c r="F4" s="3162"/>
      <c r="G4" s="3162"/>
      <c r="H4" s="3162"/>
      <c r="I4" s="3162"/>
      <c r="J4" s="3163"/>
      <c r="K4" s="1373"/>
      <c r="L4" s="2733" t="s">
        <v>2828</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2829</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2830</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2831</v>
      </c>
      <c r="B6" s="2747" t="s">
        <v>2832</v>
      </c>
      <c r="C6" s="918">
        <f>SUMIF(L1:L12,G2,M1:M12)</f>
        <v>0</v>
      </c>
      <c r="D6" s="2748" t="s">
        <v>2833</v>
      </c>
      <c r="E6" s="2749"/>
      <c r="F6" s="2749"/>
      <c r="G6" s="2750"/>
      <c r="H6" s="2750"/>
      <c r="I6" s="2750"/>
      <c r="J6" s="2751"/>
      <c r="K6" s="1845"/>
      <c r="L6" s="2733" t="s">
        <v>2834</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146" t="str">
        <f>IF(E2="商业",IF(C8="不临58条商业街","",2),"")</f>
        <v/>
      </c>
      <c r="B7" s="2752" t="s">
        <v>2835</v>
      </c>
      <c r="C7" s="919" t="e">
        <f>IF(C8="不临58条商业街",1,ROUND(1+(1.6*E8+1.2*E9+0.8*E10+0.4*E11)*C9,4))</f>
        <v>#DIV/0!</v>
      </c>
      <c r="D7" s="2753" t="s">
        <v>2836</v>
      </c>
      <c r="E7" s="948"/>
      <c r="F7" s="2754"/>
      <c r="G7" s="2755"/>
      <c r="H7" s="2755"/>
      <c r="I7" s="2755"/>
      <c r="J7" s="2756"/>
      <c r="K7" s="1845"/>
      <c r="L7" s="2733" t="s">
        <v>2837</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2838</v>
      </c>
      <c r="X7" s="1607">
        <f>G2</f>
        <v>0</v>
      </c>
      <c r="Y7" s="1607" t="s">
        <v>2839</v>
      </c>
      <c r="Z7" s="1608" t="e">
        <f>G3</f>
        <v>#DIV/0!</v>
      </c>
      <c r="AA7" s="1609"/>
      <c r="AB7" s="1609"/>
      <c r="AC7" s="1610"/>
      <c r="AD7" s="1611"/>
      <c r="AE7" s="1611"/>
      <c r="AF7" s="1611"/>
      <c r="AG7" s="1611"/>
      <c r="AH7" s="1611"/>
      <c r="AI7" s="1611"/>
      <c r="AJ7" s="1612"/>
    </row>
    <row r="8" spans="1:36" ht="15">
      <c r="A8" s="3147"/>
      <c r="B8" s="198" t="s">
        <v>2840</v>
      </c>
      <c r="C8" s="2757"/>
      <c r="D8" s="920" t="s">
        <v>139</v>
      </c>
      <c r="E8" s="921" t="e">
        <f>ROUND(C11/E7,4)</f>
        <v>#DIV/0!</v>
      </c>
      <c r="F8" s="2758" t="s">
        <v>2841</v>
      </c>
      <c r="G8" s="2759"/>
      <c r="H8" s="2759"/>
      <c r="I8" s="2759"/>
      <c r="J8" s="2760"/>
      <c r="K8" s="1373"/>
      <c r="L8" s="2733"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157" t="s">
        <v>2843</v>
      </c>
      <c r="X8" s="3158"/>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147"/>
      <c r="B9" s="198" t="s">
        <v>2856</v>
      </c>
      <c r="C9" s="922">
        <f>SUMIF(修正!C59:C119,C8,修正!E59:E119)</f>
        <v>0</v>
      </c>
      <c r="D9" s="200" t="s">
        <v>140</v>
      </c>
      <c r="E9" s="200" t="e">
        <f>ROUND(C11/E7,4)</f>
        <v>#DIV/0!</v>
      </c>
      <c r="F9" s="2758" t="s">
        <v>2857</v>
      </c>
      <c r="G9" s="2759"/>
      <c r="H9" s="2759"/>
      <c r="I9" s="2759"/>
      <c r="J9" s="2760"/>
      <c r="K9" s="1373"/>
      <c r="L9" s="2733"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159"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7"/>
      <c r="B10" s="198" t="s">
        <v>2861</v>
      </c>
      <c r="C10" s="200">
        <f>SUMIF(修正!C59:C119,C8,修正!F59:F119)</f>
        <v>0</v>
      </c>
      <c r="D10" s="200" t="s">
        <v>141</v>
      </c>
      <c r="E10" s="200" t="e">
        <f>ROUND(C11/E7,4)</f>
        <v>#DIV/0!</v>
      </c>
      <c r="F10" s="2758" t="s">
        <v>2862</v>
      </c>
      <c r="G10" s="2759"/>
      <c r="H10" s="2759"/>
      <c r="I10" s="2759"/>
      <c r="J10" s="2760"/>
      <c r="K10" s="1373"/>
      <c r="L10" s="2733"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15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7"/>
      <c r="B11" s="2761" t="s">
        <v>2864</v>
      </c>
      <c r="C11" s="923">
        <f>C10/4</f>
        <v>0</v>
      </c>
      <c r="D11" s="923" t="s">
        <v>142</v>
      </c>
      <c r="E11" s="923" t="e">
        <f>ROUND(C11/E7,4)</f>
        <v>#DIV/0!</v>
      </c>
      <c r="F11" s="2762" t="s">
        <v>2865</v>
      </c>
      <c r="G11" s="2763"/>
      <c r="H11" s="2763"/>
      <c r="I11" s="2763"/>
      <c r="J11" s="2764"/>
      <c r="K11" s="1373"/>
      <c r="L11" s="2733"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159" t="s">
        <v>2867</v>
      </c>
      <c r="X11" s="1617" t="s">
        <v>2868</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146" t="s">
        <v>2869</v>
      </c>
      <c r="B12" s="2765" t="s">
        <v>2870</v>
      </c>
      <c r="C12" s="919">
        <f>ROUND(C15*D15*E15*F15*G15*H15*I15*J15,4)</f>
        <v>1</v>
      </c>
      <c r="D12" s="2766" t="s">
        <v>2871</v>
      </c>
      <c r="E12" s="2767"/>
      <c r="F12" s="2767"/>
      <c r="G12" s="2768"/>
      <c r="H12" s="2768"/>
      <c r="I12" s="2768"/>
      <c r="J12" s="2769"/>
      <c r="K12" s="1373"/>
      <c r="L12" s="2770"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159"/>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4"/>
      <c r="B13" s="2771" t="s">
        <v>2874</v>
      </c>
      <c r="C13" s="2772" t="s">
        <v>2875</v>
      </c>
      <c r="D13" s="1811" t="s">
        <v>2876</v>
      </c>
      <c r="E13" s="1811" t="s">
        <v>2877</v>
      </c>
      <c r="F13" s="30" t="s">
        <v>2878</v>
      </c>
      <c r="G13" s="2773" t="s">
        <v>2879</v>
      </c>
      <c r="H13" s="2773" t="s">
        <v>2879</v>
      </c>
      <c r="I13" s="2773" t="s">
        <v>2879</v>
      </c>
      <c r="J13" s="2774" t="s">
        <v>2879</v>
      </c>
      <c r="K13" s="1373"/>
      <c r="L13" s="1373"/>
      <c r="M13" s="1373"/>
      <c r="N13" s="1373"/>
      <c r="O13" s="1373"/>
      <c r="P13" s="1373"/>
      <c r="Q13" s="1373"/>
      <c r="R13" s="1605">
        <v>12</v>
      </c>
      <c r="S13" s="1606"/>
      <c r="T13" s="1605" t="e">
        <f t="shared" si="0"/>
        <v>#DIV/0!</v>
      </c>
      <c r="U13" s="1606"/>
      <c r="V13" s="1605" t="e">
        <f t="shared" si="1"/>
        <v>#DIV/0!</v>
      </c>
      <c r="W13" s="3159"/>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164"/>
      <c r="B14" s="2775"/>
      <c r="C14" s="2776"/>
      <c r="D14" s="2777"/>
      <c r="E14" s="2777"/>
      <c r="F14" s="2778"/>
      <c r="G14" s="2779" t="s">
        <v>2880</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165"/>
      <c r="B15" s="2783" t="s">
        <v>2881</v>
      </c>
      <c r="C15" s="229">
        <f>IF(C14="有",1.1,1)</f>
        <v>1</v>
      </c>
      <c r="D15" s="229">
        <f>IF(D14="有",1.1,1)</f>
        <v>1</v>
      </c>
      <c r="E15" s="229">
        <f>IF(E14="有",1.1,1)</f>
        <v>1</v>
      </c>
      <c r="F15" s="229">
        <f>IF(F14="500米范围内",1.2,IF(F14="500-1000米",1.1,1))</f>
        <v>1</v>
      </c>
      <c r="G15" s="949">
        <v>1</v>
      </c>
      <c r="H15" s="949">
        <v>1</v>
      </c>
      <c r="I15" s="949">
        <v>1</v>
      </c>
      <c r="J15" s="950">
        <v>1</v>
      </c>
      <c r="K15" s="1373"/>
      <c r="L15" s="2784" t="s">
        <v>2817</v>
      </c>
      <c r="M15" s="920" t="s">
        <v>2882</v>
      </c>
      <c r="N15" s="920" t="s">
        <v>2883</v>
      </c>
      <c r="O15" s="920" t="s">
        <v>2884</v>
      </c>
      <c r="P15" s="2785"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146" t="s">
        <v>2886</v>
      </c>
      <c r="B16" s="2752" t="s">
        <v>2887</v>
      </c>
      <c r="C16" s="1804" t="e">
        <f>ROUND(SUM(G17:J17)/C17,0)</f>
        <v>#DIV/0!</v>
      </c>
      <c r="D16" s="2786" t="s">
        <v>2888</v>
      </c>
      <c r="E16" s="2787"/>
      <c r="F16" s="2788"/>
      <c r="G16" s="2789"/>
      <c r="H16" s="2789"/>
      <c r="I16" s="2789"/>
      <c r="J16" s="2790"/>
      <c r="K16" s="1373"/>
      <c r="L16" s="2791"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147"/>
      <c r="B17" s="2792" t="s">
        <v>2890</v>
      </c>
      <c r="C17" s="924">
        <f>SUMPRODUCT((修正!A2:A5=E2)*(修正!B1:M1=G2)*(修正!B2:M5))</f>
        <v>0</v>
      </c>
      <c r="D17" s="2793"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2894</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2895</v>
      </c>
      <c r="C19" s="927" t="e">
        <f>ROUND(IF(H19="按公示增长率计算",SUMPRODUCT((地价!A3:A23=YEAR(G19)&amp;"-"&amp;ROUNDUP(MONTH(G19)/3,0))*(地价!X2:AB2=E2)*(地价!X3:AB23)),IF(H19="地价指数",M20/M19,(1+I19)^O19)),4)</f>
        <v>#DIV/0!</v>
      </c>
      <c r="D19" s="2804" t="s">
        <v>2896</v>
      </c>
      <c r="E19" s="928">
        <v>41640</v>
      </c>
      <c r="F19" s="2804" t="s">
        <v>2897</v>
      </c>
      <c r="G19" s="929">
        <f>'数据-取费表'!B2</f>
        <v>43354</v>
      </c>
      <c r="H19" s="2805" t="s">
        <v>2898</v>
      </c>
      <c r="I19" s="930" t="str">
        <f>IF(H19="季度增幅（自定义）",SUMIF(N21:N24,E2,O21:O24),"")</f>
        <v/>
      </c>
      <c r="J19" s="2802"/>
      <c r="K19" s="1380"/>
      <c r="L19" s="2806" t="s">
        <v>2899</v>
      </c>
      <c r="M19" s="1737">
        <f>ROUND(SUMIF(地价!B2:F2,E2,地价!B23:F23),0)</f>
        <v>0</v>
      </c>
      <c r="N19" s="2807" t="s">
        <v>2900</v>
      </c>
      <c r="O19" s="931">
        <f>ROUNDDOWN(DATEDIF(E19,G19,"M")/3,0)</f>
        <v>18</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2901</v>
      </c>
      <c r="C20" s="932" t="e">
        <f>ROUND(POWER(1+G20,J20-I20)*(POWER(1+G20,I20)-1)/(POWER(1+G20,J20)-1),4)</f>
        <v>#DIV/0!</v>
      </c>
      <c r="D20" s="2813" t="s">
        <v>2902</v>
      </c>
      <c r="E20" s="1771">
        <f ca="1">存贷款利率!D4/100</f>
        <v>4.3499999999999997E-2</v>
      </c>
      <c r="F20" s="2813" t="s">
        <v>2893</v>
      </c>
      <c r="G20" s="937">
        <f>SUMIF(M15:P15,E2,M17:P17)</f>
        <v>0</v>
      </c>
      <c r="H20" s="2813" t="s">
        <v>2903</v>
      </c>
      <c r="I20" s="938" t="e">
        <f>SUMIF('数据-取费表'!C6:C15,E2,'数据-取费表'!F6:F15)/COUNTIF('数据-取费表'!C6:C15,E2)</f>
        <v>#DIV/0!</v>
      </c>
      <c r="J20" s="939">
        <f>IF(E2="住宅",70,IF(E2="商业",40,50))</f>
        <v>50</v>
      </c>
      <c r="K20" s="1380"/>
      <c r="L20" s="2814" t="s">
        <v>2904</v>
      </c>
      <c r="M20" s="1738">
        <f>ROUND(SUMPRODUCT((地价!A4:A23=YEAR(G19)&amp;"-"&amp;ROUNDUP(MONTH(G19)/3,0))*(地价!B2:F2=E2)*(地价!B4:F23)),0)</f>
        <v>0</v>
      </c>
      <c r="N20" s="2815" t="s">
        <v>2905</v>
      </c>
      <c r="O20" s="2816" t="s">
        <v>2906</v>
      </c>
      <c r="P20" s="2817" t="s">
        <v>2907</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2908</v>
      </c>
      <c r="C21" s="940" t="e">
        <f>IF(B21="容积率修正",IF(G3&lt;=10,D22,J22),C23)</f>
        <v>#DIV/0!</v>
      </c>
      <c r="D21" s="2820"/>
      <c r="E21" s="2820"/>
      <c r="F21" s="2820"/>
      <c r="G21" s="2820"/>
      <c r="H21" s="2820"/>
      <c r="I21" s="2820"/>
      <c r="J21" s="2821"/>
      <c r="K21" s="1380"/>
      <c r="N21" s="2822" t="s">
        <v>2909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5" customFormat="1" ht="14.25">
      <c r="A22" s="2671" t="s">
        <v>2910</v>
      </c>
      <c r="B22" s="2823" t="s">
        <v>2911</v>
      </c>
      <c r="C22" s="1813" t="s">
        <v>2912</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2" t="s">
        <v>2913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1" t="s">
        <v>2914</v>
      </c>
      <c r="B23" s="2824" t="s">
        <v>2915</v>
      </c>
      <c r="C23" s="1016" t="e">
        <f>ROUND(IF(G3&gt;1,IF(I3&lt;7,SUMPRODUCT((B93:B98=I3)*(C92:N92=G2)*(C93:N98)),SUMIF(C92:N92,G2,C100:N100)),IF(I3&lt;7,SUMPRODUCT((B102:B107=I3)*(C92:N92=G2)*(C102:N107)),SUMIF(C92:N92,G2,C109:N109))),4)</f>
        <v>#DIV/0!</v>
      </c>
      <c r="D23" s="2780"/>
      <c r="E23" s="2780"/>
      <c r="F23" s="2825"/>
      <c r="G23" s="2826"/>
      <c r="H23" s="2827"/>
      <c r="I23" s="2828"/>
      <c r="J23" s="2829"/>
      <c r="K23" s="1373"/>
      <c r="N23" s="2822" t="s">
        <v>2916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2917</v>
      </c>
      <c r="C24" s="927">
        <f>SUMIF(A45:A88,E2,B45:B88)</f>
        <v>0</v>
      </c>
      <c r="D24" s="2800"/>
      <c r="E24" s="2830"/>
      <c r="F24" s="2830"/>
      <c r="G24" s="2830"/>
      <c r="H24" s="2830"/>
      <c r="I24" s="2830"/>
      <c r="J24" s="2831"/>
      <c r="K24" s="1380"/>
      <c r="N24" s="2832" t="s">
        <v>2918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2919</v>
      </c>
      <c r="C25" s="933"/>
      <c r="D25" s="2755"/>
      <c r="E25" s="2755"/>
      <c r="F25" s="2834"/>
      <c r="G25" s="2755"/>
      <c r="H25" s="2755"/>
      <c r="I25" s="2755"/>
      <c r="J25" s="2756"/>
      <c r="K25" s="1373"/>
      <c r="N25" s="2835" t="s">
        <v>2920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6"/>
      <c r="B26" s="2823" t="s">
        <v>2921</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2922</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2923</v>
      </c>
      <c r="C28" s="2847" t="s">
        <v>2924</v>
      </c>
      <c r="D28" s="2847" t="s">
        <v>2925</v>
      </c>
      <c r="E28" s="2848" t="s">
        <v>2926</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2927</v>
      </c>
      <c r="C29" s="206" t="e">
        <f>ROUND(C5*C18*C19*C20*C21*C24,0)</f>
        <v>#DIV/0!</v>
      </c>
      <c r="D29" s="2852"/>
      <c r="E29" s="945" t="e">
        <f>ROUND(C29*D29/10000,0)</f>
        <v>#DIV/0!</v>
      </c>
      <c r="F29" s="2853" t="s">
        <v>2928</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2929</v>
      </c>
      <c r="C30" s="229" t="e">
        <f>ROUND(IF(E2="工业",C29*M39,C29*M38),0)</f>
        <v>#DIV/0!</v>
      </c>
      <c r="D30" s="2858"/>
      <c r="E30" s="945" t="e">
        <f>ROUND(C30*D30/10000,0)</f>
        <v>#DIV/0!</v>
      </c>
      <c r="F30" s="2859" t="s">
        <v>2930</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2931</v>
      </c>
      <c r="C31" s="2864" t="s">
        <v>2932</v>
      </c>
      <c r="D31" s="2768"/>
      <c r="E31" s="2864"/>
      <c r="F31" s="2864"/>
      <c r="G31" s="2766" t="s">
        <v>2933</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2924</v>
      </c>
      <c r="D32" s="498" t="s">
        <v>2925</v>
      </c>
      <c r="E32" s="498" t="s">
        <v>2926</v>
      </c>
      <c r="F32" s="388" t="s">
        <v>2934</v>
      </c>
      <c r="G32" s="2867" t="s">
        <v>2924</v>
      </c>
      <c r="H32" s="2867" t="s">
        <v>2925</v>
      </c>
      <c r="I32" s="2867"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54" t="s">
        <v>2935</v>
      </c>
      <c r="B33" s="2868" t="s">
        <v>2936</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5"/>
      <c r="B34" s="2772" t="s">
        <v>2937</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5"/>
      <c r="B35" s="2772" t="s">
        <v>2938</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156"/>
      <c r="B36" s="2772" t="s">
        <v>2939</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2940</v>
      </c>
      <c r="C37" s="200" t="e">
        <f>ROUND(C5*C19*C20*C24*F37,0)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2941</v>
      </c>
      <c r="M37" s="2872"/>
      <c r="N37" s="1373"/>
      <c r="O37" s="1373"/>
      <c r="P37" s="1373"/>
      <c r="Q37" s="1373"/>
      <c r="R37" s="1373"/>
      <c r="S37" s="1373"/>
      <c r="T37" s="1373"/>
      <c r="U37" s="1373"/>
      <c r="V37" s="1373"/>
      <c r="W37" s="1373"/>
      <c r="X37" s="1373"/>
      <c r="Y37" s="1373"/>
      <c r="Z37" s="1374"/>
    </row>
    <row r="38" spans="1:37">
      <c r="A38" s="2870"/>
      <c r="B38" s="2772" t="s">
        <v>2942</v>
      </c>
      <c r="C38" s="200" t="e">
        <f>ROUND(C5*C19*C20*C24*F38,0)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2943</v>
      </c>
      <c r="M38" s="2873">
        <v>0.25</v>
      </c>
      <c r="N38" s="1373"/>
      <c r="O38" s="1373"/>
      <c r="P38" s="1373"/>
      <c r="Q38" s="1373"/>
      <c r="R38" s="1373"/>
      <c r="S38" s="1373"/>
      <c r="T38" s="1373"/>
      <c r="U38" s="1373"/>
      <c r="V38" s="1373"/>
      <c r="W38" s="1373"/>
      <c r="X38" s="1373"/>
      <c r="Y38" s="1373"/>
      <c r="Z38" s="1374"/>
    </row>
    <row r="39" spans="1:37" ht="13.5" thickBot="1">
      <c r="A39" s="2856"/>
      <c r="B39" s="2874" t="s">
        <v>2944</v>
      </c>
      <c r="C39" s="229" t="e">
        <f>ROUND(C5*C19*C20*C24*F39,0)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2885</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2945</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2946</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2947</v>
      </c>
      <c r="B47" s="1812" t="s">
        <v>2948</v>
      </c>
      <c r="C47" s="1812" t="s">
        <v>2949</v>
      </c>
      <c r="D47" s="1812" t="s">
        <v>2950</v>
      </c>
      <c r="E47" s="819" t="s">
        <v>2951</v>
      </c>
      <c r="F47" s="2886" t="s">
        <v>2952</v>
      </c>
      <c r="G47" s="1812" t="s">
        <v>754</v>
      </c>
      <c r="H47" s="2887" t="s">
        <v>2953</v>
      </c>
      <c r="I47" s="1812" t="s">
        <v>2954</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5" t="s">
        <v>2955</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2956</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2957</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2958</v>
      </c>
      <c r="B51" s="2890" t="s">
        <v>2959</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2960</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2961</v>
      </c>
      <c r="B53" s="2891" t="s">
        <v>2962</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2963</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2964</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2965</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2966</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2947</v>
      </c>
      <c r="B58" s="1812"/>
      <c r="C58" s="1812" t="s">
        <v>2949</v>
      </c>
      <c r="D58" s="1812" t="s">
        <v>2950</v>
      </c>
      <c r="E58" s="819" t="s">
        <v>2951</v>
      </c>
      <c r="F58" s="2886" t="s">
        <v>2967</v>
      </c>
      <c r="G58" s="1812" t="s">
        <v>754</v>
      </c>
      <c r="H58" s="2887" t="s">
        <v>2953</v>
      </c>
      <c r="I58" s="1812" t="s">
        <v>2954</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5" t="s">
        <v>2968</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2956</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2957</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2958</v>
      </c>
      <c r="B62" s="2890" t="s">
        <v>2959</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2960</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2961</v>
      </c>
      <c r="B64" s="2891" t="s">
        <v>2962</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2963</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2964</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2965</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2969</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2947</v>
      </c>
      <c r="B69" s="1812"/>
      <c r="C69" s="1812" t="s">
        <v>2949</v>
      </c>
      <c r="D69" s="1812" t="s">
        <v>2950</v>
      </c>
      <c r="E69" s="819" t="s">
        <v>2951</v>
      </c>
      <c r="F69" s="2886" t="s">
        <v>2967</v>
      </c>
      <c r="G69" s="1812" t="s">
        <v>754</v>
      </c>
      <c r="H69" s="2887" t="s">
        <v>2953</v>
      </c>
      <c r="I69" s="1812" t="s">
        <v>2954</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5" t="s">
        <v>2970</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2956</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2957</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2971</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2963</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2964</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2961</v>
      </c>
      <c r="B76" s="2891" t="s">
        <v>2962</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2965</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2972</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2973</v>
      </c>
      <c r="B79" s="2882">
        <f>1+E81</f>
        <v>1</v>
      </c>
      <c r="C79" s="814"/>
      <c r="D79" s="814"/>
      <c r="E79" s="815"/>
      <c r="F79" s="2884"/>
      <c r="G79" s="6"/>
      <c r="H79" s="6"/>
      <c r="I79" s="6"/>
      <c r="J79" s="7"/>
      <c r="K79" s="7"/>
      <c r="L79" s="7"/>
      <c r="M79" s="7"/>
      <c r="N79" s="7"/>
      <c r="Z79" s="2727"/>
      <c r="AA79" s="2803"/>
      <c r="AG79" s="1375"/>
      <c r="AK79" s="2803"/>
    </row>
    <row r="80" spans="1:37" ht="24.75">
      <c r="A80" s="2885" t="s">
        <v>2947</v>
      </c>
      <c r="B80" s="1812"/>
      <c r="C80" s="1812" t="s">
        <v>2949</v>
      </c>
      <c r="D80" s="1812" t="s">
        <v>2950</v>
      </c>
      <c r="E80" s="819" t="s">
        <v>2951</v>
      </c>
      <c r="F80" s="2886" t="s">
        <v>2967</v>
      </c>
      <c r="G80" s="1812" t="s">
        <v>754</v>
      </c>
      <c r="H80" s="2887" t="s">
        <v>2953</v>
      </c>
      <c r="I80" s="1812" t="s">
        <v>2954</v>
      </c>
      <c r="J80" s="603" t="s">
        <v>2600</v>
      </c>
      <c r="K80" s="603" t="s">
        <v>2601</v>
      </c>
      <c r="L80" s="603" t="s">
        <v>2602</v>
      </c>
      <c r="M80" s="603" t="s">
        <v>2603</v>
      </c>
      <c r="N80" s="603" t="s">
        <v>2604</v>
      </c>
      <c r="Z80" s="2727"/>
      <c r="AA80" s="2803"/>
      <c r="AG80" s="1375"/>
      <c r="AK80" s="2803"/>
    </row>
    <row r="81" spans="1:37" ht="38.25">
      <c r="A81" s="2885" t="s">
        <v>2974</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2956</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2957</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2971</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2963</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2964</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2961</v>
      </c>
      <c r="B87" s="2891" t="s">
        <v>2975</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2976</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148" t="s">
        <v>2977</v>
      </c>
      <c r="B90" s="3148"/>
      <c r="C90" s="3148"/>
      <c r="D90" s="3148"/>
      <c r="E90" s="3148"/>
      <c r="F90" s="3148"/>
      <c r="G90" s="3148"/>
      <c r="H90" s="3148"/>
      <c r="I90" s="3148"/>
      <c r="J90" s="3148"/>
      <c r="K90" s="2899"/>
      <c r="L90" s="2899"/>
      <c r="M90" s="2899"/>
      <c r="N90" s="2899"/>
    </row>
    <row r="91" spans="1:37">
      <c r="A91" s="3150" t="s">
        <v>2978</v>
      </c>
      <c r="B91" s="3150" t="s">
        <v>2979</v>
      </c>
      <c r="C91" s="2853" t="s">
        <v>2980</v>
      </c>
      <c r="D91" s="2854"/>
      <c r="E91" s="2854"/>
      <c r="F91" s="2854"/>
      <c r="G91" s="2854"/>
      <c r="H91" s="2854"/>
      <c r="I91" s="2854"/>
      <c r="J91" s="2900"/>
      <c r="K91" s="2901"/>
      <c r="L91" s="2901"/>
      <c r="M91" s="2901"/>
      <c r="N91" s="2901"/>
    </row>
    <row r="92" spans="1:37">
      <c r="A92" s="3150"/>
      <c r="B92" s="3150"/>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151" t="s">
        <v>2981</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2"/>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2"/>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2"/>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2"/>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2"/>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2"/>
      <c r="B99" s="2902" t="s">
        <v>2860</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153"/>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151" t="s">
        <v>2982</v>
      </c>
      <c r="B101" s="2906" t="s">
        <v>2983</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152"/>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152"/>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152"/>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152"/>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152"/>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152"/>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152"/>
      <c r="B108" s="3077" t="s">
        <v>2984</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153"/>
      <c r="B109" s="3078"/>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149" t="s">
        <v>2985</v>
      </c>
      <c r="B110" s="3149"/>
      <c r="C110" s="3149"/>
      <c r="D110" s="3149"/>
      <c r="E110" s="3149"/>
      <c r="F110" s="3149"/>
      <c r="G110" s="3149"/>
      <c r="H110" s="3149"/>
      <c r="I110" s="3149"/>
      <c r="J110" s="3149"/>
      <c r="K110" s="2908"/>
      <c r="L110" s="2908"/>
      <c r="M110" s="2908"/>
      <c r="N110" s="2908"/>
    </row>
    <row r="112" spans="1:14" ht="13.5" thickBot="1"/>
    <row r="113" spans="1:13" ht="25.5" thickBot="1">
      <c r="A113" s="903" t="s">
        <v>2986</v>
      </c>
      <c r="B113" s="1290" t="e">
        <f>G3</f>
        <v>#DIV/0!</v>
      </c>
      <c r="C113" s="904" t="s">
        <v>2987</v>
      </c>
      <c r="D113" s="905" t="e">
        <f>SUMPRODUCT((A115:A118=F113)*(B114:M114=H113)*B115:M118)</f>
        <v>#DIV/0!</v>
      </c>
      <c r="E113" s="2731" t="s">
        <v>2817</v>
      </c>
      <c r="F113" s="2910">
        <f>E2</f>
        <v>0</v>
      </c>
      <c r="G113" s="2731" t="s">
        <v>2818</v>
      </c>
      <c r="H113" s="2910">
        <f>G2</f>
        <v>0</v>
      </c>
      <c r="I113" s="2731"/>
      <c r="J113" s="2911"/>
      <c r="K113" s="2911"/>
      <c r="L113" s="2911"/>
      <c r="M113" s="2911"/>
    </row>
    <row r="114" spans="1:13">
      <c r="A114" s="908"/>
      <c r="B114" s="2912" t="s">
        <v>2988</v>
      </c>
      <c r="C114" s="2912" t="s">
        <v>2989</v>
      </c>
      <c r="D114" s="2912" t="s">
        <v>2990</v>
      </c>
      <c r="E114" s="2913" t="s">
        <v>2991</v>
      </c>
      <c r="F114" s="2913" t="s">
        <v>2992</v>
      </c>
      <c r="G114" s="2913" t="s">
        <v>2993</v>
      </c>
      <c r="H114" s="2914" t="s">
        <v>2994</v>
      </c>
      <c r="I114" s="2914" t="s">
        <v>2995</v>
      </c>
      <c r="J114" s="2915" t="s">
        <v>2996</v>
      </c>
      <c r="K114" s="2915" t="s">
        <v>2997</v>
      </c>
      <c r="L114" s="2915" t="s">
        <v>2998</v>
      </c>
      <c r="M114" s="2916" t="s">
        <v>2999</v>
      </c>
    </row>
    <row r="115" spans="1:13">
      <c r="A115" s="909" t="s">
        <v>2882</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2883</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2884</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2885</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9" sqref="G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67" t="s">
        <v>2651</v>
      </c>
      <c r="AC4" s="3166" t="s">
        <v>2652</v>
      </c>
    </row>
    <row r="5" spans="1:30" ht="15">
      <c r="A5" s="404"/>
      <c r="B5" s="405"/>
      <c r="C5" s="3177" t="s">
        <v>2545</v>
      </c>
      <c r="D5" s="3178"/>
      <c r="E5" s="3175" t="s">
        <v>2546</v>
      </c>
      <c r="F5" s="3176"/>
      <c r="G5" s="3177" t="s">
        <v>2547</v>
      </c>
      <c r="H5" s="3178"/>
      <c r="I5" s="3177" t="s">
        <v>2548</v>
      </c>
      <c r="J5" s="3178"/>
      <c r="K5" s="610"/>
      <c r="L5" s="1133"/>
      <c r="M5" s="1134"/>
      <c r="N5" s="1134"/>
      <c r="O5" s="1134"/>
      <c r="P5" s="3190"/>
      <c r="Q5" s="3191"/>
      <c r="R5" s="3173"/>
      <c r="S5" s="3174"/>
      <c r="T5" s="3173"/>
      <c r="U5" s="3174"/>
      <c r="V5" s="3196"/>
      <c r="W5" s="3196"/>
      <c r="X5" s="1816"/>
      <c r="Y5" s="3173"/>
      <c r="Z5" s="3174"/>
      <c r="AA5" s="3167"/>
      <c r="AB5" s="3167"/>
      <c r="AC5" s="3167"/>
    </row>
    <row r="6" spans="1:30" ht="15.75" thickBot="1">
      <c r="A6" s="406"/>
      <c r="B6" s="407"/>
      <c r="C6" s="3179" t="s">
        <v>2549</v>
      </c>
      <c r="D6" s="3180"/>
      <c r="E6" s="3181" t="s">
        <v>2549</v>
      </c>
      <c r="F6" s="3182"/>
      <c r="G6" s="3179" t="s">
        <v>2549</v>
      </c>
      <c r="H6" s="3180"/>
      <c r="I6" s="3179" t="s">
        <v>2549</v>
      </c>
      <c r="J6" s="3180"/>
      <c r="K6" s="610" t="s">
        <v>2550</v>
      </c>
      <c r="L6" s="1133"/>
      <c r="M6" s="1134"/>
      <c r="N6" s="1134"/>
      <c r="O6" s="1134"/>
      <c r="P6" s="3192"/>
      <c r="Q6" s="3193"/>
      <c r="R6" s="3173"/>
      <c r="S6" s="3174"/>
      <c r="T6" s="3194"/>
      <c r="U6" s="3195"/>
      <c r="V6" s="3196"/>
      <c r="W6" s="3196"/>
      <c r="X6" s="1816"/>
      <c r="Y6" s="3194"/>
      <c r="Z6" s="3195"/>
      <c r="AA6" s="3168"/>
      <c r="AB6" s="3168"/>
      <c r="AC6" s="3168"/>
    </row>
    <row r="7" spans="1:30" s="117" customFormat="1" ht="15.75" thickBot="1">
      <c r="A7" s="408" t="s">
        <v>2551</v>
      </c>
      <c r="B7" s="409"/>
      <c r="C7" s="410">
        <f>'数据-取费表'!B2</f>
        <v>43354</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69" t="s">
        <v>2552</v>
      </c>
      <c r="Q7" s="3197"/>
      <c r="R7" s="770" t="s">
        <v>17</v>
      </c>
      <c r="S7" s="771">
        <f t="shared" ref="S7:S15" si="0">F7</f>
        <v>0</v>
      </c>
      <c r="T7" s="770" t="s">
        <v>17</v>
      </c>
      <c r="U7" s="771">
        <f t="shared" ref="U7:U15" si="1">H7</f>
        <v>0</v>
      </c>
      <c r="V7" s="770" t="s">
        <v>17</v>
      </c>
      <c r="W7" s="771">
        <f t="shared" ref="W7:W15" si="2">J7</f>
        <v>0</v>
      </c>
      <c r="X7" s="772"/>
      <c r="Y7" s="3169" t="s">
        <v>2552</v>
      </c>
      <c r="Z7" s="3170"/>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9" t="s">
        <v>2555</v>
      </c>
      <c r="Q8" s="3170"/>
      <c r="R8" s="770" t="s">
        <v>17</v>
      </c>
      <c r="S8" s="771">
        <f t="shared" si="0"/>
        <v>0</v>
      </c>
      <c r="T8" s="770" t="s">
        <v>17</v>
      </c>
      <c r="U8" s="771">
        <f t="shared" si="1"/>
        <v>0</v>
      </c>
      <c r="V8" s="770" t="s">
        <v>17</v>
      </c>
      <c r="W8" s="771">
        <f t="shared" si="2"/>
        <v>0</v>
      </c>
      <c r="X8" s="772"/>
      <c r="Y8" s="3169" t="s">
        <v>2555</v>
      </c>
      <c r="Z8" s="3170"/>
      <c r="AA8" s="773" t="e">
        <f t="shared" ref="AA8:AA45" si="3">D8/F8</f>
        <v>#DIV/0!</v>
      </c>
      <c r="AB8" s="773" t="e">
        <f t="shared" ref="AB8:AB45" si="4">D8/H8</f>
        <v>#DIV/0!</v>
      </c>
      <c r="AC8" s="773" t="e">
        <f t="shared" ref="AC8:AC45" si="5">D8/J8</f>
        <v>#DIV/0!</v>
      </c>
    </row>
    <row r="9" spans="1:30" s="117" customFormat="1">
      <c r="A9" s="415" t="s">
        <v>2556</v>
      </c>
      <c r="B9" s="71" t="s">
        <v>2557</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83" t="s">
        <v>2558</v>
      </c>
      <c r="Q9" s="1798" t="str">
        <f t="shared" ref="Q9:Q15" si="6">B9</f>
        <v>用途</v>
      </c>
      <c r="R9" s="770" t="s">
        <v>17</v>
      </c>
      <c r="S9" s="771">
        <f t="shared" si="0"/>
        <v>100</v>
      </c>
      <c r="T9" s="770" t="s">
        <v>17</v>
      </c>
      <c r="U9" s="771">
        <f t="shared" si="1"/>
        <v>100</v>
      </c>
      <c r="V9" s="770" t="s">
        <v>17</v>
      </c>
      <c r="W9" s="771">
        <f t="shared" si="2"/>
        <v>100</v>
      </c>
      <c r="X9" s="772"/>
      <c r="Y9" s="3023"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183"/>
      <c r="Q10" s="1798" t="str">
        <f t="shared" si="6"/>
        <v>土地使用年限（年）</v>
      </c>
      <c r="R10" s="770" t="s">
        <v>17</v>
      </c>
      <c r="S10" s="771">
        <f t="shared" si="0"/>
        <v>102</v>
      </c>
      <c r="T10" s="770" t="s">
        <v>17</v>
      </c>
      <c r="U10" s="771">
        <f t="shared" si="1"/>
        <v>102</v>
      </c>
      <c r="V10" s="770" t="s">
        <v>17</v>
      </c>
      <c r="W10" s="771">
        <f t="shared" si="2"/>
        <v>102</v>
      </c>
      <c r="X10" s="772"/>
      <c r="Y10" s="3023"/>
      <c r="Z10" s="55" t="str">
        <f t="shared" si="7"/>
        <v>土地使用年限（年）</v>
      </c>
      <c r="AA10" s="773">
        <f t="shared" si="3"/>
        <v>0.98039215686274506</v>
      </c>
      <c r="AB10" s="773">
        <f t="shared" si="4"/>
        <v>0.98039215686274506</v>
      </c>
      <c r="AC10" s="773">
        <f t="shared" si="5"/>
        <v>0.98039215686274506</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3"/>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607"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3"/>
      <c r="Q12" s="1798"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2562</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8" t="s">
        <v>2563</v>
      </c>
      <c r="Q15" s="1813" t="str">
        <f t="shared" si="6"/>
        <v>居住社区成熟度</v>
      </c>
      <c r="R15" s="774" t="s">
        <v>17</v>
      </c>
      <c r="S15" s="775">
        <f t="shared" si="0"/>
        <v>100</v>
      </c>
      <c r="T15" s="774" t="s">
        <v>17</v>
      </c>
      <c r="U15" s="775">
        <f t="shared" si="1"/>
        <v>100</v>
      </c>
      <c r="V15" s="774" t="s">
        <v>17</v>
      </c>
      <c r="W15" s="775">
        <f t="shared" si="2"/>
        <v>100</v>
      </c>
      <c r="X15" s="1816"/>
      <c r="Y15" s="3198" t="s">
        <v>2563</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9"/>
      <c r="Q16" s="1813"/>
      <c r="R16" s="774"/>
      <c r="S16" s="775"/>
      <c r="T16" s="774"/>
      <c r="U16" s="775"/>
      <c r="V16" s="774"/>
      <c r="W16" s="775"/>
      <c r="X16" s="1816"/>
      <c r="Y16" s="3199"/>
      <c r="Z16" s="1817"/>
      <c r="AA16" s="1814">
        <v>1</v>
      </c>
      <c r="AB16" s="1814">
        <v>1</v>
      </c>
      <c r="AC16" s="1814">
        <v>1</v>
      </c>
    </row>
    <row r="17" spans="1:29" ht="71.25">
      <c r="A17" s="428"/>
      <c r="B17" s="451" t="s">
        <v>2656</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9"/>
      <c r="Q17" s="1813" t="str">
        <f>B17</f>
        <v>商业繁华度</v>
      </c>
      <c r="R17" s="774" t="s">
        <v>17</v>
      </c>
      <c r="S17" s="775">
        <f>F17</f>
        <v>100</v>
      </c>
      <c r="T17" s="774" t="s">
        <v>17</v>
      </c>
      <c r="U17" s="775">
        <f>H17</f>
        <v>100</v>
      </c>
      <c r="V17" s="774" t="s">
        <v>17</v>
      </c>
      <c r="W17" s="775">
        <f>J17</f>
        <v>100</v>
      </c>
      <c r="X17" s="1816"/>
      <c r="Y17" s="3199"/>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9"/>
      <c r="Q18" s="1813"/>
      <c r="R18" s="774"/>
      <c r="S18" s="775"/>
      <c r="T18" s="774"/>
      <c r="U18" s="775"/>
      <c r="V18" s="774"/>
      <c r="W18" s="775"/>
      <c r="X18" s="1816"/>
      <c r="Y18" s="3199"/>
      <c r="Z18" s="1817"/>
      <c r="AA18" s="1814">
        <v>1</v>
      </c>
      <c r="AB18" s="1814">
        <v>1</v>
      </c>
      <c r="AC18" s="1814">
        <v>1</v>
      </c>
    </row>
    <row r="19" spans="1:29" ht="71.25">
      <c r="A19" s="428"/>
      <c r="B19" s="451" t="s">
        <v>2690</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9"/>
      <c r="Q19" s="1813" t="str">
        <f>B19</f>
        <v>办公集聚程度</v>
      </c>
      <c r="R19" s="774" t="s">
        <v>17</v>
      </c>
      <c r="S19" s="775">
        <f>F19</f>
        <v>100</v>
      </c>
      <c r="T19" s="774" t="s">
        <v>17</v>
      </c>
      <c r="U19" s="775">
        <f>H19</f>
        <v>100</v>
      </c>
      <c r="V19" s="774" t="s">
        <v>17</v>
      </c>
      <c r="W19" s="775">
        <f>J19</f>
        <v>100</v>
      </c>
      <c r="X19" s="1816"/>
      <c r="Y19" s="3199"/>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9"/>
      <c r="Q20" s="1813"/>
      <c r="R20" s="774"/>
      <c r="S20" s="775"/>
      <c r="T20" s="774"/>
      <c r="U20" s="775"/>
      <c r="V20" s="774"/>
      <c r="W20" s="775"/>
      <c r="X20" s="1816"/>
      <c r="Y20" s="3199"/>
      <c r="Z20" s="1817"/>
      <c r="AA20" s="1814">
        <v>1</v>
      </c>
      <c r="AB20" s="1814">
        <v>1</v>
      </c>
      <c r="AC20" s="1814">
        <v>1</v>
      </c>
    </row>
    <row r="21" spans="1:29" ht="85.5">
      <c r="A21" s="428"/>
      <c r="B21" s="451" t="s">
        <v>2712</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9"/>
      <c r="Q21" s="1813" t="str">
        <f>B21</f>
        <v>交通便捷度</v>
      </c>
      <c r="R21" s="774" t="s">
        <v>17</v>
      </c>
      <c r="S21" s="775">
        <f>F21</f>
        <v>100</v>
      </c>
      <c r="T21" s="774" t="s">
        <v>17</v>
      </c>
      <c r="U21" s="775">
        <f>H21</f>
        <v>100</v>
      </c>
      <c r="V21" s="774" t="s">
        <v>17</v>
      </c>
      <c r="W21" s="775">
        <f>J21</f>
        <v>100</v>
      </c>
      <c r="X21" s="1816"/>
      <c r="Y21" s="3199"/>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9"/>
      <c r="Q22" s="1813"/>
      <c r="R22" s="774"/>
      <c r="S22" s="775"/>
      <c r="T22" s="774"/>
      <c r="U22" s="775"/>
      <c r="V22" s="774"/>
      <c r="W22" s="775"/>
      <c r="X22" s="1816"/>
      <c r="Y22" s="3199"/>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9"/>
      <c r="Q23" s="1813" t="str">
        <f t="shared" ref="Q23:Q37" si="8">B23</f>
        <v>区域土地利用方向</v>
      </c>
      <c r="R23" s="774" t="s">
        <v>17</v>
      </c>
      <c r="S23" s="775">
        <f>F23</f>
        <v>100</v>
      </c>
      <c r="T23" s="774" t="s">
        <v>17</v>
      </c>
      <c r="U23" s="775">
        <f>H23</f>
        <v>100</v>
      </c>
      <c r="V23" s="774" t="s">
        <v>17</v>
      </c>
      <c r="W23" s="775">
        <f>J23</f>
        <v>100</v>
      </c>
      <c r="X23" s="1816"/>
      <c r="Y23" s="3199"/>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9"/>
      <c r="Q24" s="1813"/>
      <c r="R24" s="774"/>
      <c r="S24" s="775"/>
      <c r="T24" s="774"/>
      <c r="U24" s="775"/>
      <c r="V24" s="774"/>
      <c r="W24" s="775"/>
      <c r="X24" s="1816"/>
      <c r="Y24" s="3199"/>
      <c r="Z24" s="1817"/>
      <c r="AA24" s="1814"/>
      <c r="AB24" s="1814"/>
      <c r="AC24" s="1814"/>
    </row>
    <row r="25" spans="1:29" ht="57">
      <c r="A25" s="404"/>
      <c r="B25" s="1387" t="s">
        <v>2752</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9"/>
      <c r="Q25" s="1813" t="str">
        <f t="shared" si="8"/>
        <v>自然及人文环境状况</v>
      </c>
      <c r="R25" s="774" t="s">
        <v>17</v>
      </c>
      <c r="S25" s="775">
        <f>F25</f>
        <v>100</v>
      </c>
      <c r="T25" s="774" t="s">
        <v>17</v>
      </c>
      <c r="U25" s="775">
        <f>H25</f>
        <v>100</v>
      </c>
      <c r="V25" s="774" t="s">
        <v>17</v>
      </c>
      <c r="W25" s="775">
        <f>J25</f>
        <v>100</v>
      </c>
      <c r="X25" s="1816"/>
      <c r="Y25" s="3199"/>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9"/>
      <c r="Q26" s="1813"/>
      <c r="R26" s="774"/>
      <c r="S26" s="775"/>
      <c r="T26" s="774"/>
      <c r="U26" s="775"/>
      <c r="V26" s="774"/>
      <c r="W26" s="775"/>
      <c r="X26" s="1816"/>
      <c r="Y26" s="3199"/>
      <c r="Z26" s="1817"/>
      <c r="AA26" s="1814">
        <v>1</v>
      </c>
      <c r="AB26" s="1814">
        <v>1</v>
      </c>
      <c r="AC26" s="1814">
        <v>1</v>
      </c>
    </row>
    <row r="27" spans="1:29" s="117" customFormat="1" ht="42.75">
      <c r="A27" s="649"/>
      <c r="B27" s="1387" t="s">
        <v>2657</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9"/>
      <c r="Q27" s="1798" t="str">
        <f t="shared" si="8"/>
        <v>公共配套设施</v>
      </c>
      <c r="R27" s="770" t="s">
        <v>17</v>
      </c>
      <c r="S27" s="771">
        <f>F27</f>
        <v>100</v>
      </c>
      <c r="T27" s="770" t="s">
        <v>17</v>
      </c>
      <c r="U27" s="771">
        <f>H27</f>
        <v>100</v>
      </c>
      <c r="V27" s="770" t="s">
        <v>17</v>
      </c>
      <c r="W27" s="771">
        <f>J27</f>
        <v>100</v>
      </c>
      <c r="X27" s="772"/>
      <c r="Y27" s="3199"/>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9"/>
      <c r="Q28" s="1798"/>
      <c r="R28" s="770"/>
      <c r="S28" s="771"/>
      <c r="T28" s="770"/>
      <c r="U28" s="771"/>
      <c r="V28" s="770"/>
      <c r="W28" s="771"/>
      <c r="X28" s="772"/>
      <c r="Y28" s="3199"/>
      <c r="Z28" s="55"/>
      <c r="AA28" s="1814">
        <v>1</v>
      </c>
      <c r="AB28" s="1814">
        <v>1</v>
      </c>
      <c r="AC28" s="1814">
        <v>1</v>
      </c>
    </row>
    <row r="29" spans="1:29" s="117" customFormat="1" ht="28.5">
      <c r="A29" s="649"/>
      <c r="B29" s="1387" t="s">
        <v>2658</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9"/>
      <c r="Q29" s="1798" t="str">
        <f t="shared" ref="Q29" si="9">B29</f>
        <v>基础设施水平</v>
      </c>
      <c r="R29" s="770" t="s">
        <v>17</v>
      </c>
      <c r="S29" s="771">
        <f>F29</f>
        <v>100</v>
      </c>
      <c r="T29" s="770" t="s">
        <v>17</v>
      </c>
      <c r="U29" s="771">
        <f>H29</f>
        <v>100</v>
      </c>
      <c r="V29" s="770" t="s">
        <v>17</v>
      </c>
      <c r="W29" s="771">
        <f>J29</f>
        <v>100</v>
      </c>
      <c r="X29" s="772"/>
      <c r="Y29" s="3199"/>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9"/>
      <c r="Q30" s="1798"/>
      <c r="R30" s="770"/>
      <c r="S30" s="771"/>
      <c r="T30" s="770"/>
      <c r="U30" s="771"/>
      <c r="V30" s="770"/>
      <c r="W30" s="771"/>
      <c r="X30" s="772"/>
      <c r="Y30" s="3199"/>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9"/>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9"/>
      <c r="Q32" s="1813" t="str">
        <f t="shared" si="8"/>
        <v>毗邻道路的类型与等级</v>
      </c>
      <c r="R32" s="774" t="s">
        <v>17</v>
      </c>
      <c r="S32" s="775">
        <f t="shared" si="10"/>
        <v>100</v>
      </c>
      <c r="T32" s="774" t="s">
        <v>17</v>
      </c>
      <c r="U32" s="775">
        <f t="shared" si="11"/>
        <v>100</v>
      </c>
      <c r="V32" s="774" t="s">
        <v>17</v>
      </c>
      <c r="W32" s="775">
        <f t="shared" si="12"/>
        <v>100</v>
      </c>
      <c r="X32" s="1816"/>
      <c r="Y32" s="319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9"/>
      <c r="Q33" s="1813"/>
      <c r="R33" s="774"/>
      <c r="S33" s="775"/>
      <c r="T33" s="774"/>
      <c r="U33" s="775"/>
      <c r="V33" s="774"/>
      <c r="W33" s="775"/>
      <c r="X33" s="1816"/>
      <c r="Y33" s="3199"/>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9"/>
      <c r="Q34" s="1813" t="str">
        <f t="shared" si="8"/>
        <v>土地级别</v>
      </c>
      <c r="R34" s="774" t="s">
        <v>17</v>
      </c>
      <c r="S34" s="775">
        <f t="shared" si="10"/>
        <v>100</v>
      </c>
      <c r="T34" s="774" t="s">
        <v>17</v>
      </c>
      <c r="U34" s="775">
        <f t="shared" si="11"/>
        <v>100</v>
      </c>
      <c r="V34" s="774" t="s">
        <v>17</v>
      </c>
      <c r="W34" s="775">
        <f t="shared" si="12"/>
        <v>100</v>
      </c>
      <c r="X34" s="1816"/>
      <c r="Y34" s="319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9"/>
      <c r="Q35" s="1813">
        <f t="shared" si="8"/>
        <v>111</v>
      </c>
      <c r="R35" s="774" t="s">
        <v>17</v>
      </c>
      <c r="S35" s="775">
        <f t="shared" si="10"/>
        <v>100</v>
      </c>
      <c r="T35" s="774" t="s">
        <v>17</v>
      </c>
      <c r="U35" s="775">
        <f t="shared" si="11"/>
        <v>100</v>
      </c>
      <c r="V35" s="774" t="s">
        <v>17</v>
      </c>
      <c r="W35" s="775">
        <f t="shared" si="12"/>
        <v>100</v>
      </c>
      <c r="X35" s="1816"/>
      <c r="Y35" s="319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0" t="s">
        <v>2568</v>
      </c>
      <c r="Q36" s="1813">
        <f t="shared" si="8"/>
        <v>111</v>
      </c>
      <c r="R36" s="774" t="s">
        <v>17</v>
      </c>
      <c r="S36" s="775">
        <f t="shared" si="10"/>
        <v>100</v>
      </c>
      <c r="T36" s="774" t="s">
        <v>17</v>
      </c>
      <c r="U36" s="775">
        <f t="shared" si="11"/>
        <v>100</v>
      </c>
      <c r="V36" s="774" t="s">
        <v>17</v>
      </c>
      <c r="W36" s="775">
        <f t="shared" si="12"/>
        <v>100</v>
      </c>
      <c r="X36" s="1816"/>
      <c r="Y36" s="3201"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1"/>
      <c r="Q37" s="1813">
        <f t="shared" si="8"/>
        <v>111</v>
      </c>
      <c r="R37" s="777" t="s">
        <v>17</v>
      </c>
      <c r="S37" s="778">
        <f t="shared" si="10"/>
        <v>100</v>
      </c>
      <c r="T37" s="777" t="s">
        <v>17</v>
      </c>
      <c r="U37" s="778">
        <f t="shared" si="11"/>
        <v>100</v>
      </c>
      <c r="V37" s="777" t="s">
        <v>17</v>
      </c>
      <c r="W37" s="778">
        <f t="shared" si="12"/>
        <v>100</v>
      </c>
      <c r="X37" s="779"/>
      <c r="Y37" s="3201"/>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1"/>
      <c r="Q38" s="1813" t="str">
        <f>B38</f>
        <v>宗地面积</v>
      </c>
      <c r="R38" s="774" t="s">
        <v>17</v>
      </c>
      <c r="S38" s="775" t="e">
        <f t="shared" si="10"/>
        <v>#N/A</v>
      </c>
      <c r="T38" s="774" t="s">
        <v>17</v>
      </c>
      <c r="U38" s="775" t="e">
        <f t="shared" si="11"/>
        <v>#N/A</v>
      </c>
      <c r="V38" s="774" t="s">
        <v>17</v>
      </c>
      <c r="W38" s="775" t="e">
        <f t="shared" si="12"/>
        <v>#N/A</v>
      </c>
      <c r="X38" s="1816"/>
      <c r="Y38" s="3201"/>
      <c r="Z38" s="1817" t="str">
        <f t="shared" si="13"/>
        <v>宗地面积</v>
      </c>
      <c r="AA38" s="1814" t="e">
        <f t="shared" si="3"/>
        <v>#N/A</v>
      </c>
      <c r="AB38" s="1814" t="e">
        <f t="shared" si="4"/>
        <v>#N/A</v>
      </c>
      <c r="AC38" s="1814" t="e">
        <f t="shared" si="5"/>
        <v>#N/A</v>
      </c>
    </row>
    <row r="39" spans="1:29" ht="15">
      <c r="A39" s="472"/>
      <c r="B39" s="422" t="s">
        <v>2755</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01"/>
      <c r="Q39" s="1813" t="str">
        <f t="shared" ref="Q39:Q45" si="14">B39</f>
        <v>宗地形状</v>
      </c>
      <c r="R39" s="774" t="s">
        <v>17</v>
      </c>
      <c r="S39" s="775">
        <f t="shared" si="10"/>
        <v>100</v>
      </c>
      <c r="T39" s="774" t="s">
        <v>17</v>
      </c>
      <c r="U39" s="775">
        <f t="shared" si="11"/>
        <v>100</v>
      </c>
      <c r="V39" s="774" t="s">
        <v>17</v>
      </c>
      <c r="W39" s="775">
        <f t="shared" si="12"/>
        <v>100</v>
      </c>
      <c r="X39" s="1816"/>
      <c r="Y39" s="3201"/>
      <c r="Z39" s="1817" t="str">
        <f t="shared" si="13"/>
        <v>宗地形状</v>
      </c>
      <c r="AA39" s="1814">
        <f t="shared" si="3"/>
        <v>1</v>
      </c>
      <c r="AB39" s="1814">
        <f t="shared" si="4"/>
        <v>1</v>
      </c>
      <c r="AC39" s="1814">
        <f t="shared" si="5"/>
        <v>1</v>
      </c>
    </row>
    <row r="40" spans="1:29" ht="15">
      <c r="A40" s="472"/>
      <c r="B40" s="422" t="s">
        <v>2756</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01"/>
      <c r="Q40" s="1813" t="str">
        <f t="shared" si="14"/>
        <v>临街宽度及深度</v>
      </c>
      <c r="R40" s="774" t="s">
        <v>17</v>
      </c>
      <c r="S40" s="775">
        <f t="shared" si="10"/>
        <v>100</v>
      </c>
      <c r="T40" s="774" t="s">
        <v>17</v>
      </c>
      <c r="U40" s="775">
        <f t="shared" si="11"/>
        <v>100</v>
      </c>
      <c r="V40" s="774" t="s">
        <v>17</v>
      </c>
      <c r="W40" s="775">
        <f t="shared" si="12"/>
        <v>100</v>
      </c>
      <c r="X40" s="1816"/>
      <c r="Y40" s="3201"/>
      <c r="Z40" s="1817" t="str">
        <f t="shared" si="13"/>
        <v>临街宽度及深度</v>
      </c>
      <c r="AA40" s="1814">
        <f t="shared" si="3"/>
        <v>1</v>
      </c>
      <c r="AB40" s="1814">
        <f t="shared" si="4"/>
        <v>1</v>
      </c>
      <c r="AC40" s="1814">
        <f t="shared" si="5"/>
        <v>1</v>
      </c>
    </row>
    <row r="41" spans="1:29" s="117" customFormat="1" ht="15">
      <c r="A41" s="473"/>
      <c r="B41" s="422" t="s">
        <v>2757</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01"/>
      <c r="Q41" s="1813"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2758</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01" t="s">
        <v>2568</v>
      </c>
      <c r="Q42" s="1813" t="str">
        <f t="shared" si="14"/>
        <v>工程地质条件</v>
      </c>
      <c r="R42" s="774" t="s">
        <v>17</v>
      </c>
      <c r="S42" s="775">
        <f t="shared" si="10"/>
        <v>100</v>
      </c>
      <c r="T42" s="774" t="s">
        <v>17</v>
      </c>
      <c r="U42" s="775">
        <f t="shared" si="11"/>
        <v>100</v>
      </c>
      <c r="V42" s="774" t="s">
        <v>17</v>
      </c>
      <c r="W42" s="775">
        <f t="shared" si="12"/>
        <v>100</v>
      </c>
      <c r="X42" s="1816"/>
      <c r="Y42" s="3201"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1"/>
      <c r="Q43" s="1813">
        <f t="shared" si="14"/>
        <v>111</v>
      </c>
      <c r="R43" s="774" t="s">
        <v>17</v>
      </c>
      <c r="S43" s="775">
        <f t="shared" si="10"/>
        <v>100</v>
      </c>
      <c r="T43" s="774" t="s">
        <v>17</v>
      </c>
      <c r="U43" s="775">
        <f t="shared" si="11"/>
        <v>100</v>
      </c>
      <c r="V43" s="774" t="s">
        <v>17</v>
      </c>
      <c r="W43" s="775">
        <f t="shared" si="12"/>
        <v>100</v>
      </c>
      <c r="X43" s="1816"/>
      <c r="Y43" s="320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1"/>
      <c r="Q44" s="1813">
        <f t="shared" si="14"/>
        <v>111</v>
      </c>
      <c r="R44" s="774" t="s">
        <v>17</v>
      </c>
      <c r="S44" s="775">
        <f t="shared" si="10"/>
        <v>100</v>
      </c>
      <c r="T44" s="774" t="s">
        <v>17</v>
      </c>
      <c r="U44" s="775">
        <f t="shared" si="11"/>
        <v>100</v>
      </c>
      <c r="V44" s="774" t="s">
        <v>17</v>
      </c>
      <c r="W44" s="775">
        <f t="shared" si="12"/>
        <v>100</v>
      </c>
      <c r="X44" s="1816"/>
      <c r="Y44" s="3201"/>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1"/>
      <c r="Q45" s="1813">
        <f t="shared" si="14"/>
        <v>111</v>
      </c>
      <c r="R45" s="777" t="s">
        <v>17</v>
      </c>
      <c r="S45" s="778">
        <f t="shared" si="10"/>
        <v>100</v>
      </c>
      <c r="T45" s="777" t="s">
        <v>17</v>
      </c>
      <c r="U45" s="778">
        <f t="shared" si="11"/>
        <v>100</v>
      </c>
      <c r="V45" s="777" t="s">
        <v>17</v>
      </c>
      <c r="W45" s="778">
        <f t="shared" si="12"/>
        <v>100</v>
      </c>
      <c r="X45" s="779"/>
      <c r="Y45" s="3201"/>
      <c r="Z45" s="780">
        <f t="shared" si="13"/>
        <v>111</v>
      </c>
      <c r="AA45" s="1814">
        <f t="shared" si="3"/>
        <v>1</v>
      </c>
      <c r="AB45" s="1814">
        <f t="shared" si="4"/>
        <v>1</v>
      </c>
      <c r="AC45" s="1814">
        <f t="shared" si="5"/>
        <v>1</v>
      </c>
    </row>
    <row r="46" spans="1:29" ht="15">
      <c r="A46" s="479" t="s">
        <v>2723</v>
      </c>
      <c r="B46" s="2711" t="s">
        <v>2759</v>
      </c>
      <c r="C46" s="682" t="s">
        <v>1</v>
      </c>
      <c r="D46" s="481"/>
      <c r="E46" s="482"/>
      <c r="F46" s="483"/>
      <c r="G46" s="484"/>
      <c r="H46" s="485"/>
      <c r="I46" s="482"/>
      <c r="J46" s="485"/>
      <c r="K46" s="783"/>
      <c r="L46" s="1146"/>
      <c r="M46" s="1147"/>
      <c r="N46" s="1134"/>
      <c r="O46" s="1147"/>
      <c r="P46" s="3183" t="str">
        <f>A46</f>
        <v>成交单价</v>
      </c>
      <c r="Q46" s="3183"/>
      <c r="R46" s="3196">
        <f>E46</f>
        <v>0</v>
      </c>
      <c r="S46" s="3196"/>
      <c r="T46" s="3196">
        <f>G46</f>
        <v>0</v>
      </c>
      <c r="U46" s="3196"/>
      <c r="V46" s="3196">
        <f>I46</f>
        <v>0</v>
      </c>
      <c r="W46" s="3196"/>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83" t="str">
        <f>A47</f>
        <v>比较价值（元/平方米）</v>
      </c>
      <c r="Q47" s="3183"/>
      <c r="R47" s="3202" t="e">
        <f>ROUND(PRODUCT(R46,AA7:AA45),0)</f>
        <v>#DIV/0!</v>
      </c>
      <c r="S47" s="3202"/>
      <c r="T47" s="3202" t="e">
        <f>ROUND(PRODUCT(T46,AB7:AB45),0)</f>
        <v>#DIV/0!</v>
      </c>
      <c r="U47" s="3202"/>
      <c r="V47" s="3202" t="e">
        <f>ROUND(PRODUCT(V46,AC7:AC45),0)</f>
        <v>#DIV/0!</v>
      </c>
      <c r="W47" s="3202"/>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03" t="str">
        <f>A48</f>
        <v>估价对象XX用房的比较价值（楼面单价，元/平方米）</v>
      </c>
      <c r="Q48" s="3204"/>
      <c r="R48" s="3205" t="e">
        <f>ROUND(AVERAGE(R47:V47),0)</f>
        <v>#DIV/0!</v>
      </c>
      <c r="S48" s="3205"/>
      <c r="T48" s="3205"/>
      <c r="U48" s="3205"/>
      <c r="V48" s="3205"/>
      <c r="W48" s="320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2763</v>
      </c>
      <c r="D55" s="2713" t="s">
        <v>2764</v>
      </c>
      <c r="E55" s="686" t="s">
        <v>2765</v>
      </c>
      <c r="F55" s="1110" t="s">
        <v>2766</v>
      </c>
      <c r="G55" s="3184" t="s">
        <v>2767</v>
      </c>
      <c r="H55" s="3206"/>
      <c r="I55" s="144" t="s">
        <v>2768</v>
      </c>
      <c r="J55" s="2714">
        <f>项目基本情况!F35</f>
        <v>0</v>
      </c>
      <c r="K55" s="2715" t="s">
        <v>2769</v>
      </c>
      <c r="L55" s="1109"/>
      <c r="M55" s="1147"/>
      <c r="N55" s="1147"/>
      <c r="O55" s="1147"/>
    </row>
    <row r="56" spans="1:15" s="692" customFormat="1">
      <c r="A56" s="688" t="s">
        <v>2770</v>
      </c>
      <c r="B56" s="689" t="e">
        <f>C48</f>
        <v>#DIV/0!</v>
      </c>
      <c r="C56" s="690">
        <v>1</v>
      </c>
      <c r="D56" s="1166">
        <v>1</v>
      </c>
      <c r="E56" s="690">
        <f>'数据-汇总表'!E8+'数据-汇总表'!E9</f>
        <v>27766.729999999996</v>
      </c>
      <c r="F56" s="1106" t="e">
        <f t="shared" ref="F56:F65" si="15">ROUND(B56*E56/10000,0)</f>
        <v>#DIV/0!</v>
      </c>
      <c r="G56" s="3207"/>
      <c r="H56" s="3183"/>
      <c r="I56" s="1111">
        <v>1</v>
      </c>
      <c r="J56" s="1114">
        <v>1</v>
      </c>
      <c r="K56" s="1148"/>
      <c r="L56" s="944"/>
      <c r="M56" s="944"/>
      <c r="N56" s="944"/>
      <c r="O56" s="944"/>
    </row>
    <row r="57" spans="1:15" s="692" customFormat="1">
      <c r="A57" s="693" t="s">
        <v>2771</v>
      </c>
      <c r="B57" s="262" t="e">
        <f>ROUND($C$48*C57*D57,0)</f>
        <v>#DIV/0!</v>
      </c>
      <c r="C57" s="200">
        <f t="shared" ref="C57:C65" si="16">IF($C$55="北京市系数",I57,J57)</f>
        <v>0.6</v>
      </c>
      <c r="D57" s="1167">
        <v>0.25</v>
      </c>
      <c r="E57" s="694"/>
      <c r="F57" s="1106" t="e">
        <f t="shared" si="15"/>
        <v>#DIV/0!</v>
      </c>
      <c r="G57" s="3208" t="s">
        <v>2772</v>
      </c>
      <c r="H57" s="1107" t="str">
        <f>项目基本情况!B37</f>
        <v>八级</v>
      </c>
      <c r="I57" s="1111">
        <f>SUMIF(修正!A45:A56,H57,修正!B45:B56)</f>
        <v>0.6</v>
      </c>
      <c r="J57" s="1115"/>
      <c r="K57" s="1147"/>
      <c r="L57" s="944"/>
      <c r="M57" s="944"/>
      <c r="N57" s="944"/>
      <c r="O57" s="944"/>
    </row>
    <row r="58" spans="1:15" s="692" customFormat="1">
      <c r="A58" s="693" t="s">
        <v>2773</v>
      </c>
      <c r="B58" s="262" t="e">
        <f t="shared" ref="B58:B65" si="17">ROUND($C$48*C58*D58,0)</f>
        <v>#DIV/0!</v>
      </c>
      <c r="C58" s="200">
        <f t="shared" si="16"/>
        <v>0.3</v>
      </c>
      <c r="D58" s="1167">
        <v>0.25</v>
      </c>
      <c r="E58" s="694"/>
      <c r="F58" s="1106" t="e">
        <f t="shared" si="15"/>
        <v>#DIV/0!</v>
      </c>
      <c r="G58" s="3208"/>
      <c r="H58" s="1107" t="str">
        <f>项目基本情况!B37</f>
        <v>八级</v>
      </c>
      <c r="I58" s="1111">
        <f>SUMIF(修正!A45:A56,H58,修正!C45:C56)</f>
        <v>0.3</v>
      </c>
      <c r="J58" s="1115"/>
      <c r="K58" s="1148"/>
      <c r="L58" s="944"/>
      <c r="M58" s="944"/>
      <c r="N58" s="944"/>
      <c r="O58" s="944"/>
    </row>
    <row r="59" spans="1:15" s="692" customFormat="1">
      <c r="A59" s="693" t="s">
        <v>2774</v>
      </c>
      <c r="B59" s="262" t="e">
        <f t="shared" si="17"/>
        <v>#DIV/0!</v>
      </c>
      <c r="C59" s="200">
        <f t="shared" si="16"/>
        <v>0.2</v>
      </c>
      <c r="D59" s="1167">
        <v>0.25</v>
      </c>
      <c r="E59" s="694"/>
      <c r="F59" s="1106" t="e">
        <f t="shared" si="15"/>
        <v>#DIV/0!</v>
      </c>
      <c r="G59" s="3208"/>
      <c r="H59" s="1107" t="str">
        <f>项目基本情况!B37</f>
        <v>八级</v>
      </c>
      <c r="I59" s="1111">
        <f>SUMIF(修正!A45:A56,H59,修正!D45:D56)</f>
        <v>0.2</v>
      </c>
      <c r="J59" s="1115"/>
      <c r="K59" s="1147"/>
      <c r="L59" s="944"/>
      <c r="M59" s="944"/>
      <c r="N59" s="944"/>
      <c r="O59" s="944"/>
    </row>
    <row r="60" spans="1:15" s="692" customFormat="1">
      <c r="A60" s="693" t="s">
        <v>2775</v>
      </c>
      <c r="B60" s="262" t="e">
        <f t="shared" si="17"/>
        <v>#DIV/0!</v>
      </c>
      <c r="C60" s="200">
        <f t="shared" si="16"/>
        <v>0.2</v>
      </c>
      <c r="D60" s="1167">
        <v>0.25</v>
      </c>
      <c r="E60" s="694"/>
      <c r="F60" s="1106" t="e">
        <f t="shared" si="15"/>
        <v>#DIV/0!</v>
      </c>
      <c r="G60" s="3208"/>
      <c r="H60" s="1107" t="str">
        <f>项目基本情况!B37</f>
        <v>八级</v>
      </c>
      <c r="I60" s="1111">
        <f>SUMIF(修正!A45:A56,H60,修正!E45:E56)</f>
        <v>0.2</v>
      </c>
      <c r="J60" s="1115"/>
      <c r="K60" s="1148"/>
      <c r="L60" s="944"/>
      <c r="M60" s="944"/>
      <c r="N60" s="944"/>
      <c r="O60" s="944"/>
    </row>
    <row r="61" spans="1:15" s="692" customFormat="1">
      <c r="A61" s="693" t="s">
        <v>2776</v>
      </c>
      <c r="B61" s="262" t="e">
        <f t="shared" si="17"/>
        <v>#DIV/0!</v>
      </c>
      <c r="C61" s="200">
        <f t="shared" si="16"/>
        <v>0.2</v>
      </c>
      <c r="D61" s="1167">
        <v>0.25</v>
      </c>
      <c r="E61" s="261">
        <f>'数据-汇总表'!E11</f>
        <v>0</v>
      </c>
      <c r="F61" s="1106" t="e">
        <f t="shared" si="15"/>
        <v>#DIV/0!</v>
      </c>
      <c r="G61" s="2716" t="s">
        <v>2777</v>
      </c>
      <c r="H61" s="1107" t="str">
        <f>项目基本情况!C37</f>
        <v>八级</v>
      </c>
      <c r="I61" s="1111">
        <f>SUMIF(修正!A45:A56,H61,修正!F45:F56)</f>
        <v>0.2</v>
      </c>
      <c r="J61" s="1115"/>
      <c r="K61" s="1147"/>
      <c r="L61" s="944"/>
      <c r="M61" s="944"/>
      <c r="N61" s="944"/>
      <c r="O61" s="944"/>
    </row>
    <row r="62" spans="1:15" s="692" customFormat="1">
      <c r="A62" s="693" t="s">
        <v>2778</v>
      </c>
      <c r="B62" s="262" t="e">
        <f t="shared" si="17"/>
        <v>#DIV/0!</v>
      </c>
      <c r="C62" s="200">
        <f t="shared" si="16"/>
        <v>0.2</v>
      </c>
      <c r="D62" s="1167">
        <v>0.25</v>
      </c>
      <c r="E62" s="261">
        <f>'数据-汇总表'!E12</f>
        <v>1849.41</v>
      </c>
      <c r="F62" s="1106" t="e">
        <f t="shared" si="15"/>
        <v>#DIV/0!</v>
      </c>
      <c r="G62" s="1112" t="s">
        <v>2779</v>
      </c>
      <c r="H62" s="1107" t="str">
        <f>IF(G62="商业",项目基本情况!B37,IF(G62="办公",项目基本情况!C37,IF(G62="住宅",项目基本情况!D37,项目基本情况!E37)))</f>
        <v>八级</v>
      </c>
      <c r="I62" s="1111">
        <f>SUMIF(修正!A45:A56,H62,修正!G45:G56)</f>
        <v>0.2</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0.15</v>
      </c>
      <c r="D64" s="1167">
        <v>0.25</v>
      </c>
      <c r="E64" s="261">
        <f>'数据-汇总表'!E14</f>
        <v>0</v>
      </c>
      <c r="F64" s="1106" t="e">
        <f t="shared" si="15"/>
        <v>#DIV/0!</v>
      </c>
      <c r="G64" s="2716" t="s">
        <v>2772</v>
      </c>
      <c r="H64" s="1107" t="str">
        <f>项目基本情况!B37</f>
        <v>八级</v>
      </c>
      <c r="I64" s="1111">
        <f>SUMIF(修正!A45:A56,H64,修正!H45:H56)</f>
        <v>0.15</v>
      </c>
      <c r="J64" s="1115"/>
      <c r="K64" s="1148"/>
      <c r="L64" s="944"/>
      <c r="M64" s="944"/>
      <c r="N64" s="944"/>
      <c r="O64" s="944"/>
    </row>
    <row r="65" spans="1:17" s="692" customFormat="1" ht="15" thickBot="1">
      <c r="A65" s="693" t="s">
        <v>2783</v>
      </c>
      <c r="B65" s="262" t="e">
        <f t="shared" si="17"/>
        <v>#DIV/0!</v>
      </c>
      <c r="C65" s="200">
        <f t="shared" si="16"/>
        <v>0.15</v>
      </c>
      <c r="D65" s="1167">
        <v>0.25</v>
      </c>
      <c r="E65" s="261">
        <f>'数据-汇总表'!E15</f>
        <v>0</v>
      </c>
      <c r="F65" s="1106" t="e">
        <f t="shared" si="15"/>
        <v>#DIV/0!</v>
      </c>
      <c r="G65" s="2717" t="s">
        <v>2777</v>
      </c>
      <c r="H65" s="1117" t="str">
        <f>项目基本情况!C37</f>
        <v>八级</v>
      </c>
      <c r="I65" s="1113">
        <f>SUMIF(修正!A45:A56,H65,修正!H45:H56)</f>
        <v>0.15</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29616.139999999996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8" t="s">
        <v>2785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9" t="s">
        <v>2786</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11" sqref="F1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11</v>
      </c>
    </row>
    <row r="2" spans="1:33" ht="18" customHeight="1">
      <c r="A2" s="245" t="s">
        <v>2333</v>
      </c>
      <c r="B2" s="248">
        <f ca="1">C32</f>
        <v>60932</v>
      </c>
      <c r="C2" s="320" t="s">
        <v>2466</v>
      </c>
      <c r="D2" s="320"/>
      <c r="E2" s="320"/>
      <c r="F2" s="320"/>
      <c r="G2" s="320"/>
      <c r="H2" s="320"/>
      <c r="I2" s="320"/>
      <c r="J2" s="320"/>
      <c r="K2" s="320"/>
    </row>
    <row r="3" spans="1:33" ht="18" customHeight="1" thickBot="1">
      <c r="A3" s="247" t="s">
        <v>2335</v>
      </c>
      <c r="B3" s="248">
        <f ca="1">ROUND(B2*10000/IF(C1="",'数据-汇总表'!E3,INDIRECT("'数据-取费表'!K"&amp;$K$1)),0)</f>
        <v>20008</v>
      </c>
      <c r="C3" s="320" t="s">
        <v>2467</v>
      </c>
      <c r="D3" s="320"/>
      <c r="E3" s="320"/>
      <c r="F3" s="320"/>
      <c r="G3" s="320"/>
      <c r="H3" s="320"/>
      <c r="I3" s="320"/>
      <c r="J3" s="320"/>
      <c r="K3" s="320"/>
    </row>
    <row r="4" spans="1:33" s="959" customFormat="1" ht="16.5" customHeight="1">
      <c r="A4" s="956" t="s">
        <v>2468</v>
      </c>
      <c r="B4" s="957"/>
      <c r="C4" s="999">
        <f>SUM(C8:K8)</f>
        <v>66959</v>
      </c>
      <c r="D4" s="957"/>
      <c r="E4" s="957"/>
      <c r="F4" s="957"/>
      <c r="G4" s="957"/>
      <c r="H4" s="957"/>
      <c r="I4" s="957"/>
      <c r="J4" s="957"/>
      <c r="K4" s="958"/>
    </row>
    <row r="5" spans="1:33" s="963" customFormat="1" ht="25.5">
      <c r="A5" s="960" t="s">
        <v>2469</v>
      </c>
      <c r="B5" s="961" t="s">
        <v>2470</v>
      </c>
      <c r="C5" s="2561" t="s">
        <v>3100</v>
      </c>
      <c r="D5" s="2561" t="s">
        <v>3101</v>
      </c>
      <c r="E5" s="2561" t="s">
        <v>3102</v>
      </c>
      <c r="F5" s="2561" t="s">
        <v>3074</v>
      </c>
      <c r="G5" s="2561" t="s">
        <v>3070</v>
      </c>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v>22000</v>
      </c>
      <c r="D6" s="965">
        <v>20000</v>
      </c>
      <c r="E6" s="965">
        <v>40000</v>
      </c>
      <c r="F6" s="965">
        <v>2000</v>
      </c>
      <c r="G6" s="965">
        <v>4500</v>
      </c>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21779.809999999998</v>
      </c>
      <c r="D7" s="321">
        <f>SUMIF('数据-汇总表'!$C19:$C33,假设开发法!D5,'数据-汇总表'!$E19:$E33)</f>
        <v>2951.6000000000004</v>
      </c>
      <c r="E7" s="321">
        <f>SUMIF('数据-汇总表'!$C19:$C33,假设开发法!E5,'数据-汇总表'!$E19:$E33)</f>
        <v>3035.32</v>
      </c>
      <c r="F7" s="321">
        <f>SUMIF('数据-汇总表'!$C19:$C33,假设开发法!F5,'数据-汇总表'!$E19:$E33)</f>
        <v>836.96</v>
      </c>
      <c r="G7" s="321">
        <f>SUMIF('数据-汇总表'!$C19:$C33,假设开发法!G5,'数据-汇总表'!$E19:$E33)</f>
        <v>1849.41</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2474</v>
      </c>
      <c r="B8" s="177" t="s">
        <v>2475</v>
      </c>
      <c r="C8" s="1000">
        <f>ROUND(C6*C7/10000,0)</f>
        <v>47916</v>
      </c>
      <c r="D8" s="1000">
        <f t="shared" ref="D8:F8" si="0">ROUND(D6*D7/10000,0)</f>
        <v>5903</v>
      </c>
      <c r="E8" s="1000">
        <f t="shared" si="0"/>
        <v>12141</v>
      </c>
      <c r="F8" s="1000">
        <f t="shared" si="0"/>
        <v>167</v>
      </c>
      <c r="G8" s="1000">
        <f>ROUND(G6*G7/10000,0)</f>
        <v>832</v>
      </c>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0.05</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30453.1</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30453.1</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3"/>
      <c r="H18" s="1580"/>
      <c r="I18" s="2564"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0</v>
      </c>
      <c r="D20" s="1036">
        <f ca="1">IF(C1="",'数据-汇总表'!E6,IF(INDIRECT("'数据-取费表'!c"&amp;$K$1)="住宅",INDIRECT("'数据-取费表'!s"&amp;$K$1),INDIRECT("'数据-取费表'!k"&amp;$K$1)+INDIRECT("'数据-取费表'!s"&amp;$K$1)))</f>
        <v>30453.1</v>
      </c>
      <c r="E20" s="24">
        <f>'数据-取费表'!B28</f>
        <v>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4.7999999999999996E-3</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2512</v>
      </c>
      <c r="B28" s="2566" t="s">
        <v>2513</v>
      </c>
      <c r="C28" s="331">
        <f ca="1">C30</f>
        <v>0</v>
      </c>
      <c r="D28" s="324">
        <f ca="1">C29</f>
        <v>6.4999999999999997E-3</v>
      </c>
      <c r="E28" s="326" t="s">
        <v>15</v>
      </c>
      <c r="F28" s="332">
        <f ca="1">IF(C1="",'数据-取费表'!Q16,INDIRECT("'数据-取费表'!q"&amp;$K$1))</f>
        <v>0.19</v>
      </c>
      <c r="G28" s="992"/>
      <c r="H28" s="993"/>
      <c r="I28" s="993"/>
      <c r="J28" s="993"/>
      <c r="K28" s="994"/>
    </row>
    <row r="29" spans="1:33" s="335" customFormat="1" ht="13.5" customHeight="1">
      <c r="A29" s="974" t="s">
        <v>803</v>
      </c>
      <c r="B29" s="997" t="s">
        <v>2514</v>
      </c>
      <c r="C29" s="328">
        <f ca="1">ROUND((1+C24)*F28*'数据-取费表'!B24/'数据-取费表'!B20,4)</f>
        <v>6.4999999999999997E-3</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7" t="s">
        <v>2517</v>
      </c>
      <c r="B31" s="1008" t="s">
        <v>2518</v>
      </c>
      <c r="C31" s="1009">
        <f>ROUND(C4*F31/(1+'数据-取费表'!C42),0)</f>
        <v>3571</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60932</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52" sqref="K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3100</v>
      </c>
      <c r="D1" s="1823" t="s">
        <v>70</v>
      </c>
      <c r="E1" s="1824" t="s">
        <v>1387</v>
      </c>
      <c r="F1" s="1286">
        <f ca="1">J53</f>
        <v>46.54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36343</v>
      </c>
      <c r="C2" s="1848" t="s">
        <v>1516</v>
      </c>
      <c r="D2" s="1848"/>
      <c r="E2" s="1849"/>
      <c r="F2" s="1850"/>
      <c r="G2" s="1851"/>
      <c r="H2" s="1843"/>
      <c r="I2" s="1843"/>
      <c r="J2" s="1843"/>
      <c r="K2" s="1844"/>
      <c r="L2" s="1843"/>
      <c r="M2" s="1843"/>
    </row>
    <row r="3" spans="1:37" ht="18" customHeight="1" thickBot="1">
      <c r="A3" s="1852" t="s">
        <v>1517</v>
      </c>
      <c r="B3" s="1853">
        <f ca="1">IF(ISERROR(B2*10000/F43),0,ROUND(B2*10000/F43,0))</f>
        <v>16687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2146</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2146</v>
      </c>
      <c r="D6" s="164" t="s">
        <v>3037</v>
      </c>
      <c r="E6" s="347" t="s">
        <v>1405</v>
      </c>
      <c r="F6" s="348">
        <f ca="1">INDIRECT("'数据-取费表'!u"&amp;$G$1)</f>
        <v>3</v>
      </c>
      <c r="G6" s="1854"/>
      <c r="H6" s="1294" t="s">
        <v>1035</v>
      </c>
      <c r="I6" s="3211" t="s">
        <v>1403</v>
      </c>
      <c r="J6" s="346">
        <f ca="1">ROUND(M6*M8*M7*(1-M9)/10000,0)</f>
        <v>0</v>
      </c>
      <c r="K6" s="164" t="s">
        <v>3036</v>
      </c>
      <c r="L6" s="347" t="s">
        <v>1405</v>
      </c>
      <c r="M6" s="348">
        <f ca="1">INDIRECT("'数据-取费表'!z"&amp;$G$1)</f>
        <v>0</v>
      </c>
    </row>
    <row r="7" spans="1:37" ht="18" customHeight="1">
      <c r="A7" s="1298"/>
      <c r="B7" s="3212"/>
      <c r="C7" s="1300"/>
      <c r="D7" s="352"/>
      <c r="E7" s="1301" t="s">
        <v>1406</v>
      </c>
      <c r="F7" s="348">
        <f ca="1">IF(INDIRECT("'数据-取费表'!ah"&amp;$G$1)="",INDIRECT("'数据-取费表'!k"&amp;$G$1),INDIRECT("'数据-取费表'!ah"&amp;$G$1))</f>
        <v>21779.809999999998</v>
      </c>
      <c r="G7" s="1854"/>
      <c r="H7" s="349"/>
      <c r="I7" s="3212"/>
      <c r="J7" s="351"/>
      <c r="K7" s="352"/>
      <c r="L7" s="347" t="s">
        <v>1406</v>
      </c>
      <c r="M7" s="348">
        <f ca="1">F7</f>
        <v>21779.809999999998</v>
      </c>
    </row>
    <row r="8" spans="1:37" ht="18" customHeight="1">
      <c r="A8" s="349"/>
      <c r="B8" s="3212"/>
      <c r="C8" s="351"/>
      <c r="D8" s="352"/>
      <c r="E8" s="347" t="s">
        <v>1407</v>
      </c>
      <c r="F8" s="348">
        <f ca="1">INDIRECT("'数据-取费表'!ai"&amp;$G$1)</f>
        <v>365</v>
      </c>
      <c r="G8" s="1854"/>
      <c r="H8" s="349"/>
      <c r="I8" s="3212"/>
      <c r="J8" s="351"/>
      <c r="K8" s="352"/>
      <c r="L8" s="347" t="s">
        <v>1407</v>
      </c>
      <c r="M8" s="348">
        <f ca="1">INDIRECT("'数据-取费表'!ai"&amp;$G$1)</f>
        <v>365</v>
      </c>
    </row>
    <row r="9" spans="1:37" ht="18" customHeight="1">
      <c r="A9" s="349"/>
      <c r="B9" s="3213"/>
      <c r="C9" s="351"/>
      <c r="D9" s="352"/>
      <c r="E9" s="347" t="s">
        <v>1408</v>
      </c>
      <c r="F9" s="357">
        <f ca="1">INDIRECT("'数据-取费表'!w"&amp;$G$1)</f>
        <v>0.1</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10873</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6970</v>
      </c>
      <c r="D14" s="1803" t="s">
        <v>1418</v>
      </c>
      <c r="E14" s="1797"/>
      <c r="F14" s="364"/>
      <c r="G14" s="1854"/>
      <c r="H14" s="1204" t="s">
        <v>1035</v>
      </c>
      <c r="I14" s="347" t="s">
        <v>1419</v>
      </c>
      <c r="J14" s="24">
        <f ca="1">C29</f>
        <v>10873</v>
      </c>
      <c r="K14" s="15"/>
      <c r="L14" s="982"/>
      <c r="M14" s="983"/>
    </row>
    <row r="15" spans="1:37" s="1861" customFormat="1" ht="18" customHeight="1" thickBot="1">
      <c r="A15" s="1204" t="s">
        <v>1036</v>
      </c>
      <c r="B15" s="347" t="s">
        <v>1420</v>
      </c>
      <c r="C15" s="24">
        <f ca="1">ROUND(C14*F15,0)</f>
        <v>209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254</v>
      </c>
      <c r="K16" s="1340" t="s">
        <v>1425</v>
      </c>
      <c r="L16" s="1341"/>
      <c r="M16" s="1297"/>
    </row>
    <row r="17" spans="1:37" s="1861" customFormat="1" ht="18" customHeight="1">
      <c r="A17" s="1204" t="s">
        <v>1390</v>
      </c>
      <c r="B17" s="347" t="s">
        <v>1426</v>
      </c>
      <c r="C17" s="24">
        <f ca="1">ROUND(F17*(F43+INDIRECT("'数据-取费表'!S"&amp;$G$1))/10000,0)</f>
        <v>436</v>
      </c>
      <c r="D17" s="347" t="s">
        <v>1427</v>
      </c>
      <c r="E17" s="347" t="s">
        <v>1428</v>
      </c>
      <c r="F17" s="26">
        <f>'数据-取费表'!B35</f>
        <v>200</v>
      </c>
      <c r="G17" s="1857"/>
      <c r="H17" s="1204" t="s">
        <v>1035</v>
      </c>
      <c r="I17" s="347" t="s">
        <v>1429</v>
      </c>
      <c r="J17" s="24">
        <f ca="1">ROUND(IF(项目基本情况!B11="自然人",J5*M17,J18+J19+J20),1)</f>
        <v>91.3</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105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7720</v>
      </c>
      <c r="D19" s="140" t="s">
        <v>1436</v>
      </c>
      <c r="E19" s="1821"/>
      <c r="F19" s="26"/>
      <c r="G19" s="1854"/>
      <c r="H19" s="1204" t="s">
        <v>1036</v>
      </c>
      <c r="I19" s="347" t="s">
        <v>1437</v>
      </c>
      <c r="J19" s="24">
        <f ca="1">IF(K19="按租金收入计税",ROUND(J5*M19,2),ROUND(C29*M19*0.7,2))</f>
        <v>91.33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154</v>
      </c>
      <c r="D20" s="369" t="s">
        <v>1440</v>
      </c>
      <c r="E20" s="347" t="s">
        <v>1422</v>
      </c>
      <c r="F20" s="367">
        <f>'数据-取费表'!B37</f>
        <v>0.02</v>
      </c>
      <c r="G20" s="1857"/>
      <c r="H20" s="1204" t="s">
        <v>1389</v>
      </c>
      <c r="I20" s="164" t="s">
        <v>1441</v>
      </c>
      <c r="J20" s="25">
        <f ca="1">ROUND(M20*M21/10000,2)</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163.1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568</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-254</v>
      </c>
      <c r="K25" s="1348" t="s">
        <v>1464</v>
      </c>
      <c r="L25" s="1349"/>
      <c r="M25" s="1350"/>
    </row>
    <row r="26" spans="1:37">
      <c r="A26" s="1204" t="s">
        <v>1034</v>
      </c>
      <c r="B26" s="347" t="s">
        <v>1465</v>
      </c>
      <c r="C26" s="24">
        <f ca="1">ROUND((C19+C20)*F26,0)</f>
        <v>1575</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10873</v>
      </c>
      <c r="D29" s="1345"/>
      <c r="E29" s="1343"/>
      <c r="F29" s="1346"/>
      <c r="G29" s="1857"/>
      <c r="H29" s="380" t="s">
        <v>1033</v>
      </c>
      <c r="I29" s="381" t="s">
        <v>1479</v>
      </c>
      <c r="J29" s="382">
        <f ca="1">ROUND(J26/(1+F40)^F41,0)</f>
        <v>0</v>
      </c>
      <c r="K29" s="383" t="s">
        <v>1480</v>
      </c>
      <c r="L29" s="384"/>
      <c r="M29" s="385">
        <f ca="1">INDIRECT("'数据-取费表'!k"&amp;$G$1)</f>
        <v>21779.809999999998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407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205.8</v>
      </c>
      <c r="D31" s="1803" t="s">
        <v>1430</v>
      </c>
      <c r="E31" s="1801"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114.45</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91.33</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163.1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16.3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21.5</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1739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36343</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46.54</v>
      </c>
      <c r="G41" s="1854"/>
      <c r="H41" s="732"/>
      <c r="I41" s="1863"/>
      <c r="J41" s="1864"/>
      <c r="K41" s="751"/>
      <c r="L41" s="732"/>
      <c r="M41" s="732"/>
    </row>
    <row r="42" spans="1:18" ht="18" customHeight="1">
      <c r="A42" s="353"/>
      <c r="B42" s="354"/>
      <c r="C42" s="355"/>
      <c r="D42" s="373"/>
      <c r="E42" s="347" t="s">
        <v>1477</v>
      </c>
      <c r="F42" s="357">
        <f ca="1">INDIRECT("'数据-取费表'!v"&amp;$G$1)</f>
        <v>0.01</v>
      </c>
      <c r="G42" s="1854"/>
      <c r="H42" s="732"/>
      <c r="I42" s="1863"/>
      <c r="J42" s="1864"/>
      <c r="K42" s="751"/>
      <c r="L42" s="732"/>
      <c r="M42" s="732"/>
    </row>
    <row r="43" spans="1:18" ht="18" customHeight="1" thickBot="1">
      <c r="A43" s="380" t="s">
        <v>1033</v>
      </c>
      <c r="B43" s="381" t="s">
        <v>1487</v>
      </c>
      <c r="C43" s="382">
        <f ca="1">ROUND(C40*10000/F43,0)</f>
        <v>16687</v>
      </c>
      <c r="D43" s="383" t="s">
        <v>1488</v>
      </c>
      <c r="E43" s="384" t="s">
        <v>1489</v>
      </c>
      <c r="F43" s="385">
        <f ca="1">INDIRECT("'数据-取费表'!k"&amp;$G$1)</f>
        <v>21779.809999999998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-41203</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3105</v>
      </c>
      <c r="K47" s="1885" t="s">
        <v>1527</v>
      </c>
      <c r="L47" s="1886">
        <f ca="1">INDIRECT("'数据-取费表'!d"&amp;$G$1)</f>
        <v>50</v>
      </c>
      <c r="M47" s="1841" t="str">
        <f>IF(ISNUMBER(FIND("住宅",C1)),"住宅","非住宅")</f>
        <v>非住宅</v>
      </c>
      <c r="O47" s="1887" t="s">
        <v>1040</v>
      </c>
      <c r="P47" s="1888" t="s">
        <v>1528</v>
      </c>
      <c r="Q47" s="1889">
        <f ca="1">C40+J29</f>
        <v>36343</v>
      </c>
      <c r="R47" s="1889" t="s">
        <v>1529</v>
      </c>
    </row>
    <row r="48" spans="1:18" s="1845" customFormat="1" ht="28.5" thickBot="1">
      <c r="A48" s="1363" t="s">
        <v>1135</v>
      </c>
      <c r="B48" s="345" t="s">
        <v>1401</v>
      </c>
      <c r="C48" s="1820">
        <f ca="1">C49+C53+C55</f>
        <v>0</v>
      </c>
      <c r="D48" s="1365"/>
      <c r="E48" s="1366"/>
      <c r="F48" s="1184"/>
      <c r="G48" s="792"/>
      <c r="H48" s="793"/>
      <c r="I48" s="1890" t="s">
        <v>1530</v>
      </c>
      <c r="J48" s="1891" t="s">
        <v>3104</v>
      </c>
      <c r="K48" s="1892" t="s">
        <v>1531</v>
      </c>
      <c r="L48" s="1893">
        <f ca="1">INDIRECT("'数据-取费表'!f"&amp;$G$1)</f>
        <v>46.54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2018</v>
      </c>
      <c r="K49" s="1892" t="s">
        <v>1535</v>
      </c>
      <c r="L49" s="1896"/>
      <c r="O49" s="1897" t="s">
        <v>1042</v>
      </c>
      <c r="P49" s="1888" t="s">
        <v>1536</v>
      </c>
      <c r="Q49" s="1889">
        <f ca="1">C29</f>
        <v>10873</v>
      </c>
      <c r="R49" s="1889" t="s">
        <v>1529</v>
      </c>
    </row>
    <row r="50" spans="1:18" s="1845" customFormat="1" ht="13.5" thickBot="1">
      <c r="A50" s="1198"/>
      <c r="B50" s="1201"/>
      <c r="C50" s="1371"/>
      <c r="D50" s="1175"/>
      <c r="E50" s="1280" t="s">
        <v>1406</v>
      </c>
      <c r="F50" s="1281">
        <f ca="1">F7</f>
        <v>21779.809999999998</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14614</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46.54</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46.54</v>
      </c>
      <c r="K53" s="3209" t="s">
        <v>1548</v>
      </c>
      <c r="L53" s="3210"/>
      <c r="O53" s="1887" t="s">
        <v>1046</v>
      </c>
      <c r="P53" s="1888" t="s">
        <v>1549</v>
      </c>
      <c r="Q53" s="1889">
        <f ca="1">Q47+Q48</f>
        <v>36343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10873</v>
      </c>
      <c r="D56" s="1917"/>
      <c r="E56" s="1918"/>
      <c r="F56" s="1910"/>
      <c r="I56" s="1919" t="s">
        <v>1554</v>
      </c>
      <c r="J56" s="1920" t="s">
        <v>3061</v>
      </c>
      <c r="K56" s="1890" t="s">
        <v>1555</v>
      </c>
      <c r="L56" s="1893" t="str">
        <f ca="1">IF(L48&lt;J51,"——",L48-J53)</f>
        <v>——</v>
      </c>
      <c r="O56" s="1887" t="s">
        <v>1040</v>
      </c>
      <c r="P56" s="1888" t="s">
        <v>1528</v>
      </c>
      <c r="Q56" s="1889">
        <f ca="1">C40+J29</f>
        <v>36343</v>
      </c>
      <c r="R56" s="1889" t="s">
        <v>1529</v>
      </c>
    </row>
    <row r="57" spans="1:18" s="1845" customFormat="1" ht="24.75" thickBot="1">
      <c r="A57" s="1921"/>
      <c r="B57" s="1172" t="s">
        <v>1478</v>
      </c>
      <c r="C57" s="282">
        <f ca="1">C29</f>
        <v>10873</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271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91.3</v>
      </c>
      <c r="D59" s="1185" t="s">
        <v>1430</v>
      </c>
      <c r="E59" s="1186" t="s">
        <v>1431</v>
      </c>
      <c r="F59" s="368">
        <f ca="1">IF(项目基本情况!B11="企业","",IF(INDIRECT("'数据-取费表'!c"&amp;$G$1)="住宅",5%,IF(F49*F50*F51/12/(1+'数据-取费表'!C42)&gt;20000,12%,7%)))</f>
        <v>7.0000000000000007E-2</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91.33</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36343</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163.1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16.3</v>
      </c>
      <c r="D65" s="1186" t="s">
        <v>1454</v>
      </c>
      <c r="E65" s="1172" t="s">
        <v>1455</v>
      </c>
      <c r="F65" s="376">
        <f t="shared" ca="1" si="0"/>
        <v>1.5E-3</v>
      </c>
      <c r="I65" s="1932" t="s">
        <v>1579</v>
      </c>
      <c r="J65" s="1933">
        <v>40</v>
      </c>
      <c r="K65" s="1933">
        <v>30</v>
      </c>
      <c r="L65" s="1933">
        <v>50</v>
      </c>
      <c r="M65" s="1935">
        <v>0.02</v>
      </c>
      <c r="O65" s="1887" t="s">
        <v>1040</v>
      </c>
      <c r="P65" s="1888" t="s">
        <v>1580</v>
      </c>
      <c r="Q65" s="1889">
        <f ca="1">C40+J29</f>
        <v>36343</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-271</v>
      </c>
      <c r="D67" s="1185" t="s">
        <v>1464</v>
      </c>
      <c r="E67" s="1190"/>
      <c r="F67" s="1191"/>
      <c r="O67" s="1897" t="s">
        <v>1042</v>
      </c>
      <c r="P67" s="1888" t="s">
        <v>1562</v>
      </c>
      <c r="Q67" s="1936">
        <f ca="1">L51</f>
        <v>14614</v>
      </c>
      <c r="R67" s="1889" t="s">
        <v>1582</v>
      </c>
    </row>
    <row r="68" spans="1:18" s="1845" customFormat="1" ht="16.5" thickBot="1">
      <c r="A68" s="1169" t="s">
        <v>1032</v>
      </c>
      <c r="B68" s="1170" t="s">
        <v>1485</v>
      </c>
      <c r="C68" s="346">
        <f ca="1">ROUND(C67*(1-((1+F70)/(1+F68))^F69)/(F68-F70),0)</f>
        <v>-4860</v>
      </c>
      <c r="D68" s="1187" t="s">
        <v>1469</v>
      </c>
      <c r="E68" s="1172" t="s">
        <v>1470</v>
      </c>
      <c r="F68" s="357">
        <f ca="1">F40</f>
        <v>0.05</v>
      </c>
      <c r="O68" s="1897" t="s">
        <v>1043</v>
      </c>
      <c r="P68" s="1937" t="s">
        <v>1583</v>
      </c>
      <c r="Q68" s="1889">
        <f ca="1">ROUND(Q69-Q70*Q71,0)</f>
        <v>815</v>
      </c>
      <c r="R68" s="1889" t="s">
        <v>1051</v>
      </c>
    </row>
    <row r="69" spans="1:18" s="1845" customFormat="1" ht="13.5" thickBot="1">
      <c r="A69" s="1173"/>
      <c r="B69" s="1174"/>
      <c r="C69" s="351"/>
      <c r="D69" s="1192" t="s">
        <v>1473</v>
      </c>
      <c r="E69" s="1172" t="s">
        <v>1474</v>
      </c>
      <c r="F69" s="379">
        <f ca="1">F41</f>
        <v>46.54</v>
      </c>
      <c r="O69" s="1897" t="s">
        <v>1048</v>
      </c>
      <c r="P69" s="1937" t="s">
        <v>1584</v>
      </c>
      <c r="Q69" s="1889">
        <f ca="1">C39</f>
        <v>1739</v>
      </c>
      <c r="R69" s="1889" t="s">
        <v>1529</v>
      </c>
    </row>
    <row r="70" spans="1:18" s="1845" customFormat="1" ht="13.5" thickBot="1">
      <c r="A70" s="1176"/>
      <c r="B70" s="1177"/>
      <c r="C70" s="355"/>
      <c r="D70" s="1188"/>
      <c r="E70" s="1172" t="s">
        <v>1477</v>
      </c>
      <c r="F70" s="1278"/>
      <c r="O70" s="1897" t="s">
        <v>1049</v>
      </c>
      <c r="P70" s="1937" t="s">
        <v>1585</v>
      </c>
      <c r="Q70" s="1889">
        <f ca="1">C13</f>
        <v>10873</v>
      </c>
      <c r="R70" s="1889" t="s">
        <v>1529</v>
      </c>
    </row>
    <row r="71" spans="1:18" s="1845" customFormat="1" ht="13.5" thickBot="1">
      <c r="A71" s="1193" t="s">
        <v>1033</v>
      </c>
      <c r="B71" s="1194" t="s">
        <v>1487</v>
      </c>
      <c r="C71" s="382">
        <f ca="1">ROUND(C68*10000/F71,0)</f>
        <v>-2231</v>
      </c>
      <c r="D71" s="1195" t="s">
        <v>1488</v>
      </c>
      <c r="E71" s="1196" t="s">
        <v>1489</v>
      </c>
      <c r="F71" s="385">
        <f ca="1">F43</f>
        <v>21779.809999999998</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924</v>
      </c>
      <c r="D75" s="1845"/>
      <c r="E75" s="1845"/>
      <c r="F75" s="1845"/>
      <c r="K75" s="1871"/>
      <c r="L75" s="1845"/>
      <c r="O75" s="1887" t="s">
        <v>1046</v>
      </c>
      <c r="P75" s="1888" t="s">
        <v>1549</v>
      </c>
      <c r="Q75" s="1889">
        <f ca="1">Q65+Q66</f>
        <v>36343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0.46899999999999997</v>
      </c>
    </row>
    <row r="80" spans="1:18">
      <c r="B80" s="386" t="s">
        <v>1511</v>
      </c>
      <c r="C80" s="318">
        <f ca="1">ROUND(C75/C39,3)</f>
        <v>0.53100000000000003</v>
      </c>
    </row>
    <row r="81" spans="2:3">
      <c r="B81" s="314" t="s">
        <v>1512</v>
      </c>
      <c r="C81" s="282"/>
    </row>
    <row r="82" spans="2:3">
      <c r="B82" s="317" t="s">
        <v>1513</v>
      </c>
      <c r="C82" s="319">
        <f ca="1">1-C83</f>
        <v>0.70100000000000007</v>
      </c>
    </row>
    <row r="83" spans="2:3">
      <c r="B83" s="317" t="s">
        <v>1514</v>
      </c>
      <c r="C83" s="318">
        <f ca="1">ROUND(C13/C40,3)</f>
        <v>0.29899999999999999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1" t="s">
        <v>1403</v>
      </c>
      <c r="C6" s="1299">
        <f ca="1">ROUND(F6*F8*F7*(1-F9),0)</f>
        <v>0</v>
      </c>
      <c r="D6" s="164" t="s">
        <v>3034</v>
      </c>
      <c r="E6" s="347" t="s">
        <v>1405</v>
      </c>
      <c r="F6" s="348">
        <f ca="1">INDIRECT("'数据-取费表'!u"&amp;$G$1)</f>
        <v>0</v>
      </c>
      <c r="G6" s="1854"/>
      <c r="H6" s="1294" t="s">
        <v>1035</v>
      </c>
      <c r="I6" s="3211" t="s">
        <v>1403</v>
      </c>
      <c r="J6" s="346">
        <f ca="1">ROUND(M6*M8*M7*(1-M9),0)</f>
        <v>0</v>
      </c>
      <c r="K6" s="1837" t="s">
        <v>3035</v>
      </c>
      <c r="L6" s="347" t="s">
        <v>1405</v>
      </c>
      <c r="M6" s="348">
        <f ca="1">INDIRECT("'数据-取费表'!z"&amp;$G$1)</f>
        <v>0</v>
      </c>
    </row>
    <row r="7" spans="1:37" ht="18" customHeight="1">
      <c r="A7" s="1298"/>
      <c r="B7" s="3212"/>
      <c r="C7" s="1300"/>
      <c r="D7" s="352"/>
      <c r="E7" s="1301" t="s">
        <v>1406</v>
      </c>
      <c r="F7" s="348">
        <f ca="1">IF(INDIRECT("'数据-取费表'!ah"&amp;$G$1)="",INDIRECT("'数据-取费表'!k"&amp;$G$1),INDIRECT("'数据-取费表'!ah"&amp;$G$1))</f>
        <v>0</v>
      </c>
      <c r="G7" s="1854"/>
      <c r="H7" s="349"/>
      <c r="I7" s="3212"/>
      <c r="J7" s="351"/>
      <c r="K7" s="352"/>
      <c r="L7" s="347" t="s">
        <v>1406</v>
      </c>
      <c r="M7" s="348">
        <f ca="1">F7</f>
        <v>0</v>
      </c>
    </row>
    <row r="8" spans="1:37" ht="18" customHeight="1">
      <c r="A8" s="349"/>
      <c r="B8" s="3212"/>
      <c r="C8" s="351"/>
      <c r="D8" s="352"/>
      <c r="E8" s="347" t="s">
        <v>1407</v>
      </c>
      <c r="F8" s="348">
        <f ca="1">INDIRECT("'数据-取费表'!ai"&amp;$G$1)</f>
        <v>0</v>
      </c>
      <c r="G8" s="1854"/>
      <c r="H8" s="349"/>
      <c r="I8" s="3212"/>
      <c r="J8" s="351"/>
      <c r="K8" s="352"/>
      <c r="L8" s="347" t="s">
        <v>1407</v>
      </c>
      <c r="M8" s="348">
        <f ca="1">INDIRECT("'数据-取费表'!ai"&amp;$G$1)</f>
        <v>0</v>
      </c>
    </row>
    <row r="9" spans="1:37" ht="18" customHeight="1">
      <c r="A9" s="349"/>
      <c r="B9" s="3213"/>
      <c r="C9" s="351"/>
      <c r="D9" s="352"/>
      <c r="E9" s="347" t="s">
        <v>1408</v>
      </c>
      <c r="F9" s="357">
        <f ca="1">INDIRECT("'数据-取费表'!w"&amp;$G$1)</f>
        <v>0</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9" t="s">
        <v>1548</v>
      </c>
      <c r="L53" s="321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2529</v>
      </c>
      <c r="B1" s="2569"/>
      <c r="C1" s="2569"/>
      <c r="D1" s="2569"/>
      <c r="E1" s="2570"/>
    </row>
    <row r="2" spans="1:6" ht="15.75">
      <c r="A2" s="2571" t="s">
        <v>2333</v>
      </c>
      <c r="B2" s="2572">
        <f ca="1">SUMIF(B6:B13,"&lt;&gt;#ref!",B6:B13)</f>
        <v>36343</v>
      </c>
      <c r="C2" s="2573" t="s">
        <v>2522</v>
      </c>
      <c r="D2" s="2574" t="s">
        <v>2523</v>
      </c>
      <c r="E2" s="2575">
        <f>SUM(E6:E13)</f>
        <v>21779.809999999998</v>
      </c>
    </row>
    <row r="3" spans="1:6" ht="15.75">
      <c r="A3" s="2571" t="s">
        <v>1395</v>
      </c>
      <c r="B3" s="2572">
        <f ca="1">ROUND(B2*10000/E2,0)</f>
        <v>16687</v>
      </c>
      <c r="C3" s="2573" t="s">
        <v>2530</v>
      </c>
      <c r="D3" s="2576"/>
      <c r="E3" s="2577"/>
    </row>
    <row r="4" spans="1:6" ht="15.75">
      <c r="A4" s="2578"/>
      <c r="B4" s="2576"/>
      <c r="C4" s="2576"/>
      <c r="D4" s="2576"/>
      <c r="E4" s="2577"/>
    </row>
    <row r="5" spans="1:6" ht="15">
      <c r="A5" s="2579" t="s">
        <v>2524</v>
      </c>
      <c r="B5" s="3214" t="s">
        <v>2525</v>
      </c>
      <c r="C5" s="3214"/>
      <c r="D5" s="2580"/>
      <c r="E5" s="2581" t="s">
        <v>2526</v>
      </c>
      <c r="F5" s="2582" t="s">
        <v>2527</v>
      </c>
    </row>
    <row r="6" spans="1:6">
      <c r="A6" s="2583" t="str">
        <f>'数据-取费表'!AN6</f>
        <v>收益法</v>
      </c>
      <c r="B6" s="2582">
        <f ca="1">IF(F6="是",'数据-取费表'!AO6,0)</f>
        <v>36343</v>
      </c>
      <c r="C6" s="2573" t="s">
        <v>2522</v>
      </c>
      <c r="D6" s="2576"/>
      <c r="E6" s="2584">
        <f>IF(OR(A6=0,F6="否"),0,'数据-取费表'!K6+'数据-取费表'!S6)</f>
        <v>21779.809999999998</v>
      </c>
      <c r="F6" s="2585" t="s">
        <v>2528</v>
      </c>
    </row>
    <row r="7" spans="1:6">
      <c r="A7" s="2583">
        <f>'数据-取费表'!AN7</f>
        <v>0</v>
      </c>
      <c r="B7" s="2582" t="e">
        <f ca="1">IF(F7="是",'数据-取费表'!AO7,0)</f>
        <v>#REF!</v>
      </c>
      <c r="C7" s="2573" t="s">
        <v>2522</v>
      </c>
      <c r="D7" s="2576"/>
      <c r="E7" s="2584">
        <f>IF(OR(A7=0,F7="否"),0,'数据-取费表'!K7+'数据-取费表'!S7)</f>
        <v>0</v>
      </c>
      <c r="F7" s="2585" t="s">
        <v>2528</v>
      </c>
    </row>
    <row r="8" spans="1:6">
      <c r="A8" s="2583">
        <f>'数据-取费表'!AN8</f>
        <v>0</v>
      </c>
      <c r="B8" s="2582" t="e">
        <f ca="1">IF(F8="是",'数据-取费表'!AO8,0)</f>
        <v>#REF!</v>
      </c>
      <c r="C8" s="2573" t="s">
        <v>2522</v>
      </c>
      <c r="D8" s="2576"/>
      <c r="E8" s="2584">
        <f>IF(OR(A8=0,F8="否"),0,'数据-取费表'!K8+'数据-取费表'!S8)</f>
        <v>0</v>
      </c>
      <c r="F8" s="2585" t="s">
        <v>2528</v>
      </c>
    </row>
    <row r="9" spans="1:6">
      <c r="A9" s="2583">
        <f>'数据-取费表'!AN9</f>
        <v>0</v>
      </c>
      <c r="B9" s="2582" t="e">
        <f ca="1">IF(F9="是",'数据-取费表'!AO9,0)</f>
        <v>#REF!</v>
      </c>
      <c r="C9" s="2573" t="s">
        <v>2522</v>
      </c>
      <c r="D9" s="2576"/>
      <c r="E9" s="2584">
        <f>IF(OR(A9=0,F9="否"),0,'数据-取费表'!K9+'数据-取费表'!S9)</f>
        <v>0</v>
      </c>
      <c r="F9" s="2585" t="s">
        <v>2528</v>
      </c>
    </row>
    <row r="10" spans="1:6">
      <c r="A10" s="2583">
        <f>'数据-取费表'!AN10</f>
        <v>0</v>
      </c>
      <c r="B10" s="2582" t="e">
        <f ca="1">IF(F10="是",'数据-取费表'!AO10,0)</f>
        <v>#REF!</v>
      </c>
      <c r="C10" s="2573" t="s">
        <v>2522</v>
      </c>
      <c r="D10" s="2576"/>
      <c r="E10" s="2584">
        <f>IF(OR(A10=0,F10="否"),0,'数据-取费表'!K10+'数据-取费表'!S10)</f>
        <v>0</v>
      </c>
      <c r="F10" s="2585" t="s">
        <v>2528</v>
      </c>
    </row>
    <row r="11" spans="1:6">
      <c r="A11" s="2583">
        <f>'数据-取费表'!AN11</f>
        <v>0</v>
      </c>
      <c r="B11" s="2582" t="e">
        <f ca="1">IF(F11="是",'数据-取费表'!AO11,0)</f>
        <v>#REF!</v>
      </c>
      <c r="C11" s="2573" t="s">
        <v>2522</v>
      </c>
      <c r="D11" s="2576"/>
      <c r="E11" s="2584">
        <f>IF(OR(A11=0,F11="否"),0,'数据-取费表'!K11+'数据-取费表'!S11)</f>
        <v>0</v>
      </c>
      <c r="F11" s="2585" t="s">
        <v>2528</v>
      </c>
    </row>
    <row r="12" spans="1:6">
      <c r="A12" s="2583">
        <f>'数据-取费表'!AN12</f>
        <v>0</v>
      </c>
      <c r="B12" s="2582" t="e">
        <f ca="1">IF(F12="是",'数据-取费表'!AO12,0)</f>
        <v>#REF!</v>
      </c>
      <c r="C12" s="2573" t="s">
        <v>2522</v>
      </c>
      <c r="D12" s="2576"/>
      <c r="E12" s="2584">
        <f>IF(OR(A12=0,F12="否"),0,'数据-取费表'!K12+'数据-取费表'!S12)</f>
        <v>0</v>
      </c>
      <c r="F12" s="2585" t="s">
        <v>2528</v>
      </c>
    </row>
    <row r="13" spans="1:6" ht="15" thickBot="1">
      <c r="A13" s="2586">
        <f>'数据-取费表'!AN13</f>
        <v>0</v>
      </c>
      <c r="B13" s="2582" t="e">
        <f ca="1">IF(F13="是",'数据-取费表'!AO13,0)</f>
        <v>#REF!</v>
      </c>
      <c r="C13" s="2587" t="s">
        <v>2522</v>
      </c>
      <c r="D13" s="2588"/>
      <c r="E13" s="2584">
        <f>IF(OR(A13=0,F13="否"),0,'数据-取费表'!K13+'数据-取费表'!S13)</f>
        <v>0</v>
      </c>
      <c r="F13" s="258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1076</v>
      </c>
      <c r="B1" s="3216"/>
      <c r="C1" s="3217"/>
      <c r="D1" s="3218">
        <f>SUM(I10,I15,I20,I21,I23)</f>
        <v>0</v>
      </c>
      <c r="E1" s="3218"/>
      <c r="F1" s="3218"/>
      <c r="G1" s="3218"/>
      <c r="H1" s="3218"/>
      <c r="I1" s="3219"/>
    </row>
    <row r="2" spans="1:9">
      <c r="A2" s="3220" t="s">
        <v>1077</v>
      </c>
      <c r="B2" s="3221" t="s">
        <v>1078</v>
      </c>
      <c r="C2" s="3221"/>
      <c r="D2" s="1304" t="s">
        <v>1079</v>
      </c>
      <c r="E2" s="1304" t="s">
        <v>1080</v>
      </c>
      <c r="F2" s="1304" t="s">
        <v>1081</v>
      </c>
      <c r="G2" s="1304" t="s">
        <v>1082</v>
      </c>
      <c r="H2" s="1304" t="s">
        <v>1083</v>
      </c>
      <c r="I2" s="1305" t="s">
        <v>1084</v>
      </c>
    </row>
    <row r="3" spans="1:9">
      <c r="A3" s="3220"/>
      <c r="B3" s="3221" t="s">
        <v>1085</v>
      </c>
      <c r="C3" s="3221"/>
      <c r="D3" s="1306"/>
      <c r="E3" s="1304"/>
      <c r="F3" s="1307"/>
      <c r="G3" s="1307"/>
      <c r="H3" s="1308"/>
      <c r="I3" s="1309">
        <f>ROUND(D3*E3*F3*G3*H3/10000,0)</f>
        <v>0</v>
      </c>
    </row>
    <row r="4" spans="1:9">
      <c r="A4" s="3220"/>
      <c r="B4" s="3221" t="s">
        <v>1086</v>
      </c>
      <c r="C4" s="3221"/>
      <c r="D4" s="1306"/>
      <c r="E4" s="1304"/>
      <c r="F4" s="1307"/>
      <c r="G4" s="1307"/>
      <c r="H4" s="1308"/>
      <c r="I4" s="1309">
        <f t="shared" ref="I4:I9" si="0">ROUND(D4*E4*F4*G4*H4/10000,0)</f>
        <v>0</v>
      </c>
    </row>
    <row r="5" spans="1:9">
      <c r="A5" s="3220"/>
      <c r="B5" s="3221" t="s">
        <v>1087</v>
      </c>
      <c r="C5" s="3221"/>
      <c r="D5" s="1306"/>
      <c r="E5" s="1304"/>
      <c r="F5" s="1307"/>
      <c r="G5" s="1307"/>
      <c r="H5" s="1308"/>
      <c r="I5" s="1309">
        <f t="shared" si="0"/>
        <v>0</v>
      </c>
    </row>
    <row r="6" spans="1:9">
      <c r="A6" s="3220"/>
      <c r="B6" s="3221" t="s">
        <v>1088</v>
      </c>
      <c r="C6" s="3221"/>
      <c r="D6" s="1306"/>
      <c r="E6" s="1304"/>
      <c r="F6" s="1307"/>
      <c r="G6" s="1307"/>
      <c r="H6" s="1308"/>
      <c r="I6" s="1309">
        <f t="shared" si="0"/>
        <v>0</v>
      </c>
    </row>
    <row r="7" spans="1:9">
      <c r="A7" s="3220"/>
      <c r="B7" s="3221" t="s">
        <v>1089</v>
      </c>
      <c r="C7" s="3221"/>
      <c r="D7" s="1306"/>
      <c r="E7" s="1304"/>
      <c r="F7" s="1307"/>
      <c r="G7" s="1307"/>
      <c r="H7" s="1308"/>
      <c r="I7" s="1309">
        <f t="shared" si="0"/>
        <v>0</v>
      </c>
    </row>
    <row r="8" spans="1:9">
      <c r="A8" s="3220"/>
      <c r="B8" s="3221" t="s">
        <v>1090</v>
      </c>
      <c r="C8" s="3221"/>
      <c r="D8" s="1306"/>
      <c r="E8" s="1304"/>
      <c r="F8" s="1307"/>
      <c r="G8" s="1307"/>
      <c r="H8" s="1308"/>
      <c r="I8" s="1309">
        <f t="shared" si="0"/>
        <v>0</v>
      </c>
    </row>
    <row r="9" spans="1:9">
      <c r="A9" s="3220"/>
      <c r="B9" s="3221" t="s">
        <v>1091</v>
      </c>
      <c r="C9" s="3221"/>
      <c r="D9" s="1306"/>
      <c r="E9" s="1304"/>
      <c r="F9" s="1307"/>
      <c r="G9" s="1307"/>
      <c r="H9" s="1308"/>
      <c r="I9" s="1309">
        <f t="shared" si="0"/>
        <v>0</v>
      </c>
    </row>
    <row r="10" spans="1:9">
      <c r="A10" s="3220"/>
      <c r="B10" s="3222" t="s">
        <v>1092</v>
      </c>
      <c r="C10" s="3222"/>
      <c r="D10" s="1310"/>
      <c r="E10" s="1310" t="e">
        <f>ROUND(D1*10000/D10/H9,0)</f>
        <v>#DIV/0!</v>
      </c>
      <c r="F10" s="1311"/>
      <c r="G10" s="1311"/>
      <c r="H10" s="1312"/>
      <c r="I10" s="1313">
        <f>SUM(I3:I9)</f>
        <v>0</v>
      </c>
    </row>
    <row r="11" spans="1:9" ht="14.25">
      <c r="A11" s="3220" t="s">
        <v>1093</v>
      </c>
      <c r="B11" s="3221" t="s">
        <v>1094</v>
      </c>
      <c r="C11" s="3221"/>
      <c r="D11" s="1306" t="s">
        <v>1095</v>
      </c>
      <c r="E11" s="1306" t="s">
        <v>1096</v>
      </c>
      <c r="F11" s="1307" t="s">
        <v>1097</v>
      </c>
      <c r="G11" s="1307" t="s">
        <v>1083</v>
      </c>
      <c r="H11" s="1314" t="s">
        <v>1098</v>
      </c>
      <c r="I11" s="1305" t="s">
        <v>1084</v>
      </c>
    </row>
    <row r="12" spans="1:9">
      <c r="A12" s="3220"/>
      <c r="B12" s="3221" t="s">
        <v>1099</v>
      </c>
      <c r="C12" s="3221"/>
      <c r="D12" s="1306"/>
      <c r="E12" s="1306"/>
      <c r="F12" s="1307"/>
      <c r="G12" s="1308"/>
      <c r="H12" s="1315"/>
      <c r="I12" s="1305">
        <f>ROUND(D12*E12*F12*G12/10000,0)</f>
        <v>0</v>
      </c>
    </row>
    <row r="13" spans="1:9">
      <c r="A13" s="3220"/>
      <c r="B13" s="3221" t="s">
        <v>1100</v>
      </c>
      <c r="C13" s="3221"/>
      <c r="D13" s="1306"/>
      <c r="E13" s="1306"/>
      <c r="F13" s="1307"/>
      <c r="G13" s="1308"/>
      <c r="H13" s="1315"/>
      <c r="I13" s="1305">
        <f>ROUND(D13*E13*F13*G13/10000,0)</f>
        <v>0</v>
      </c>
    </row>
    <row r="14" spans="1:9">
      <c r="A14" s="3220"/>
      <c r="B14" s="3221" t="s">
        <v>1101</v>
      </c>
      <c r="C14" s="3221"/>
      <c r="D14" s="1306"/>
      <c r="E14" s="1306"/>
      <c r="F14" s="1307"/>
      <c r="G14" s="1308"/>
      <c r="H14" s="1315"/>
      <c r="I14" s="1305">
        <f>ROUND(D14*E14*F14*G14/10000,0)</f>
        <v>0</v>
      </c>
    </row>
    <row r="15" spans="1:9">
      <c r="A15" s="3220"/>
      <c r="B15" s="3222" t="s">
        <v>1092</v>
      </c>
      <c r="C15" s="3222"/>
      <c r="D15" s="1310"/>
      <c r="E15" s="1310">
        <f>SUM(E12:E14)</f>
        <v>0</v>
      </c>
      <c r="F15" s="1311"/>
      <c r="G15" s="1308"/>
      <c r="H15" s="1315"/>
      <c r="I15" s="1316">
        <f>SUM(I12:I14)</f>
        <v>0</v>
      </c>
    </row>
    <row r="16" spans="1:9" ht="24">
      <c r="A16" s="3220" t="s">
        <v>1102</v>
      </c>
      <c r="B16" s="3221" t="s">
        <v>1103</v>
      </c>
      <c r="C16" s="3221"/>
      <c r="D16" s="1306" t="s">
        <v>1079</v>
      </c>
      <c r="E16" s="1317" t="s">
        <v>1104</v>
      </c>
      <c r="F16" s="1307" t="s">
        <v>1105</v>
      </c>
      <c r="G16" s="1308" t="s">
        <v>1083</v>
      </c>
      <c r="H16" s="1314" t="s">
        <v>1098</v>
      </c>
      <c r="I16" s="1305" t="s">
        <v>1084</v>
      </c>
    </row>
    <row r="17" spans="1:9" ht="14.25">
      <c r="A17" s="3220"/>
      <c r="B17" s="3221" t="s">
        <v>1106</v>
      </c>
      <c r="C17" s="3221"/>
      <c r="D17" s="1306"/>
      <c r="E17" s="1306"/>
      <c r="F17" s="1307"/>
      <c r="G17" s="1308"/>
      <c r="H17" s="1318"/>
      <c r="I17" s="1319">
        <f>ROUND(D17*E17*F17*G17/10000,0)</f>
        <v>0</v>
      </c>
    </row>
    <row r="18" spans="1:9" ht="14.25">
      <c r="A18" s="3220"/>
      <c r="B18" s="3221" t="s">
        <v>1107</v>
      </c>
      <c r="C18" s="3221"/>
      <c r="D18" s="1306"/>
      <c r="E18" s="1306"/>
      <c r="F18" s="1307"/>
      <c r="G18" s="1308"/>
      <c r="H18" s="1318"/>
      <c r="I18" s="1319">
        <f>ROUND(D18*E18*F18*G18/10000,0)</f>
        <v>0</v>
      </c>
    </row>
    <row r="19" spans="1:9" ht="14.25">
      <c r="A19" s="3220"/>
      <c r="B19" s="3221" t="s">
        <v>1108</v>
      </c>
      <c r="C19" s="3221"/>
      <c r="D19" s="1306"/>
      <c r="E19" s="1306"/>
      <c r="F19" s="1307"/>
      <c r="G19" s="1308"/>
      <c r="H19" s="1318"/>
      <c r="I19" s="1319">
        <f>ROUND(D19*E19*F19*G19/10000,0)</f>
        <v>0</v>
      </c>
    </row>
    <row r="20" spans="1:9">
      <c r="A20" s="3220"/>
      <c r="B20" s="3222" t="s">
        <v>1092</v>
      </c>
      <c r="C20" s="3222"/>
      <c r="D20" s="1310">
        <f>SUM(D17:D19)</f>
        <v>0</v>
      </c>
      <c r="E20" s="1310"/>
      <c r="F20" s="1311"/>
      <c r="G20" s="1308"/>
      <c r="H20" s="1315"/>
      <c r="I20" s="1316">
        <f>SUM(I17:I19)</f>
        <v>0</v>
      </c>
    </row>
    <row r="21" spans="1:9">
      <c r="A21" s="3220" t="s">
        <v>1109</v>
      </c>
      <c r="B21" s="3224"/>
      <c r="C21" s="3224"/>
      <c r="D21" s="3224"/>
      <c r="E21" s="3224"/>
      <c r="F21" s="3224"/>
      <c r="G21" s="3224"/>
      <c r="H21" s="1768">
        <v>0.1</v>
      </c>
      <c r="I21" s="1313">
        <f>ROUND(I10*H21,0)</f>
        <v>0</v>
      </c>
    </row>
    <row r="22" spans="1:9" ht="14.25">
      <c r="A22" s="3225" t="s">
        <v>1110</v>
      </c>
      <c r="B22" s="3226"/>
      <c r="C22" s="3227"/>
      <c r="D22" s="1320" t="s">
        <v>1111</v>
      </c>
      <c r="E22" s="1320" t="s">
        <v>1112</v>
      </c>
      <c r="F22" s="1321" t="s">
        <v>1113</v>
      </c>
      <c r="G22" s="1321" t="s">
        <v>1114</v>
      </c>
      <c r="H22" s="1314" t="s">
        <v>1115</v>
      </c>
      <c r="I22" s="1305" t="s">
        <v>1116</v>
      </c>
    </row>
    <row r="23" spans="1:9" ht="14.25" thickBot="1">
      <c r="A23" s="3228"/>
      <c r="B23" s="3229"/>
      <c r="C23" s="3230"/>
      <c r="D23" s="1322"/>
      <c r="E23" s="1322"/>
      <c r="F23" s="1322"/>
      <c r="G23" s="1323"/>
      <c r="H23" s="1324"/>
      <c r="I23" s="1325">
        <f>ROUND(E23*D23*F23*(1-G23)/10000,0)</f>
        <v>0</v>
      </c>
    </row>
    <row r="26" spans="1:9">
      <c r="A26" s="1326" t="s">
        <v>1117</v>
      </c>
      <c r="B26" s="1326"/>
      <c r="C26" s="1326"/>
      <c r="D26" s="1326"/>
      <c r="E26" s="3231">
        <f>C27-C30-C31-C32</f>
        <v>0</v>
      </c>
      <c r="F26" s="3231"/>
      <c r="G26" s="3231"/>
      <c r="H26" s="1740" t="s">
        <v>1340</v>
      </c>
    </row>
    <row r="27" spans="1:9">
      <c r="A27" s="1327">
        <v>1</v>
      </c>
      <c r="B27" s="1328" t="s">
        <v>1118</v>
      </c>
      <c r="C27" s="1328">
        <f>C28+C29</f>
        <v>0</v>
      </c>
      <c r="D27" s="1328"/>
      <c r="E27" s="3232"/>
      <c r="F27" s="3232"/>
      <c r="G27" s="3232"/>
    </row>
    <row r="28" spans="1:9">
      <c r="A28" s="1329" t="s">
        <v>1119</v>
      </c>
      <c r="B28" s="1328" t="s">
        <v>1120</v>
      </c>
      <c r="C28" s="1328"/>
      <c r="D28" s="1328"/>
      <c r="E28" s="3232"/>
      <c r="F28" s="3232"/>
      <c r="G28" s="323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3"/>
      <c r="F32" s="3223"/>
      <c r="G32" s="3223"/>
    </row>
    <row r="33" spans="1:7" hidden="1">
      <c r="A33" s="3233" t="s">
        <v>1129</v>
      </c>
      <c r="B33" s="3234"/>
      <c r="C33" s="3234"/>
      <c r="D33" s="3235"/>
      <c r="E33" s="3231"/>
      <c r="F33" s="3231"/>
      <c r="G33" s="3231"/>
    </row>
    <row r="34" spans="1:7" hidden="1">
      <c r="A34" s="1331">
        <v>1</v>
      </c>
      <c r="B34" s="1328" t="s">
        <v>1130</v>
      </c>
      <c r="C34" s="1328"/>
      <c r="D34" s="1328"/>
      <c r="E34" s="3232"/>
      <c r="F34" s="3232"/>
      <c r="G34" s="3232"/>
    </row>
    <row r="35" spans="1:7" hidden="1">
      <c r="A35" s="1331">
        <v>2</v>
      </c>
      <c r="B35" s="1328" t="s">
        <v>1131</v>
      </c>
      <c r="C35" s="1328"/>
      <c r="D35" s="1328"/>
      <c r="E35" s="3232"/>
      <c r="F35" s="3232"/>
      <c r="G35" s="3232"/>
    </row>
    <row r="36" spans="1:7" hidden="1">
      <c r="A36" s="1331">
        <v>3</v>
      </c>
      <c r="B36" s="1328" t="s">
        <v>1132</v>
      </c>
      <c r="C36" s="1328"/>
      <c r="D36" s="1328"/>
      <c r="E36" s="3232"/>
      <c r="F36" s="3232"/>
      <c r="G36" s="3232"/>
    </row>
    <row r="37" spans="1:7" hidden="1">
      <c r="A37" s="1331">
        <v>4</v>
      </c>
      <c r="B37" s="1328" t="s">
        <v>1133</v>
      </c>
      <c r="C37" s="1328"/>
      <c r="D37" s="1328"/>
      <c r="E37" s="3232"/>
      <c r="F37" s="3232"/>
      <c r="G37" s="3232"/>
    </row>
    <row r="38" spans="1:7" hidden="1">
      <c r="A38" s="3233" t="s">
        <v>1134</v>
      </c>
      <c r="B38" s="3234"/>
      <c r="C38" s="3234"/>
      <c r="D38" s="3235"/>
      <c r="E38" s="3231"/>
      <c r="F38" s="3231"/>
      <c r="G38" s="32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2532</v>
      </c>
      <c r="C1" s="1637" t="s">
        <v>2533</v>
      </c>
      <c r="D1" s="1624"/>
      <c r="E1" s="2590"/>
      <c r="F1" s="2591" t="s">
        <v>2534</v>
      </c>
      <c r="G1" s="1634" t="s">
        <v>2535</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2536</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2537</v>
      </c>
      <c r="D3" s="399">
        <f>IF(D1="",'数据-汇总表'!E3,SUMIF('数据-汇总表'!$C19:$C33,D1,'数据-汇总表'!$E19:$E33))</f>
        <v>30453.1</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2538</v>
      </c>
      <c r="B4" s="402"/>
      <c r="C4" s="3184" t="s">
        <v>2539</v>
      </c>
      <c r="D4" s="3185"/>
      <c r="E4" s="3186" t="s">
        <v>2540</v>
      </c>
      <c r="F4" s="3187"/>
      <c r="G4" s="3184" t="s">
        <v>2541</v>
      </c>
      <c r="H4" s="3185"/>
      <c r="I4" s="3184" t="s">
        <v>2542</v>
      </c>
      <c r="J4" s="3185"/>
      <c r="K4" s="2603" t="s">
        <v>2543</v>
      </c>
      <c r="L4" s="1133"/>
      <c r="M4" s="1134"/>
      <c r="N4" s="1134"/>
      <c r="O4" s="1134"/>
      <c r="P4" s="3188" t="s">
        <v>2544</v>
      </c>
      <c r="Q4" s="3189"/>
      <c r="R4" s="3171" t="s">
        <v>2540</v>
      </c>
      <c r="S4" s="3172"/>
      <c r="T4" s="3171" t="s">
        <v>2541</v>
      </c>
      <c r="U4" s="3172"/>
      <c r="V4" s="3196" t="s">
        <v>2542</v>
      </c>
      <c r="W4" s="3196"/>
      <c r="X4" s="1816"/>
      <c r="Y4" s="3171" t="s">
        <v>2544</v>
      </c>
      <c r="Z4" s="3172"/>
      <c r="AA4" s="3166" t="s">
        <v>2540</v>
      </c>
      <c r="AB4" s="3166" t="s">
        <v>2541</v>
      </c>
      <c r="AC4" s="3166" t="s">
        <v>2542</v>
      </c>
    </row>
    <row r="5" spans="1:29" ht="15">
      <c r="A5" s="404"/>
      <c r="B5" s="405"/>
      <c r="C5" s="3177" t="s">
        <v>2545</v>
      </c>
      <c r="D5" s="3178"/>
      <c r="E5" s="3175" t="s">
        <v>2546</v>
      </c>
      <c r="F5" s="3176"/>
      <c r="G5" s="3177" t="s">
        <v>2547</v>
      </c>
      <c r="H5" s="3178"/>
      <c r="I5" s="3177" t="s">
        <v>2548</v>
      </c>
      <c r="J5" s="3178"/>
      <c r="K5" s="2604"/>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2549</v>
      </c>
      <c r="D6" s="3180"/>
      <c r="E6" s="3181" t="s">
        <v>2549</v>
      </c>
      <c r="F6" s="3182"/>
      <c r="G6" s="3179" t="s">
        <v>2549</v>
      </c>
      <c r="H6" s="3180"/>
      <c r="I6" s="3179" t="s">
        <v>2549</v>
      </c>
      <c r="J6" s="3180"/>
      <c r="K6" s="2604" t="s">
        <v>2550</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2551</v>
      </c>
      <c r="B7" s="409"/>
      <c r="C7" s="410">
        <f>'数据-取费表'!B2</f>
        <v>43354</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69" t="s">
        <v>2552</v>
      </c>
      <c r="Q7" s="3197"/>
      <c r="R7" s="770" t="s">
        <v>23</v>
      </c>
      <c r="S7" s="771">
        <f t="shared" ref="S7:S15" si="0">F7</f>
        <v>0</v>
      </c>
      <c r="T7" s="770" t="s">
        <v>23</v>
      </c>
      <c r="U7" s="771">
        <f t="shared" ref="U7:U15" si="1">H7</f>
        <v>0</v>
      </c>
      <c r="V7" s="770" t="s">
        <v>23</v>
      </c>
      <c r="W7" s="771">
        <f t="shared" ref="W7:W15" si="2">J7</f>
        <v>0</v>
      </c>
      <c r="X7" s="772"/>
      <c r="Y7" s="3169" t="s">
        <v>2552</v>
      </c>
      <c r="Z7" s="3170"/>
      <c r="AA7" s="773" t="e">
        <f>D7/F7</f>
        <v>#DIV/0!</v>
      </c>
      <c r="AB7" s="773" t="e">
        <f>D7/H7</f>
        <v>#DIV/0!</v>
      </c>
      <c r="AC7" s="773" t="e">
        <f>D7/J7</f>
        <v>#DIV/0!</v>
      </c>
    </row>
    <row r="8" spans="1:29" s="117" customFormat="1" ht="15.75" thickBot="1">
      <c r="A8" s="408" t="s">
        <v>2553</v>
      </c>
      <c r="B8" s="409"/>
      <c r="C8" s="414" t="s">
        <v>2554</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69" t="s">
        <v>2555</v>
      </c>
      <c r="Q8" s="3170"/>
      <c r="R8" s="770" t="s">
        <v>23</v>
      </c>
      <c r="S8" s="771">
        <f t="shared" si="0"/>
        <v>0</v>
      </c>
      <c r="T8" s="770" t="s">
        <v>23</v>
      </c>
      <c r="U8" s="771">
        <f t="shared" si="1"/>
        <v>0</v>
      </c>
      <c r="V8" s="770" t="s">
        <v>23</v>
      </c>
      <c r="W8" s="771">
        <f t="shared" si="2"/>
        <v>0</v>
      </c>
      <c r="X8" s="772"/>
      <c r="Y8" s="3169" t="s">
        <v>2555</v>
      </c>
      <c r="Z8" s="3170"/>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7" t="s">
        <v>2558</v>
      </c>
      <c r="Q9" s="1798" t="str">
        <f t="shared" ref="Q9:Q15" si="6">B9</f>
        <v>用途</v>
      </c>
      <c r="R9" s="770" t="s">
        <v>17</v>
      </c>
      <c r="S9" s="771">
        <f t="shared" si="0"/>
        <v>100</v>
      </c>
      <c r="T9" s="770" t="s">
        <v>17</v>
      </c>
      <c r="U9" s="771">
        <f t="shared" si="1"/>
        <v>100</v>
      </c>
      <c r="V9" s="770" t="s">
        <v>17</v>
      </c>
      <c r="W9" s="771">
        <f t="shared" si="2"/>
        <v>100</v>
      </c>
      <c r="X9" s="772"/>
      <c r="Y9" s="302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7"/>
      <c r="Q11" s="1798"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7"/>
      <c r="Q12" s="1798">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7"/>
      <c r="Q13" s="1798">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7"/>
      <c r="Q14" s="1798">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2562</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2" t="s">
        <v>2563</v>
      </c>
      <c r="Q15" s="1813" t="str">
        <f t="shared" si="6"/>
        <v>居住社区成熟度</v>
      </c>
      <c r="R15" s="774" t="s">
        <v>21</v>
      </c>
      <c r="S15" s="775">
        <f t="shared" si="0"/>
        <v>100</v>
      </c>
      <c r="T15" s="774" t="s">
        <v>21</v>
      </c>
      <c r="U15" s="775">
        <f t="shared" si="1"/>
        <v>100</v>
      </c>
      <c r="V15" s="774" t="s">
        <v>21</v>
      </c>
      <c r="W15" s="775">
        <f t="shared" si="2"/>
        <v>100</v>
      </c>
      <c r="X15" s="1816"/>
      <c r="Y15" s="3198" t="s">
        <v>2563</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43"/>
      <c r="Q16" s="1813"/>
      <c r="R16" s="774"/>
      <c r="S16" s="775"/>
      <c r="T16" s="774"/>
      <c r="U16" s="775"/>
      <c r="V16" s="774"/>
      <c r="W16" s="775"/>
      <c r="X16" s="1816"/>
      <c r="Y16" s="3199"/>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3"/>
      <c r="Q17" s="1813" t="str">
        <f>B17</f>
        <v>交通便捷度</v>
      </c>
      <c r="R17" s="774" t="s">
        <v>21</v>
      </c>
      <c r="S17" s="775">
        <f>F17</f>
        <v>100</v>
      </c>
      <c r="T17" s="774" t="s">
        <v>21</v>
      </c>
      <c r="U17" s="775">
        <f>H17</f>
        <v>100</v>
      </c>
      <c r="V17" s="774" t="s">
        <v>21</v>
      </c>
      <c r="W17" s="775">
        <f>J17</f>
        <v>100</v>
      </c>
      <c r="X17" s="1816"/>
      <c r="Y17" s="3199"/>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43"/>
      <c r="Q18" s="1813"/>
      <c r="R18" s="774"/>
      <c r="S18" s="775"/>
      <c r="T18" s="774"/>
      <c r="U18" s="775"/>
      <c r="V18" s="774"/>
      <c r="W18" s="775"/>
      <c r="X18" s="1816"/>
      <c r="Y18" s="3199"/>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3"/>
      <c r="Q19" s="1813" t="str">
        <f>B19</f>
        <v>公共配套设施</v>
      </c>
      <c r="R19" s="774" t="s">
        <v>21</v>
      </c>
      <c r="S19" s="775">
        <f>F19</f>
        <v>100</v>
      </c>
      <c r="T19" s="774" t="s">
        <v>21</v>
      </c>
      <c r="U19" s="775">
        <f>H19</f>
        <v>100</v>
      </c>
      <c r="V19" s="774" t="s">
        <v>21</v>
      </c>
      <c r="W19" s="775">
        <f>J19</f>
        <v>100</v>
      </c>
      <c r="X19" s="1816"/>
      <c r="Y19" s="3199"/>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43"/>
      <c r="Q20" s="1813"/>
      <c r="R20" s="774"/>
      <c r="S20" s="775"/>
      <c r="T20" s="774"/>
      <c r="U20" s="775"/>
      <c r="V20" s="774"/>
      <c r="W20" s="775"/>
      <c r="X20" s="1816"/>
      <c r="Y20" s="3199"/>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43"/>
      <c r="Q22" s="1813"/>
      <c r="R22" s="774"/>
      <c r="S22" s="775"/>
      <c r="T22" s="774"/>
      <c r="U22" s="775"/>
      <c r="V22" s="774"/>
      <c r="W22" s="775"/>
      <c r="X22" s="1816"/>
      <c r="Y22" s="3199"/>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3"/>
      <c r="Q23" s="1813" t="str">
        <f>B23</f>
        <v>自然及人文环境</v>
      </c>
      <c r="R23" s="774" t="s">
        <v>21</v>
      </c>
      <c r="S23" s="775">
        <f>F23</f>
        <v>100</v>
      </c>
      <c r="T23" s="774" t="s">
        <v>21</v>
      </c>
      <c r="U23" s="775">
        <f>H23</f>
        <v>100</v>
      </c>
      <c r="V23" s="774" t="s">
        <v>21</v>
      </c>
      <c r="W23" s="775">
        <f>J23</f>
        <v>100</v>
      </c>
      <c r="X23" s="1816"/>
      <c r="Y23" s="3199"/>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43"/>
      <c r="Q24" s="1813"/>
      <c r="R24" s="774"/>
      <c r="S24" s="775"/>
      <c r="T24" s="774"/>
      <c r="U24" s="775"/>
      <c r="V24" s="774"/>
      <c r="W24" s="775"/>
      <c r="X24" s="1816"/>
      <c r="Y24" s="3199"/>
      <c r="Z24" s="1817"/>
      <c r="AA24" s="1814">
        <v>1</v>
      </c>
      <c r="AB24" s="1814">
        <v>1</v>
      </c>
      <c r="AC24" s="1814">
        <v>1</v>
      </c>
    </row>
    <row r="25" spans="1:29" ht="15">
      <c r="A25" s="428"/>
      <c r="B25" s="422" t="s">
        <v>2564</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4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9"/>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43"/>
      <c r="Q26" s="1813" t="str">
        <f t="shared" si="11"/>
        <v>朝向</v>
      </c>
      <c r="R26" s="774" t="s">
        <v>21</v>
      </c>
      <c r="S26" s="775">
        <f t="shared" si="12"/>
        <v>100</v>
      </c>
      <c r="T26" s="774" t="s">
        <v>21</v>
      </c>
      <c r="U26" s="775">
        <f t="shared" si="13"/>
        <v>100</v>
      </c>
      <c r="V26" s="774" t="s">
        <v>21</v>
      </c>
      <c r="W26" s="775">
        <f t="shared" si="14"/>
        <v>100</v>
      </c>
      <c r="X26" s="1816"/>
      <c r="Y26" s="319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43"/>
      <c r="Q27" s="1798">
        <f t="shared" si="11"/>
        <v>111</v>
      </c>
      <c r="R27" s="770" t="s">
        <v>21</v>
      </c>
      <c r="S27" s="771">
        <f t="shared" si="12"/>
        <v>100</v>
      </c>
      <c r="T27" s="770" t="s">
        <v>21</v>
      </c>
      <c r="U27" s="771">
        <f t="shared" si="13"/>
        <v>100</v>
      </c>
      <c r="V27" s="770" t="s">
        <v>21</v>
      </c>
      <c r="W27" s="771">
        <f t="shared" si="14"/>
        <v>100</v>
      </c>
      <c r="X27" s="772"/>
      <c r="Y27" s="319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43"/>
      <c r="Q28" s="1813">
        <f t="shared" si="11"/>
        <v>111</v>
      </c>
      <c r="R28" s="774" t="s">
        <v>21</v>
      </c>
      <c r="S28" s="775">
        <f t="shared" si="12"/>
        <v>100</v>
      </c>
      <c r="T28" s="774" t="s">
        <v>21</v>
      </c>
      <c r="U28" s="775">
        <f t="shared" si="13"/>
        <v>100</v>
      </c>
      <c r="V28" s="774" t="s">
        <v>21</v>
      </c>
      <c r="W28" s="775">
        <f t="shared" si="14"/>
        <v>100</v>
      </c>
      <c r="X28" s="1816"/>
      <c r="Y28" s="319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43"/>
      <c r="Q29" s="1813">
        <f t="shared" si="11"/>
        <v>111</v>
      </c>
      <c r="R29" s="774" t="s">
        <v>21</v>
      </c>
      <c r="S29" s="775">
        <f t="shared" si="12"/>
        <v>100</v>
      </c>
      <c r="T29" s="774" t="s">
        <v>21</v>
      </c>
      <c r="U29" s="775">
        <f t="shared" si="13"/>
        <v>100</v>
      </c>
      <c r="V29" s="774" t="s">
        <v>21</v>
      </c>
      <c r="W29" s="775">
        <f t="shared" si="14"/>
        <v>100</v>
      </c>
      <c r="X29" s="1816"/>
      <c r="Y29" s="319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43"/>
      <c r="Q30" s="1813">
        <f t="shared" si="11"/>
        <v>111</v>
      </c>
      <c r="R30" s="774" t="s">
        <v>21</v>
      </c>
      <c r="S30" s="775">
        <f t="shared" si="12"/>
        <v>100</v>
      </c>
      <c r="T30" s="774" t="s">
        <v>21</v>
      </c>
      <c r="U30" s="775">
        <f t="shared" si="13"/>
        <v>100</v>
      </c>
      <c r="V30" s="774" t="s">
        <v>21</v>
      </c>
      <c r="W30" s="775">
        <f t="shared" si="14"/>
        <v>100</v>
      </c>
      <c r="X30" s="1816"/>
      <c r="Y30" s="319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43"/>
      <c r="Q31" s="1813">
        <f t="shared" si="11"/>
        <v>111</v>
      </c>
      <c r="R31" s="774" t="s">
        <v>21</v>
      </c>
      <c r="S31" s="775">
        <f t="shared" si="12"/>
        <v>100</v>
      </c>
      <c r="T31" s="774" t="s">
        <v>21</v>
      </c>
      <c r="U31" s="775">
        <f t="shared" si="13"/>
        <v>100</v>
      </c>
      <c r="V31" s="774" t="s">
        <v>21</v>
      </c>
      <c r="W31" s="775">
        <f t="shared" si="14"/>
        <v>100</v>
      </c>
      <c r="X31" s="1816"/>
      <c r="Y31" s="3199"/>
      <c r="Z31" s="1817">
        <f t="shared" si="18"/>
        <v>111</v>
      </c>
      <c r="AA31" s="1814">
        <f t="shared" si="15"/>
        <v>1</v>
      </c>
      <c r="AB31" s="1814">
        <f t="shared" si="16"/>
        <v>1</v>
      </c>
      <c r="AC31" s="1814">
        <f t="shared" si="17"/>
        <v>1</v>
      </c>
    </row>
    <row r="32" spans="1:29" ht="15">
      <c r="A32" s="440" t="s">
        <v>2566</v>
      </c>
      <c r="B32" s="71" t="s">
        <v>2567</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38" t="s">
        <v>2568</v>
      </c>
      <c r="Q32" s="1813" t="str">
        <f t="shared" si="11"/>
        <v>建筑类型</v>
      </c>
      <c r="R32" s="774" t="s">
        <v>21</v>
      </c>
      <c r="S32" s="775">
        <f t="shared" si="12"/>
        <v>100</v>
      </c>
      <c r="T32" s="774" t="s">
        <v>21</v>
      </c>
      <c r="U32" s="775">
        <f t="shared" si="13"/>
        <v>100</v>
      </c>
      <c r="V32" s="774" t="s">
        <v>21</v>
      </c>
      <c r="W32" s="775">
        <f t="shared" si="14"/>
        <v>100</v>
      </c>
      <c r="X32" s="1816"/>
      <c r="Y32" s="3201"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3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4" t="e">
        <f t="shared" si="15"/>
        <v>#N/A</v>
      </c>
      <c r="AB33" s="1814" t="e">
        <f t="shared" si="16"/>
        <v>#N/A</v>
      </c>
      <c r="AC33" s="1814" t="e">
        <f t="shared" si="17"/>
        <v>#N/A</v>
      </c>
    </row>
    <row r="34" spans="1:29" ht="15">
      <c r="A34" s="472"/>
      <c r="B34" s="422" t="s">
        <v>2570</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39"/>
      <c r="Q34" s="1813" t="str">
        <f t="shared" si="11"/>
        <v>建筑结构</v>
      </c>
      <c r="R34" s="774" t="s">
        <v>21</v>
      </c>
      <c r="S34" s="775">
        <f t="shared" si="12"/>
        <v>100</v>
      </c>
      <c r="T34" s="774" t="s">
        <v>21</v>
      </c>
      <c r="U34" s="775">
        <f t="shared" si="13"/>
        <v>100</v>
      </c>
      <c r="V34" s="774" t="s">
        <v>21</v>
      </c>
      <c r="W34" s="775">
        <f t="shared" si="14"/>
        <v>100</v>
      </c>
      <c r="X34" s="1816"/>
      <c r="Y34" s="3201"/>
      <c r="Z34" s="1817" t="str">
        <f t="shared" si="18"/>
        <v>建筑结构</v>
      </c>
      <c r="AA34" s="1814">
        <f t="shared" si="15"/>
        <v>1</v>
      </c>
      <c r="AB34" s="1814">
        <f t="shared" si="16"/>
        <v>1</v>
      </c>
      <c r="AC34" s="1814">
        <f t="shared" si="17"/>
        <v>1</v>
      </c>
    </row>
    <row r="35" spans="1:29" ht="15">
      <c r="A35" s="472"/>
      <c r="B35" s="422" t="s">
        <v>2571</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39"/>
      <c r="Q35" s="1813" t="str">
        <f t="shared" si="11"/>
        <v>建筑品质</v>
      </c>
      <c r="R35" s="774" t="s">
        <v>21</v>
      </c>
      <c r="S35" s="775">
        <f t="shared" si="12"/>
        <v>100</v>
      </c>
      <c r="T35" s="774" t="s">
        <v>21</v>
      </c>
      <c r="U35" s="775">
        <f t="shared" si="13"/>
        <v>100</v>
      </c>
      <c r="V35" s="774" t="s">
        <v>21</v>
      </c>
      <c r="W35" s="775">
        <f t="shared" si="14"/>
        <v>100</v>
      </c>
      <c r="X35" s="1816"/>
      <c r="Y35" s="3201"/>
      <c r="Z35" s="1817" t="str">
        <f t="shared" si="18"/>
        <v>建筑品质</v>
      </c>
      <c r="AA35" s="1814">
        <f t="shared" si="15"/>
        <v>1</v>
      </c>
      <c r="AB35" s="1814">
        <f t="shared" si="16"/>
        <v>1</v>
      </c>
      <c r="AC35" s="1814">
        <f t="shared" si="17"/>
        <v>1</v>
      </c>
    </row>
    <row r="36" spans="1:29" ht="15">
      <c r="A36" s="472"/>
      <c r="B36" s="422" t="s">
        <v>2572</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39"/>
      <c r="Q36" s="1813" t="str">
        <f t="shared" si="11"/>
        <v>公共部分装修</v>
      </c>
      <c r="R36" s="774" t="s">
        <v>21</v>
      </c>
      <c r="S36" s="775">
        <f t="shared" si="12"/>
        <v>100</v>
      </c>
      <c r="T36" s="774" t="s">
        <v>21</v>
      </c>
      <c r="U36" s="775">
        <f t="shared" si="13"/>
        <v>100</v>
      </c>
      <c r="V36" s="774" t="s">
        <v>21</v>
      </c>
      <c r="W36" s="775">
        <f t="shared" si="14"/>
        <v>100</v>
      </c>
      <c r="X36" s="1816"/>
      <c r="Y36" s="3201"/>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9"/>
      <c r="Q37" s="1798"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2574</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39" t="s">
        <v>2568</v>
      </c>
      <c r="Q38" s="1813" t="str">
        <f t="shared" si="11"/>
        <v>物业管理</v>
      </c>
      <c r="R38" s="774" t="s">
        <v>21</v>
      </c>
      <c r="S38" s="775">
        <f t="shared" si="12"/>
        <v>100</v>
      </c>
      <c r="T38" s="774" t="s">
        <v>21</v>
      </c>
      <c r="U38" s="775">
        <f t="shared" si="13"/>
        <v>100</v>
      </c>
      <c r="V38" s="774" t="s">
        <v>21</v>
      </c>
      <c r="W38" s="775">
        <f t="shared" si="14"/>
        <v>100</v>
      </c>
      <c r="X38" s="1816"/>
      <c r="Y38" s="3201" t="s">
        <v>2568</v>
      </c>
      <c r="Z38" s="1817" t="str">
        <f t="shared" si="18"/>
        <v>物业管理</v>
      </c>
      <c r="AA38" s="1814">
        <f t="shared" si="15"/>
        <v>1</v>
      </c>
      <c r="AB38" s="1814">
        <f t="shared" si="16"/>
        <v>1</v>
      </c>
      <c r="AC38" s="1814">
        <f t="shared" si="17"/>
        <v>1</v>
      </c>
    </row>
    <row r="39" spans="1:29" ht="15">
      <c r="A39" s="472"/>
      <c r="B39" s="422" t="s">
        <v>2575</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39"/>
      <c r="Q39" s="1813" t="str">
        <f t="shared" si="11"/>
        <v>市政基础设施</v>
      </c>
      <c r="R39" s="774" t="s">
        <v>21</v>
      </c>
      <c r="S39" s="775">
        <f t="shared" si="12"/>
        <v>100</v>
      </c>
      <c r="T39" s="774" t="s">
        <v>21</v>
      </c>
      <c r="U39" s="775">
        <f t="shared" si="13"/>
        <v>100</v>
      </c>
      <c r="V39" s="774" t="s">
        <v>21</v>
      </c>
      <c r="W39" s="775">
        <f t="shared" si="14"/>
        <v>100</v>
      </c>
      <c r="X39" s="1816"/>
      <c r="Y39" s="3201"/>
      <c r="Z39" s="1817" t="str">
        <f t="shared" si="18"/>
        <v>市政基础设施</v>
      </c>
      <c r="AA39" s="1814">
        <f t="shared" si="15"/>
        <v>1</v>
      </c>
      <c r="AB39" s="1814">
        <f t="shared" si="16"/>
        <v>1</v>
      </c>
      <c r="AC39" s="1814">
        <f t="shared" si="17"/>
        <v>1</v>
      </c>
    </row>
    <row r="40" spans="1:29" ht="15">
      <c r="A40" s="472"/>
      <c r="B40" s="422" t="s">
        <v>2576</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39"/>
      <c r="Q40" s="1813" t="str">
        <f t="shared" si="11"/>
        <v>房型</v>
      </c>
      <c r="R40" s="774" t="s">
        <v>21</v>
      </c>
      <c r="S40" s="775">
        <f t="shared" si="12"/>
        <v>100</v>
      </c>
      <c r="T40" s="774" t="s">
        <v>21</v>
      </c>
      <c r="U40" s="775">
        <f t="shared" si="13"/>
        <v>100</v>
      </c>
      <c r="V40" s="774" t="s">
        <v>21</v>
      </c>
      <c r="W40" s="775">
        <f t="shared" si="14"/>
        <v>100</v>
      </c>
      <c r="X40" s="1816"/>
      <c r="Y40" s="3201"/>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3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4">
        <f t="shared" si="15"/>
        <v>1</v>
      </c>
      <c r="AB41" s="1814">
        <f t="shared" si="16"/>
        <v>1</v>
      </c>
      <c r="AC41" s="1814">
        <f t="shared" si="17"/>
        <v>1</v>
      </c>
    </row>
    <row r="42" spans="1:29" ht="15">
      <c r="A42" s="472"/>
      <c r="B42" s="422" t="s">
        <v>2578</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39"/>
      <c r="Q42" s="1813" t="str">
        <f t="shared" si="11"/>
        <v>内部装修</v>
      </c>
      <c r="R42" s="774" t="s">
        <v>21</v>
      </c>
      <c r="S42" s="775">
        <f t="shared" si="12"/>
        <v>100</v>
      </c>
      <c r="T42" s="774" t="s">
        <v>21</v>
      </c>
      <c r="U42" s="775">
        <f t="shared" si="13"/>
        <v>100</v>
      </c>
      <c r="V42" s="774" t="s">
        <v>21</v>
      </c>
      <c r="W42" s="775">
        <f t="shared" si="14"/>
        <v>100</v>
      </c>
      <c r="X42" s="1816"/>
      <c r="Y42" s="3201"/>
      <c r="Z42" s="1817" t="str">
        <f t="shared" si="18"/>
        <v>内部装修</v>
      </c>
      <c r="AA42" s="1814">
        <f t="shared" si="15"/>
        <v>1</v>
      </c>
      <c r="AB42" s="1814">
        <f t="shared" si="16"/>
        <v>1</v>
      </c>
      <c r="AC42" s="1814">
        <f t="shared" si="17"/>
        <v>1</v>
      </c>
    </row>
    <row r="43" spans="1:29" ht="15">
      <c r="A43" s="472"/>
      <c r="B43" s="422" t="s">
        <v>2579</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39"/>
      <c r="Q43" s="1813" t="str">
        <f t="shared" si="11"/>
        <v>内部装修维护情况</v>
      </c>
      <c r="R43" s="774" t="s">
        <v>21</v>
      </c>
      <c r="S43" s="775">
        <f t="shared" si="12"/>
        <v>100</v>
      </c>
      <c r="T43" s="774" t="s">
        <v>21</v>
      </c>
      <c r="U43" s="775">
        <f t="shared" si="13"/>
        <v>100</v>
      </c>
      <c r="V43" s="774" t="s">
        <v>21</v>
      </c>
      <c r="W43" s="775">
        <f t="shared" si="14"/>
        <v>100</v>
      </c>
      <c r="X43" s="1816"/>
      <c r="Y43" s="320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39"/>
      <c r="Q44" s="1798">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39"/>
      <c r="Q45" s="1813">
        <f t="shared" si="11"/>
        <v>111</v>
      </c>
      <c r="R45" s="774" t="s">
        <v>21</v>
      </c>
      <c r="S45" s="775">
        <f t="shared" si="12"/>
        <v>100</v>
      </c>
      <c r="T45" s="774" t="s">
        <v>21</v>
      </c>
      <c r="U45" s="775">
        <f t="shared" si="13"/>
        <v>100</v>
      </c>
      <c r="V45" s="774" t="s">
        <v>21</v>
      </c>
      <c r="W45" s="775">
        <f t="shared" si="14"/>
        <v>100</v>
      </c>
      <c r="X45" s="1816"/>
      <c r="Y45" s="3201"/>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40"/>
      <c r="Q46" s="1813">
        <f t="shared" si="11"/>
        <v>111</v>
      </c>
      <c r="R46" s="774" t="s">
        <v>20</v>
      </c>
      <c r="S46" s="775">
        <f t="shared" si="12"/>
        <v>100</v>
      </c>
      <c r="T46" s="774" t="s">
        <v>20</v>
      </c>
      <c r="U46" s="775">
        <f t="shared" si="13"/>
        <v>100</v>
      </c>
      <c r="V46" s="774" t="s">
        <v>20</v>
      </c>
      <c r="W46" s="775">
        <f t="shared" si="14"/>
        <v>100</v>
      </c>
      <c r="X46" s="1816"/>
      <c r="Y46" s="3241"/>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8"/>
      <c r="L47" s="1146"/>
      <c r="M47" s="1147"/>
      <c r="N47" s="1134"/>
      <c r="O47" s="1147"/>
      <c r="P47" s="3183" t="str">
        <f>A47</f>
        <v>成交单价（元/平方米）</v>
      </c>
      <c r="Q47" s="3183"/>
      <c r="R47" s="3237">
        <f>E47</f>
        <v>0</v>
      </c>
      <c r="S47" s="3237"/>
      <c r="T47" s="3237">
        <f>G47</f>
        <v>0</v>
      </c>
      <c r="U47" s="3237"/>
      <c r="V47" s="3237">
        <f>I47</f>
        <v>0</v>
      </c>
      <c r="W47" s="3237"/>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9"/>
      <c r="L48" s="1146"/>
      <c r="M48" s="1147"/>
      <c r="N48" s="1147"/>
      <c r="O48" s="1147"/>
      <c r="P48" s="3183" t="str">
        <f>A48</f>
        <v>比较价值（元/平方米）</v>
      </c>
      <c r="Q48" s="3183"/>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30"/>
      <c r="L49" s="1146"/>
      <c r="M49" s="1147"/>
      <c r="N49" s="1147"/>
      <c r="O49" s="1147"/>
      <c r="P49" s="3203" t="str">
        <f>A49</f>
        <v>估价对象XX用房的比较价值（楼面单价，元/平方米）</v>
      </c>
      <c r="Q49" s="3204"/>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3"/>
      <c r="Q57" s="504"/>
    </row>
    <row r="58" spans="1:29" s="508" customFormat="1" ht="15">
      <c r="A58" s="505" t="s">
        <v>2587</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2589</v>
      </c>
      <c r="B61" s="510"/>
      <c r="C61" s="522" t="s">
        <v>2590</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2614</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2566</v>
      </c>
      <c r="B100" s="528" t="s">
        <v>2615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2618</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2619</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2622</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2625</v>
      </c>
    </row>
    <row r="137" spans="1:17" ht="15">
      <c r="B137" s="2645" t="s">
        <v>2626</v>
      </c>
      <c r="C137" s="2646"/>
      <c r="D137" s="2646"/>
      <c r="E137" s="2646"/>
      <c r="F137" s="2646"/>
      <c r="G137" s="2647"/>
      <c r="H137" s="2648"/>
      <c r="I137" s="2649" t="s">
        <v>2627</v>
      </c>
      <c r="J137" s="2646"/>
      <c r="K137" s="2650"/>
    </row>
    <row r="138" spans="1:17" ht="15">
      <c r="B138" s="2651"/>
      <c r="C138" s="146" t="s">
        <v>2628</v>
      </c>
      <c r="D138" s="146" t="s">
        <v>2629</v>
      </c>
      <c r="E138" s="2652" t="s">
        <v>2630</v>
      </c>
      <c r="F138" s="2653" t="s">
        <v>2631</v>
      </c>
      <c r="G138" s="146" t="s">
        <v>2629</v>
      </c>
      <c r="H138" s="147" t="s">
        <v>2630</v>
      </c>
      <c r="I138" s="2654"/>
      <c r="J138" s="146" t="s">
        <v>2632</v>
      </c>
      <c r="K138" s="147" t="s">
        <v>2633</v>
      </c>
    </row>
    <row r="139" spans="1:17" ht="15">
      <c r="B139" s="1087">
        <v>6</v>
      </c>
      <c r="C139" s="1088">
        <v>96</v>
      </c>
      <c r="D139" s="2655" t="s">
        <v>2634</v>
      </c>
      <c r="E139" s="1089">
        <v>100</v>
      </c>
      <c r="F139" s="1090">
        <v>102.5</v>
      </c>
      <c r="G139" s="2655" t="s">
        <v>2634</v>
      </c>
      <c r="H139" s="1091">
        <v>105</v>
      </c>
      <c r="I139" s="2656" t="s">
        <v>2635</v>
      </c>
      <c r="J139" s="1088">
        <v>20</v>
      </c>
      <c r="K139" s="1092">
        <f>C145/(J139-2)</f>
        <v>4.0555555555555553E-3</v>
      </c>
    </row>
    <row r="140" spans="1:17" ht="15">
      <c r="B140" s="1093">
        <v>5</v>
      </c>
      <c r="C140" s="1094">
        <v>100</v>
      </c>
      <c r="D140" s="1094"/>
      <c r="E140" s="1095"/>
      <c r="F140" s="1096">
        <v>102</v>
      </c>
      <c r="G140" s="1094"/>
      <c r="H140" s="1097"/>
      <c r="I140" s="2657" t="s">
        <v>2636</v>
      </c>
      <c r="J140" s="315">
        <f>ROUNDUP((J139-1)/2,0)</f>
        <v>10</v>
      </c>
      <c r="K140" s="1098">
        <v>100</v>
      </c>
    </row>
    <row r="141" spans="1:17" ht="15">
      <c r="B141" s="1093">
        <v>4</v>
      </c>
      <c r="C141" s="1094">
        <v>102</v>
      </c>
      <c r="D141" s="1094"/>
      <c r="E141" s="1095"/>
      <c r="F141" s="1096">
        <v>101.5</v>
      </c>
      <c r="G141" s="1094"/>
      <c r="H141" s="1097"/>
      <c r="I141" s="2657" t="s">
        <v>2637</v>
      </c>
      <c r="J141" s="315">
        <v>1</v>
      </c>
      <c r="K141" s="1099">
        <f>ROUND(100+(J141-J140)*K139*100,1)</f>
        <v>96.4</v>
      </c>
    </row>
    <row r="142" spans="1:17" ht="15">
      <c r="B142" s="1093">
        <v>3</v>
      </c>
      <c r="C142" s="1094">
        <v>103</v>
      </c>
      <c r="D142" s="1094"/>
      <c r="E142" s="1095"/>
      <c r="F142" s="1096">
        <v>101</v>
      </c>
      <c r="G142" s="1094"/>
      <c r="H142" s="1097"/>
      <c r="I142" s="2657" t="s">
        <v>2638</v>
      </c>
      <c r="J142" s="315">
        <f>J139</f>
        <v>20</v>
      </c>
      <c r="K142" s="1100">
        <v>95</v>
      </c>
    </row>
    <row r="143" spans="1:17" ht="15">
      <c r="B143" s="1093">
        <v>2</v>
      </c>
      <c r="C143" s="1094">
        <v>100</v>
      </c>
      <c r="D143" s="1094"/>
      <c r="E143" s="1095"/>
      <c r="F143" s="1096">
        <v>100.5</v>
      </c>
      <c r="G143" s="1094"/>
      <c r="H143" s="1097"/>
      <c r="I143" s="2657" t="s">
        <v>2639</v>
      </c>
      <c r="J143" s="1094">
        <v>15</v>
      </c>
      <c r="K143" s="1099">
        <f>ROUND(100+(J143-J140)*K139*100,1)</f>
        <v>102</v>
      </c>
    </row>
    <row r="144" spans="1:17" ht="15">
      <c r="B144" s="1093">
        <v>1</v>
      </c>
      <c r="C144" s="1094">
        <v>98</v>
      </c>
      <c r="D144" s="2658" t="s">
        <v>2640</v>
      </c>
      <c r="E144" s="1095">
        <v>102</v>
      </c>
      <c r="F144" s="1101">
        <v>100</v>
      </c>
      <c r="G144" s="2658" t="s">
        <v>2640</v>
      </c>
      <c r="H144" s="1097">
        <v>105</v>
      </c>
      <c r="I144" s="2657" t="s">
        <v>2639</v>
      </c>
      <c r="J144" s="1094">
        <v>18</v>
      </c>
      <c r="K144" s="1099">
        <f>ROUND(100+(J144-J140)*K139*100,1)</f>
        <v>103.2</v>
      </c>
    </row>
    <row r="145" spans="2:11" ht="15.75" thickBot="1">
      <c r="B145" s="2659" t="s">
        <v>2641</v>
      </c>
      <c r="C145" s="1102">
        <f>ROUND(MAX(C139:C144)/MIN(C139:C144)-1,3)</f>
        <v>7.2999999999999995E-2</v>
      </c>
      <c r="D145" s="1103"/>
      <c r="E145" s="1103"/>
      <c r="F145" s="2660" t="s">
        <v>2642</v>
      </c>
      <c r="G145" s="2661"/>
      <c r="H145" s="2662"/>
      <c r="I145" s="2663" t="s">
        <v>2639</v>
      </c>
      <c r="J145" s="1104">
        <v>8</v>
      </c>
      <c r="K145" s="1105">
        <f>ROUND(100+(J145-J140)*K139*100,1)</f>
        <v>99.2</v>
      </c>
    </row>
    <row r="147" spans="2:11">
      <c r="B147" s="2644" t="s">
        <v>2643</v>
      </c>
    </row>
    <row r="148" spans="2:11">
      <c r="B148" s="2644"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7" zoomScale="90" zoomScaleNormal="90" workbookViewId="0">
      <selection activeCell="C2" sqref="C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2645</v>
      </c>
      <c r="C1" s="1637" t="s">
        <v>2533</v>
      </c>
      <c r="D1" s="1624"/>
      <c r="E1" s="2664"/>
      <c r="F1" s="2591"/>
      <c r="G1" s="1634" t="s">
        <v>2646</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2333</v>
      </c>
      <c r="B2" s="1421">
        <f>IF(C2="——",ROUND(C49*D3/10000,0),ROUND(C49*D3/10000,0)-D2)</f>
        <v>60906</v>
      </c>
      <c r="C2" s="2593" t="s">
        <v>70</v>
      </c>
      <c r="D2" s="1368" t="e">
        <f ca="1">SUMIF(INDIRECT("'"&amp;F2&amp;"'"&amp;"!A:A"),"承租人权益价值",INDIRECT("'"&amp;F2&amp;"'"&amp;"!c:c"))</f>
        <v>#REF!</v>
      </c>
      <c r="E2" s="2594" t="s">
        <v>2334</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2335</v>
      </c>
      <c r="B3" s="609">
        <f>IF(C2="——",C49,ROUND(B2*10000/D3,0))</f>
        <v>20000</v>
      </c>
      <c r="C3" s="400" t="s">
        <v>2647</v>
      </c>
      <c r="D3" s="399">
        <f>IF(D1="",'数据-汇总表'!E3,SUMIF('数据-汇总表'!$C19:$C33,D1,'数据-汇总表'!$E19:$E33))</f>
        <v>30453.1</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96" t="s">
        <v>2651</v>
      </c>
      <c r="AC4" s="3166" t="s">
        <v>2652</v>
      </c>
    </row>
    <row r="5" spans="1:29" ht="15">
      <c r="A5" s="404"/>
      <c r="B5" s="405"/>
      <c r="C5" s="3177" t="s">
        <v>2545</v>
      </c>
      <c r="D5" s="3178"/>
      <c r="E5" s="3175" t="s">
        <v>2546</v>
      </c>
      <c r="F5" s="3176"/>
      <c r="G5" s="3177" t="s">
        <v>2547</v>
      </c>
      <c r="H5" s="3178"/>
      <c r="I5" s="3177" t="s">
        <v>2548</v>
      </c>
      <c r="J5" s="3178"/>
      <c r="K5" s="610"/>
      <c r="L5" s="1133"/>
      <c r="M5" s="1134"/>
      <c r="N5" s="1134"/>
      <c r="O5" s="1134"/>
      <c r="P5" s="3190"/>
      <c r="Q5" s="3191"/>
      <c r="R5" s="3173"/>
      <c r="S5" s="3174"/>
      <c r="T5" s="3173"/>
      <c r="U5" s="3174"/>
      <c r="V5" s="3196"/>
      <c r="W5" s="3196"/>
      <c r="X5" s="1816"/>
      <c r="Y5" s="3173"/>
      <c r="Z5" s="3174"/>
      <c r="AA5" s="3167"/>
      <c r="AB5" s="3196"/>
      <c r="AC5" s="3167"/>
    </row>
    <row r="6" spans="1:29" ht="15.75" thickBot="1">
      <c r="A6" s="406"/>
      <c r="B6" s="407"/>
      <c r="C6" s="3179" t="s">
        <v>2549</v>
      </c>
      <c r="D6" s="3180"/>
      <c r="E6" s="3181" t="s">
        <v>2549</v>
      </c>
      <c r="F6" s="3182"/>
      <c r="G6" s="3179" t="s">
        <v>2549</v>
      </c>
      <c r="H6" s="3180"/>
      <c r="I6" s="3179" t="s">
        <v>2549</v>
      </c>
      <c r="J6" s="3180"/>
      <c r="K6" s="610" t="s">
        <v>2550</v>
      </c>
      <c r="L6" s="1133"/>
      <c r="M6" s="1134"/>
      <c r="N6" s="1134"/>
      <c r="O6" s="1134"/>
      <c r="P6" s="3192"/>
      <c r="Q6" s="3193"/>
      <c r="R6" s="3173"/>
      <c r="S6" s="3174"/>
      <c r="T6" s="3194"/>
      <c r="U6" s="3195"/>
      <c r="V6" s="3196"/>
      <c r="W6" s="3196"/>
      <c r="X6" s="1816"/>
      <c r="Y6" s="3194"/>
      <c r="Z6" s="3195"/>
      <c r="AA6" s="3168"/>
      <c r="AB6" s="3196"/>
      <c r="AC6" s="3168"/>
    </row>
    <row r="7" spans="1:29" s="117" customFormat="1" ht="15.75" thickBot="1">
      <c r="A7" s="408" t="s">
        <v>2551</v>
      </c>
      <c r="B7" s="409"/>
      <c r="C7" s="410">
        <f>'数据-取费表'!B2</f>
        <v>43354</v>
      </c>
      <c r="D7" s="411">
        <v>100</v>
      </c>
      <c r="E7" s="412">
        <f>C7</f>
        <v>43354</v>
      </c>
      <c r="F7" s="413">
        <f>SUMIF(58:58,YEAR(E7)&amp;"-"&amp;MONTH(E7),59:59)</f>
        <v>100</v>
      </c>
      <c r="G7" s="412">
        <f>C7</f>
        <v>43354</v>
      </c>
      <c r="H7" s="411">
        <f>SUMIF(58:58,YEAR(G7)&amp;"-"&amp;MONTH(G7),59:59)</f>
        <v>100</v>
      </c>
      <c r="I7" s="412">
        <f>C7</f>
        <v>43354</v>
      </c>
      <c r="J7" s="411">
        <f>SUMIF(58:58,YEAR(I7)&amp;"-"&amp;MONTH(I7),59:59)</f>
        <v>100</v>
      </c>
      <c r="K7" s="611"/>
      <c r="L7" s="1135"/>
      <c r="M7" s="1136"/>
      <c r="N7" s="1136"/>
      <c r="O7" s="1136"/>
      <c r="P7" s="3169" t="s">
        <v>2552</v>
      </c>
      <c r="Q7" s="3197"/>
      <c r="R7" s="770" t="s">
        <v>17</v>
      </c>
      <c r="S7" s="771">
        <f t="shared" ref="S7:S15" si="0">F7</f>
        <v>100</v>
      </c>
      <c r="T7" s="770" t="s">
        <v>17</v>
      </c>
      <c r="U7" s="771">
        <f t="shared" ref="U7:U15" si="1">H7</f>
        <v>100</v>
      </c>
      <c r="V7" s="770" t="s">
        <v>17</v>
      </c>
      <c r="W7" s="771">
        <f t="shared" ref="W7:W15" si="2">J7</f>
        <v>100</v>
      </c>
      <c r="X7" s="772"/>
      <c r="Y7" s="3169" t="s">
        <v>2552</v>
      </c>
      <c r="Z7" s="3170"/>
      <c r="AA7" s="773">
        <f>D7/F7</f>
        <v>1</v>
      </c>
      <c r="AB7" s="773">
        <f>D7/H7</f>
        <v>1</v>
      </c>
      <c r="AC7" s="773">
        <f>D7/J7</f>
        <v>1</v>
      </c>
    </row>
    <row r="8" spans="1:29" s="117" customFormat="1" ht="15.75" thickBot="1">
      <c r="A8" s="408" t="s">
        <v>2553</v>
      </c>
      <c r="B8" s="409"/>
      <c r="C8" s="414" t="s">
        <v>2655</v>
      </c>
      <c r="D8" s="411">
        <v>100</v>
      </c>
      <c r="E8" s="414" t="s">
        <v>3103</v>
      </c>
      <c r="F8" s="413">
        <f>SUMIF(61:61,E8,62:62)-SUMIF(61:61,C8,62:62)+100</f>
        <v>100</v>
      </c>
      <c r="G8" s="414" t="s">
        <v>3103</v>
      </c>
      <c r="H8" s="411">
        <f>SUMIF(61:61,G8,62:62)-SUMIF(61:61,C8,62:62)+100</f>
        <v>100</v>
      </c>
      <c r="I8" s="414" t="s">
        <v>3103</v>
      </c>
      <c r="J8" s="411">
        <f>SUMIF(61:61,I8,62:62)-SUMIF(61:61,C8,62:62)+100</f>
        <v>100</v>
      </c>
      <c r="K8" s="611"/>
      <c r="L8" s="1135"/>
      <c r="M8" s="1136"/>
      <c r="N8" s="1136"/>
      <c r="O8" s="1136"/>
      <c r="P8" s="3169" t="s">
        <v>2555</v>
      </c>
      <c r="Q8" s="3170"/>
      <c r="R8" s="770" t="s">
        <v>17</v>
      </c>
      <c r="S8" s="771">
        <f t="shared" si="0"/>
        <v>100</v>
      </c>
      <c r="T8" s="770" t="s">
        <v>17</v>
      </c>
      <c r="U8" s="771">
        <f t="shared" si="1"/>
        <v>100</v>
      </c>
      <c r="V8" s="770" t="s">
        <v>17</v>
      </c>
      <c r="W8" s="771">
        <f t="shared" si="2"/>
        <v>100</v>
      </c>
      <c r="X8" s="772"/>
      <c r="Y8" s="3169" t="s">
        <v>2555</v>
      </c>
      <c r="Z8" s="3170"/>
      <c r="AA8" s="773">
        <f t="shared" ref="AA8:AA46" si="3">D8/F8</f>
        <v>1</v>
      </c>
      <c r="AB8" s="773">
        <f t="shared" ref="AB8:AB46" si="4">D8/H8</f>
        <v>1</v>
      </c>
      <c r="AC8" s="773">
        <f t="shared" ref="AC8:AC46" si="5">D8/J8</f>
        <v>1</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7" t="s">
        <v>2558</v>
      </c>
      <c r="Q9" s="1798" t="str">
        <f t="shared" ref="Q9:Q15" si="6">B9</f>
        <v>用途</v>
      </c>
      <c r="R9" s="770" t="s">
        <v>17</v>
      </c>
      <c r="S9" s="771">
        <f t="shared" si="0"/>
        <v>100</v>
      </c>
      <c r="T9" s="770" t="s">
        <v>17</v>
      </c>
      <c r="U9" s="771">
        <f t="shared" si="1"/>
        <v>100</v>
      </c>
      <c r="V9" s="770" t="s">
        <v>17</v>
      </c>
      <c r="W9" s="771">
        <f t="shared" si="2"/>
        <v>100</v>
      </c>
      <c r="X9" s="772"/>
      <c r="Y9" s="302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2561</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41"/>
      <c r="M11" s="1134"/>
      <c r="N11" s="1134"/>
      <c r="O11" s="1134"/>
      <c r="P11" s="3207"/>
      <c r="Q11" s="1798" t="str">
        <f t="shared" si="6"/>
        <v>容积率</v>
      </c>
      <c r="R11" s="770" t="s">
        <v>17</v>
      </c>
      <c r="S11" s="771">
        <f t="shared" si="0"/>
        <v>100</v>
      </c>
      <c r="T11" s="770" t="s">
        <v>17</v>
      </c>
      <c r="U11" s="771">
        <f t="shared" si="1"/>
        <v>100</v>
      </c>
      <c r="V11" s="770" t="s">
        <v>17</v>
      </c>
      <c r="W11" s="771">
        <f t="shared" si="2"/>
        <v>100</v>
      </c>
      <c r="X11" s="772"/>
      <c r="Y11" s="3023"/>
      <c r="Z11" s="55" t="str">
        <f t="shared" si="7"/>
        <v>容积率</v>
      </c>
      <c r="AA11" s="773">
        <f t="shared" si="3"/>
        <v>1</v>
      </c>
      <c r="AB11" s="773">
        <f t="shared" si="4"/>
        <v>1</v>
      </c>
      <c r="AC11" s="773">
        <f t="shared" si="5"/>
        <v>1</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7"/>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2562</v>
      </c>
      <c r="B15" s="69" t="s">
        <v>2656</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2" t="s">
        <v>2563</v>
      </c>
      <c r="Q15" s="1813" t="str">
        <f t="shared" si="6"/>
        <v>商业繁华度</v>
      </c>
      <c r="R15" s="774" t="s">
        <v>17</v>
      </c>
      <c r="S15" s="775">
        <f t="shared" si="0"/>
        <v>100</v>
      </c>
      <c r="T15" s="774" t="s">
        <v>17</v>
      </c>
      <c r="U15" s="775">
        <f t="shared" si="1"/>
        <v>100</v>
      </c>
      <c r="V15" s="774" t="s">
        <v>17</v>
      </c>
      <c r="W15" s="775">
        <f t="shared" si="2"/>
        <v>100</v>
      </c>
      <c r="X15" s="1816"/>
      <c r="Y15" s="3198"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3"/>
      <c r="Q16" s="1813"/>
      <c r="R16" s="774"/>
      <c r="S16" s="775"/>
      <c r="T16" s="774"/>
      <c r="U16" s="775"/>
      <c r="V16" s="774"/>
      <c r="W16" s="775"/>
      <c r="X16" s="1816"/>
      <c r="Y16" s="3199"/>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43"/>
      <c r="Q18" s="1813"/>
      <c r="R18" s="774"/>
      <c r="S18" s="775"/>
      <c r="T18" s="774"/>
      <c r="U18" s="775"/>
      <c r="V18" s="774"/>
      <c r="W18" s="775"/>
      <c r="X18" s="1816"/>
      <c r="Y18" s="3199"/>
      <c r="Z18" s="1817"/>
      <c r="AA18" s="1814">
        <v>1</v>
      </c>
      <c r="AB18" s="1814">
        <v>1</v>
      </c>
      <c r="AC18" s="1814">
        <v>1</v>
      </c>
    </row>
    <row r="19" spans="1:29" ht="42.75">
      <c r="A19" s="428"/>
      <c r="B19" s="451" t="s">
        <v>2657</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9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43"/>
      <c r="Q20" s="1813"/>
      <c r="R20" s="774"/>
      <c r="S20" s="775"/>
      <c r="T20" s="774"/>
      <c r="U20" s="775"/>
      <c r="V20" s="774"/>
      <c r="W20" s="775"/>
      <c r="X20" s="1816"/>
      <c r="Y20" s="3199"/>
      <c r="Z20" s="1817"/>
      <c r="AA20" s="1814">
        <v>1</v>
      </c>
      <c r="AB20" s="1814">
        <v>1</v>
      </c>
      <c r="AC20" s="1814">
        <v>1</v>
      </c>
    </row>
    <row r="21" spans="1:29" ht="28.5">
      <c r="A21" s="428"/>
      <c r="B21" s="1387" t="s">
        <v>2658</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43"/>
      <c r="Q22" s="1813"/>
      <c r="R22" s="774"/>
      <c r="S22" s="775"/>
      <c r="T22" s="774"/>
      <c r="U22" s="775"/>
      <c r="V22" s="774"/>
      <c r="W22" s="775"/>
      <c r="X22" s="1816"/>
      <c r="Y22" s="3199"/>
      <c r="Z22" s="1817"/>
      <c r="AA22" s="1814">
        <v>1</v>
      </c>
      <c r="AB22" s="1814">
        <v>1</v>
      </c>
      <c r="AC22" s="1814">
        <v>1</v>
      </c>
    </row>
    <row r="23" spans="1:29" ht="57">
      <c r="A23" s="428"/>
      <c r="B23" s="451" t="s">
        <v>2106</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3"/>
      <c r="Q23" s="1813" t="str">
        <f>B23</f>
        <v>自然及人文环境</v>
      </c>
      <c r="R23" s="774" t="s">
        <v>17</v>
      </c>
      <c r="S23" s="775">
        <f>F23</f>
        <v>100</v>
      </c>
      <c r="T23" s="774" t="s">
        <v>17</v>
      </c>
      <c r="U23" s="775">
        <f>H23</f>
        <v>100</v>
      </c>
      <c r="V23" s="774" t="s">
        <v>17</v>
      </c>
      <c r="W23" s="775">
        <f>J23</f>
        <v>100</v>
      </c>
      <c r="X23" s="1816"/>
      <c r="Y23" s="319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43"/>
      <c r="Q24" s="1813"/>
      <c r="R24" s="774"/>
      <c r="S24" s="775"/>
      <c r="T24" s="774"/>
      <c r="U24" s="775"/>
      <c r="V24" s="774"/>
      <c r="W24" s="775"/>
      <c r="X24" s="1816"/>
      <c r="Y24" s="3199"/>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3"/>
      <c r="Q25" s="1813" t="str">
        <f t="shared" ref="Q25:Q46" si="11">B25</f>
        <v>临街状况</v>
      </c>
      <c r="R25" s="774" t="s">
        <v>17</v>
      </c>
      <c r="S25" s="775">
        <f>F25</f>
        <v>100</v>
      </c>
      <c r="T25" s="774" t="s">
        <v>17</v>
      </c>
      <c r="U25" s="775">
        <f>H25</f>
        <v>100</v>
      </c>
      <c r="V25" s="774" t="s">
        <v>17</v>
      </c>
      <c r="W25" s="775">
        <f>J25</f>
        <v>100</v>
      </c>
      <c r="X25" s="1816"/>
      <c r="Y25" s="3199"/>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3"/>
      <c r="Q26" s="1813" t="str">
        <f t="shared" si="11"/>
        <v>平面位置/可视性</v>
      </c>
      <c r="R26" s="774" t="s">
        <v>17</v>
      </c>
      <c r="S26" s="775">
        <f>F26</f>
        <v>100</v>
      </c>
      <c r="T26" s="774" t="s">
        <v>17</v>
      </c>
      <c r="U26" s="775">
        <f>H26</f>
        <v>100</v>
      </c>
      <c r="V26" s="774" t="s">
        <v>17</v>
      </c>
      <c r="W26" s="775">
        <f>J26</f>
        <v>100</v>
      </c>
      <c r="X26" s="1816"/>
      <c r="Y26" s="3199"/>
      <c r="Z26" s="1817" t="str">
        <f>Q26</f>
        <v>平面位置/可视性</v>
      </c>
      <c r="AA26" s="1814">
        <f t="shared" si="3"/>
        <v>1</v>
      </c>
      <c r="AB26" s="1814">
        <f t="shared" si="4"/>
        <v>1</v>
      </c>
      <c r="AC26" s="1814">
        <f t="shared" si="5"/>
        <v>1</v>
      </c>
    </row>
    <row r="27" spans="1:29" s="117" customFormat="1" ht="15">
      <c r="A27" s="431"/>
      <c r="B27" s="451" t="s">
        <v>2661</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43"/>
      <c r="Q27" s="1798" t="str">
        <f t="shared" si="11"/>
        <v>人流量</v>
      </c>
      <c r="R27" s="770" t="s">
        <v>17</v>
      </c>
      <c r="S27" s="771">
        <f>F27</f>
        <v>100</v>
      </c>
      <c r="T27" s="770" t="s">
        <v>17</v>
      </c>
      <c r="U27" s="771">
        <f>H27</f>
        <v>100</v>
      </c>
      <c r="V27" s="770" t="s">
        <v>17</v>
      </c>
      <c r="W27" s="771">
        <f>J27</f>
        <v>100</v>
      </c>
      <c r="X27" s="772"/>
      <c r="Y27" s="3199"/>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3"/>
      <c r="Q29" s="1813">
        <f t="shared" si="11"/>
        <v>111</v>
      </c>
      <c r="R29" s="774" t="s">
        <v>17</v>
      </c>
      <c r="S29" s="775">
        <f t="shared" si="12"/>
        <v>100</v>
      </c>
      <c r="T29" s="774" t="s">
        <v>17</v>
      </c>
      <c r="U29" s="775">
        <f t="shared" si="13"/>
        <v>100</v>
      </c>
      <c r="V29" s="774" t="s">
        <v>17</v>
      </c>
      <c r="W29" s="775">
        <f t="shared" si="14"/>
        <v>100</v>
      </c>
      <c r="X29" s="1816"/>
      <c r="Y29" s="319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9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99"/>
      <c r="Z31" s="1817">
        <f t="shared" si="15"/>
        <v>111</v>
      </c>
      <c r="AA31" s="1814">
        <f t="shared" si="3"/>
        <v>1</v>
      </c>
      <c r="AB31" s="1814">
        <f t="shared" si="4"/>
        <v>1</v>
      </c>
      <c r="AC31" s="1814">
        <f t="shared" si="5"/>
        <v>1</v>
      </c>
    </row>
    <row r="32" spans="1:29" ht="15">
      <c r="A32" s="440" t="s">
        <v>2566</v>
      </c>
      <c r="B32" s="71" t="s">
        <v>2663</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38" t="s">
        <v>2568</v>
      </c>
      <c r="Q32" s="1813" t="str">
        <f t="shared" si="11"/>
        <v>商业类型</v>
      </c>
      <c r="R32" s="774" t="s">
        <v>17</v>
      </c>
      <c r="S32" s="775">
        <f t="shared" si="12"/>
        <v>100</v>
      </c>
      <c r="T32" s="774" t="s">
        <v>17</v>
      </c>
      <c r="U32" s="775">
        <f t="shared" si="13"/>
        <v>100</v>
      </c>
      <c r="V32" s="774" t="s">
        <v>17</v>
      </c>
      <c r="W32" s="775">
        <f t="shared" si="14"/>
        <v>100</v>
      </c>
      <c r="X32" s="1816"/>
      <c r="Y32" s="3201"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239"/>
      <c r="Q33" s="776" t="str">
        <f t="shared" si="11"/>
        <v>项目建筑规模</v>
      </c>
      <c r="R33" s="777" t="s">
        <v>17</v>
      </c>
      <c r="S33" s="778">
        <f t="shared" si="12"/>
        <v>100</v>
      </c>
      <c r="T33" s="777" t="s">
        <v>17</v>
      </c>
      <c r="U33" s="778">
        <f t="shared" si="13"/>
        <v>100</v>
      </c>
      <c r="V33" s="777" t="s">
        <v>17</v>
      </c>
      <c r="W33" s="778">
        <f t="shared" si="14"/>
        <v>100</v>
      </c>
      <c r="X33" s="779"/>
      <c r="Y33" s="3201"/>
      <c r="Z33" s="780" t="str">
        <f t="shared" si="15"/>
        <v>项目建筑规模</v>
      </c>
      <c r="AA33" s="1814">
        <f t="shared" si="3"/>
        <v>1</v>
      </c>
      <c r="AB33" s="1814">
        <f t="shared" si="4"/>
        <v>1</v>
      </c>
      <c r="AC33" s="1814">
        <f t="shared" si="5"/>
        <v>1</v>
      </c>
    </row>
    <row r="34" spans="1:29" ht="15">
      <c r="A34" s="472"/>
      <c r="B34" s="422" t="s">
        <v>2570</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39"/>
      <c r="Q34" s="1813" t="str">
        <f t="shared" si="11"/>
        <v>建筑结构</v>
      </c>
      <c r="R34" s="774" t="s">
        <v>17</v>
      </c>
      <c r="S34" s="775">
        <f t="shared" si="12"/>
        <v>100</v>
      </c>
      <c r="T34" s="774" t="s">
        <v>17</v>
      </c>
      <c r="U34" s="775">
        <f t="shared" si="13"/>
        <v>100</v>
      </c>
      <c r="V34" s="774" t="s">
        <v>17</v>
      </c>
      <c r="W34" s="775">
        <f t="shared" si="14"/>
        <v>100</v>
      </c>
      <c r="X34" s="1816"/>
      <c r="Y34" s="3201"/>
      <c r="Z34" s="1817" t="str">
        <f t="shared" si="15"/>
        <v>建筑结构</v>
      </c>
      <c r="AA34" s="1814">
        <f t="shared" si="3"/>
        <v>1</v>
      </c>
      <c r="AB34" s="1814">
        <f t="shared" si="4"/>
        <v>1</v>
      </c>
      <c r="AC34" s="1814">
        <f t="shared" si="5"/>
        <v>1</v>
      </c>
    </row>
    <row r="35" spans="1:29" ht="15">
      <c r="A35" s="472"/>
      <c r="B35" s="422" t="s">
        <v>2664</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39"/>
      <c r="Q35" s="1813" t="str">
        <f t="shared" si="11"/>
        <v>公共部分装修</v>
      </c>
      <c r="R35" s="774" t="s">
        <v>17</v>
      </c>
      <c r="S35" s="775">
        <f t="shared" si="12"/>
        <v>100</v>
      </c>
      <c r="T35" s="774" t="s">
        <v>17</v>
      </c>
      <c r="U35" s="775">
        <f t="shared" si="13"/>
        <v>100</v>
      </c>
      <c r="V35" s="774" t="s">
        <v>17</v>
      </c>
      <c r="W35" s="775">
        <f t="shared" si="14"/>
        <v>100</v>
      </c>
      <c r="X35" s="1816"/>
      <c r="Y35" s="3201"/>
      <c r="Z35" s="1817" t="str">
        <f t="shared" si="15"/>
        <v>公共部分装修</v>
      </c>
      <c r="AA35" s="1814">
        <f t="shared" si="3"/>
        <v>1</v>
      </c>
      <c r="AB35" s="1814">
        <f t="shared" si="4"/>
        <v>1</v>
      </c>
      <c r="AC35" s="1814">
        <f t="shared" si="5"/>
        <v>1</v>
      </c>
    </row>
    <row r="36" spans="1:29" ht="15">
      <c r="A36" s="472"/>
      <c r="B36" s="422" t="s">
        <v>2665</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39"/>
      <c r="Q36" s="1813" t="str">
        <f t="shared" si="11"/>
        <v>成新度</v>
      </c>
      <c r="R36" s="774" t="s">
        <v>17</v>
      </c>
      <c r="S36" s="775">
        <f t="shared" si="12"/>
        <v>100</v>
      </c>
      <c r="T36" s="774" t="s">
        <v>17</v>
      </c>
      <c r="U36" s="775">
        <f t="shared" si="13"/>
        <v>100</v>
      </c>
      <c r="V36" s="774" t="s">
        <v>17</v>
      </c>
      <c r="W36" s="775">
        <f t="shared" si="14"/>
        <v>100</v>
      </c>
      <c r="X36" s="1816"/>
      <c r="Y36" s="3201"/>
      <c r="Z36" s="1817" t="str">
        <f t="shared" si="15"/>
        <v>成新度</v>
      </c>
      <c r="AA36" s="1814">
        <f t="shared" si="3"/>
        <v>1</v>
      </c>
      <c r="AB36" s="1814">
        <f t="shared" si="4"/>
        <v>1</v>
      </c>
      <c r="AC36" s="1814">
        <f t="shared" si="5"/>
        <v>1</v>
      </c>
    </row>
    <row r="37" spans="1:29" s="117" customFormat="1" ht="15">
      <c r="A37" s="473"/>
      <c r="B37" s="422" t="s">
        <v>2666</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39"/>
      <c r="Q37" s="1798"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2667</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39" t="s">
        <v>2568</v>
      </c>
      <c r="Q38" s="1813" t="str">
        <f t="shared" si="11"/>
        <v>业态</v>
      </c>
      <c r="R38" s="774" t="s">
        <v>17</v>
      </c>
      <c r="S38" s="775">
        <f t="shared" si="12"/>
        <v>100</v>
      </c>
      <c r="T38" s="774" t="s">
        <v>17</v>
      </c>
      <c r="U38" s="775">
        <f t="shared" si="13"/>
        <v>100</v>
      </c>
      <c r="V38" s="774" t="s">
        <v>17</v>
      </c>
      <c r="W38" s="775">
        <f t="shared" si="14"/>
        <v>100</v>
      </c>
      <c r="X38" s="1816"/>
      <c r="Y38" s="3201" t="s">
        <v>2568</v>
      </c>
      <c r="Z38" s="1817" t="str">
        <f t="shared" si="15"/>
        <v>业态</v>
      </c>
      <c r="AA38" s="1814">
        <f t="shared" si="3"/>
        <v>1</v>
      </c>
      <c r="AB38" s="1814">
        <f t="shared" si="4"/>
        <v>1</v>
      </c>
      <c r="AC38" s="1814">
        <f t="shared" si="5"/>
        <v>1</v>
      </c>
    </row>
    <row r="39" spans="1:29" ht="15">
      <c r="A39" s="472"/>
      <c r="B39" s="422" t="s">
        <v>2668</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39"/>
      <c r="Q39" s="1813" t="str">
        <f t="shared" si="11"/>
        <v>层高</v>
      </c>
      <c r="R39" s="774" t="s">
        <v>17</v>
      </c>
      <c r="S39" s="775">
        <f t="shared" si="12"/>
        <v>100</v>
      </c>
      <c r="T39" s="774" t="s">
        <v>17</v>
      </c>
      <c r="U39" s="775">
        <f t="shared" si="13"/>
        <v>100</v>
      </c>
      <c r="V39" s="774" t="s">
        <v>17</v>
      </c>
      <c r="W39" s="775">
        <f t="shared" si="14"/>
        <v>100</v>
      </c>
      <c r="X39" s="1816"/>
      <c r="Y39" s="3201"/>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9"/>
      <c r="Q40" s="1813" t="str">
        <f t="shared" si="11"/>
        <v>单套建筑面积</v>
      </c>
      <c r="R40" s="774" t="s">
        <v>17</v>
      </c>
      <c r="S40" s="775">
        <f t="shared" si="12"/>
        <v>100</v>
      </c>
      <c r="T40" s="774" t="s">
        <v>17</v>
      </c>
      <c r="U40" s="775">
        <f t="shared" si="13"/>
        <v>100</v>
      </c>
      <c r="V40" s="774" t="s">
        <v>17</v>
      </c>
      <c r="W40" s="775">
        <f t="shared" si="14"/>
        <v>100</v>
      </c>
      <c r="X40" s="1816"/>
      <c r="Y40" s="3201"/>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4">
        <f t="shared" si="3"/>
        <v>1</v>
      </c>
      <c r="AB41" s="1814">
        <f t="shared" si="4"/>
        <v>1</v>
      </c>
      <c r="AC41" s="1814">
        <f t="shared" si="5"/>
        <v>1</v>
      </c>
    </row>
    <row r="42" spans="1:29" ht="15">
      <c r="A42" s="472"/>
      <c r="B42" s="422" t="s">
        <v>2671</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39"/>
      <c r="Q42" s="1813" t="str">
        <f t="shared" si="11"/>
        <v>内部装修</v>
      </c>
      <c r="R42" s="774" t="s">
        <v>17</v>
      </c>
      <c r="S42" s="775">
        <f t="shared" si="12"/>
        <v>100</v>
      </c>
      <c r="T42" s="774" t="s">
        <v>17</v>
      </c>
      <c r="U42" s="775">
        <f t="shared" si="13"/>
        <v>100</v>
      </c>
      <c r="V42" s="774" t="s">
        <v>17</v>
      </c>
      <c r="W42" s="775">
        <f t="shared" si="14"/>
        <v>100</v>
      </c>
      <c r="X42" s="1816"/>
      <c r="Y42" s="3201"/>
      <c r="Z42" s="1817" t="str">
        <f t="shared" si="15"/>
        <v>内部装修</v>
      </c>
      <c r="AA42" s="1814">
        <f t="shared" si="3"/>
        <v>1</v>
      </c>
      <c r="AB42" s="1814">
        <f t="shared" si="4"/>
        <v>1</v>
      </c>
      <c r="AC42" s="1814">
        <f t="shared" si="5"/>
        <v>1</v>
      </c>
    </row>
    <row r="43" spans="1:29" ht="15">
      <c r="A43" s="472"/>
      <c r="B43" s="422" t="s">
        <v>2579</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39"/>
      <c r="Q43" s="1813" t="str">
        <f t="shared" si="11"/>
        <v>内部装修维护情况</v>
      </c>
      <c r="R43" s="774" t="s">
        <v>17</v>
      </c>
      <c r="S43" s="775">
        <f t="shared" si="12"/>
        <v>100</v>
      </c>
      <c r="T43" s="774" t="s">
        <v>17</v>
      </c>
      <c r="U43" s="775">
        <f t="shared" si="13"/>
        <v>100</v>
      </c>
      <c r="V43" s="774" t="s">
        <v>17</v>
      </c>
      <c r="W43" s="775">
        <f t="shared" si="14"/>
        <v>100</v>
      </c>
      <c r="X43" s="1816"/>
      <c r="Y43" s="320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9"/>
      <c r="Q44" s="1798">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9"/>
      <c r="Q45" s="1813">
        <f t="shared" si="11"/>
        <v>111</v>
      </c>
      <c r="R45" s="774" t="s">
        <v>17</v>
      </c>
      <c r="S45" s="775">
        <f t="shared" si="12"/>
        <v>100</v>
      </c>
      <c r="T45" s="774" t="s">
        <v>17</v>
      </c>
      <c r="U45" s="775">
        <f t="shared" si="13"/>
        <v>100</v>
      </c>
      <c r="V45" s="774" t="s">
        <v>17</v>
      </c>
      <c r="W45" s="775">
        <f t="shared" si="14"/>
        <v>100</v>
      </c>
      <c r="X45" s="1816"/>
      <c r="Y45" s="3201"/>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0"/>
      <c r="Q46" s="1813">
        <f t="shared" si="11"/>
        <v>111</v>
      </c>
      <c r="R46" s="774" t="s">
        <v>17</v>
      </c>
      <c r="S46" s="775">
        <f t="shared" si="12"/>
        <v>100</v>
      </c>
      <c r="T46" s="774" t="s">
        <v>17</v>
      </c>
      <c r="U46" s="775">
        <f t="shared" si="13"/>
        <v>100</v>
      </c>
      <c r="V46" s="774" t="s">
        <v>17</v>
      </c>
      <c r="W46" s="775">
        <f t="shared" si="14"/>
        <v>100</v>
      </c>
      <c r="X46" s="1816"/>
      <c r="Y46" s="3241"/>
      <c r="Z46" s="1817">
        <f t="shared" si="15"/>
        <v>111</v>
      </c>
      <c r="AA46" s="1814">
        <f t="shared" si="3"/>
        <v>1</v>
      </c>
      <c r="AB46" s="1814">
        <f t="shared" si="4"/>
        <v>1</v>
      </c>
      <c r="AC46" s="1814">
        <f t="shared" si="5"/>
        <v>1</v>
      </c>
    </row>
    <row r="47" spans="1:29" ht="15">
      <c r="A47" s="479" t="s">
        <v>2580</v>
      </c>
      <c r="B47" s="480"/>
      <c r="C47" s="1410" t="s">
        <v>1</v>
      </c>
      <c r="D47" s="1411"/>
      <c r="E47" s="1412">
        <v>20000</v>
      </c>
      <c r="F47" s="1413"/>
      <c r="G47" s="1414">
        <v>20000</v>
      </c>
      <c r="H47" s="1415"/>
      <c r="I47" s="1412">
        <v>20000</v>
      </c>
      <c r="J47" s="1415"/>
      <c r="K47" s="783"/>
      <c r="L47" s="1146"/>
      <c r="M47" s="1147"/>
      <c r="N47" s="1134"/>
      <c r="O47" s="1147"/>
      <c r="P47" s="3183" t="str">
        <f>A47</f>
        <v>成交单价（元/平方米）</v>
      </c>
      <c r="Q47" s="3183"/>
      <c r="R47" s="3196">
        <f>E47</f>
        <v>20000</v>
      </c>
      <c r="S47" s="3196"/>
      <c r="T47" s="3196">
        <f>G47</f>
        <v>20000</v>
      </c>
      <c r="U47" s="3196"/>
      <c r="V47" s="3196">
        <f>I47</f>
        <v>20000</v>
      </c>
      <c r="W47" s="3196"/>
      <c r="X47" s="759"/>
      <c r="Y47" s="781"/>
      <c r="Z47" s="759"/>
      <c r="AA47" s="759"/>
      <c r="AB47" s="759"/>
      <c r="AC47" s="759"/>
    </row>
    <row r="48" spans="1:29" ht="15.75" thickBot="1">
      <c r="A48" s="486" t="s">
        <v>2672</v>
      </c>
      <c r="B48" s="487"/>
      <c r="C48" s="1416">
        <f>R49</f>
        <v>20000</v>
      </c>
      <c r="D48" s="1417"/>
      <c r="E48" s="1418">
        <f>R48</f>
        <v>20000</v>
      </c>
      <c r="F48" s="1418"/>
      <c r="G48" s="1416">
        <f>T48</f>
        <v>20000</v>
      </c>
      <c r="H48" s="1417"/>
      <c r="I48" s="1418">
        <f>V48</f>
        <v>20000</v>
      </c>
      <c r="J48" s="1417"/>
      <c r="K48" s="784"/>
      <c r="L48" s="1146"/>
      <c r="M48" s="1147"/>
      <c r="N48" s="1134"/>
      <c r="O48" s="1147"/>
      <c r="P48" s="3183" t="str">
        <f>A48</f>
        <v>比较价值（元/平方米）</v>
      </c>
      <c r="Q48" s="3183"/>
      <c r="R48" s="3237">
        <f>IF(F1="售价",ROUND(PRODUCT(R47,AA7:AA46),0),ROUND(PRODUCT(R47,AA7:AA46),1))</f>
        <v>20000</v>
      </c>
      <c r="S48" s="3237"/>
      <c r="T48" s="3237">
        <f>IF(F1="售价",ROUND(PRODUCT(T47,AB7:AB46),0),ROUND(PRODUCT(T47,AB7:AB46),1))</f>
        <v>20000</v>
      </c>
      <c r="U48" s="3237"/>
      <c r="V48" s="3237">
        <f>IF(F1="售价",ROUND(PRODUCT(V47,AC7:AC46),0),ROUND(PRODUCT(V47,AC7:AC46),1))</f>
        <v>20000</v>
      </c>
      <c r="W48" s="3237"/>
      <c r="X48" s="759"/>
      <c r="Y48" s="759"/>
      <c r="Z48" s="759"/>
      <c r="AA48" s="759"/>
      <c r="AB48" s="759"/>
      <c r="AC48" s="759"/>
    </row>
    <row r="49" spans="1:29" ht="15.75" thickBot="1">
      <c r="A49" s="492" t="s">
        <v>2673</v>
      </c>
      <c r="B49" s="493"/>
      <c r="C49" s="1420">
        <f>R49</f>
        <v>20000</v>
      </c>
      <c r="D49" s="1420"/>
      <c r="E49" s="1420"/>
      <c r="F49" s="1420"/>
      <c r="G49" s="1420"/>
      <c r="H49" s="1420"/>
      <c r="I49" s="1420"/>
      <c r="J49" s="1420"/>
      <c r="K49" s="785"/>
      <c r="L49" s="1146"/>
      <c r="M49" s="1147"/>
      <c r="N49" s="1134"/>
      <c r="O49" s="1147"/>
      <c r="P49" s="3203" t="str">
        <f>A49</f>
        <v>估价对象XX用房的比较价值（楼面单价，元/平方米）</v>
      </c>
      <c r="Q49" s="3204"/>
      <c r="R49" s="3236">
        <f>IF(F1="售价",ROUND(AVERAGE(R48:V48),0),ROUND(AVERAGE(R48:V48),1))</f>
        <v>20000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2551</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2553</v>
      </c>
      <c r="B61" s="510"/>
      <c r="C61" s="522" t="s">
        <v>2655</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v>0</v>
      </c>
      <c r="D68" s="549">
        <v>1</v>
      </c>
      <c r="E68" s="549">
        <v>2</v>
      </c>
      <c r="F68" s="549">
        <v>3</v>
      </c>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2566</v>
      </c>
      <c r="B100" s="528" t="s">
        <v>2684</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2616</v>
      </c>
      <c r="C102" s="578" t="str">
        <f>C103&amp;"(含)"&amp;"-"&amp;D103</f>
        <v>0(含)-1000</v>
      </c>
      <c r="D102" s="578" t="str">
        <f t="shared" ref="D102:L102" si="23">D103&amp;"(含)"&amp;"-"&amp;E103</f>
        <v>1000(含)-2000</v>
      </c>
      <c r="E102" s="578" t="str">
        <f t="shared" si="23"/>
        <v>2000(含)-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v>0</v>
      </c>
      <c r="D103" s="595">
        <v>1000</v>
      </c>
      <c r="E103" s="595">
        <v>2000</v>
      </c>
      <c r="F103" s="595"/>
      <c r="G103" s="595"/>
      <c r="H103" s="595"/>
      <c r="I103" s="595"/>
      <c r="J103" s="596"/>
      <c r="K103" s="596"/>
      <c r="L103" s="597"/>
      <c r="M103" s="598"/>
      <c r="N103" s="1157"/>
      <c r="O103" s="1157"/>
      <c r="P103" s="2638"/>
      <c r="Q103" s="559"/>
    </row>
    <row r="104" spans="1:17" s="471" customFormat="1" ht="15.75" thickBot="1">
      <c r="A104" s="553"/>
      <c r="B104" s="543"/>
      <c r="C104" s="560">
        <v>100</v>
      </c>
      <c r="D104" s="536">
        <v>100</v>
      </c>
      <c r="E104" s="536">
        <v>100</v>
      </c>
      <c r="F104" s="536"/>
      <c r="G104" s="536"/>
      <c r="H104" s="536"/>
      <c r="I104" s="536"/>
      <c r="J104" s="536"/>
      <c r="K104" s="536"/>
      <c r="L104" s="536"/>
      <c r="M104" s="537"/>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2619</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2687</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估价对象为北京市出让国有建设用地使用权及在建建筑物房地产，为所有。根据《国有土地使用证》[]，估价对象（分摊）出让国有建设用地使用权面积为0平方米，建筑面积为30453.1平方米。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30453.1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2018年9月11日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11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本次评估采用的主估价方法为收益法和比较法。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2689</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3"/>
      <c r="D2" s="1368" t="e">
        <f ca="1">SUMIF(INDIRECT("'"&amp;F2&amp;"'"&amp;"!A:A"),"承租人权益价值",INDIRECT("'"&amp;F2&amp;"'"&amp;"!c:c"))</f>
        <v>#REF!</v>
      </c>
      <c r="E2" s="2594" t="s">
        <v>2334</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30453.1</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250" t="s">
        <v>2654</v>
      </c>
      <c r="Q4" s="3251"/>
      <c r="R4" s="3245" t="s">
        <v>2650</v>
      </c>
      <c r="S4" s="3246"/>
      <c r="T4" s="3245" t="s">
        <v>2651</v>
      </c>
      <c r="U4" s="3246"/>
      <c r="V4" s="3254" t="s">
        <v>2652</v>
      </c>
      <c r="W4" s="3254"/>
      <c r="X4" s="2677"/>
      <c r="Y4" s="3245" t="s">
        <v>2654</v>
      </c>
      <c r="Z4" s="3246"/>
      <c r="AA4" s="3244" t="s">
        <v>2650</v>
      </c>
      <c r="AB4" s="3244" t="s">
        <v>2651</v>
      </c>
      <c r="AC4" s="3247" t="s">
        <v>2652</v>
      </c>
    </row>
    <row r="5" spans="1:29" ht="15">
      <c r="A5" s="404"/>
      <c r="B5" s="405"/>
      <c r="C5" s="3177" t="s">
        <v>2545</v>
      </c>
      <c r="D5" s="3178"/>
      <c r="E5" s="3175" t="s">
        <v>2546</v>
      </c>
      <c r="F5" s="3176"/>
      <c r="G5" s="3177" t="s">
        <v>2547</v>
      </c>
      <c r="H5" s="3178"/>
      <c r="I5" s="3177" t="s">
        <v>2548</v>
      </c>
      <c r="J5" s="3178"/>
      <c r="K5" s="610"/>
      <c r="L5" s="1133"/>
      <c r="M5" s="1134"/>
      <c r="N5" s="1134"/>
      <c r="O5" s="1134"/>
      <c r="P5" s="3252"/>
      <c r="Q5" s="3191"/>
      <c r="R5" s="3173"/>
      <c r="S5" s="3174"/>
      <c r="T5" s="3173"/>
      <c r="U5" s="3174"/>
      <c r="V5" s="3196"/>
      <c r="W5" s="3196"/>
      <c r="X5" s="1816"/>
      <c r="Y5" s="3173"/>
      <c r="Z5" s="3174"/>
      <c r="AA5" s="3167"/>
      <c r="AB5" s="3167"/>
      <c r="AC5" s="3248"/>
    </row>
    <row r="6" spans="1:29" ht="15.75" thickBot="1">
      <c r="A6" s="406"/>
      <c r="B6" s="407"/>
      <c r="C6" s="3179" t="s">
        <v>2549</v>
      </c>
      <c r="D6" s="3180"/>
      <c r="E6" s="3181" t="s">
        <v>2549</v>
      </c>
      <c r="F6" s="3182"/>
      <c r="G6" s="3179" t="s">
        <v>2549</v>
      </c>
      <c r="H6" s="3180"/>
      <c r="I6" s="3179" t="s">
        <v>2549</v>
      </c>
      <c r="J6" s="3180"/>
      <c r="K6" s="610" t="s">
        <v>2550</v>
      </c>
      <c r="L6" s="1133"/>
      <c r="M6" s="1134"/>
      <c r="N6" s="1134"/>
      <c r="O6" s="1134"/>
      <c r="P6" s="3253"/>
      <c r="Q6" s="3193"/>
      <c r="R6" s="3173"/>
      <c r="S6" s="3174"/>
      <c r="T6" s="3194"/>
      <c r="U6" s="3195"/>
      <c r="V6" s="3196"/>
      <c r="W6" s="3196"/>
      <c r="X6" s="1816"/>
      <c r="Y6" s="3194"/>
      <c r="Z6" s="3195"/>
      <c r="AA6" s="3168"/>
      <c r="AB6" s="3168"/>
      <c r="AC6" s="3249"/>
    </row>
    <row r="7" spans="1:29" s="117" customFormat="1" ht="15.75" thickBot="1">
      <c r="A7" s="408" t="s">
        <v>2551</v>
      </c>
      <c r="B7" s="409"/>
      <c r="C7" s="410">
        <f>'数据-取费表'!B2</f>
        <v>43354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5" t="s">
        <v>2552</v>
      </c>
      <c r="Q7" s="3197"/>
      <c r="R7" s="770" t="s">
        <v>17</v>
      </c>
      <c r="S7" s="771">
        <f t="shared" ref="S7:S15" si="0">F7</f>
        <v>0</v>
      </c>
      <c r="T7" s="770" t="s">
        <v>17</v>
      </c>
      <c r="U7" s="771">
        <f t="shared" ref="U7:U15" si="1">H7</f>
        <v>0</v>
      </c>
      <c r="V7" s="770" t="s">
        <v>17</v>
      </c>
      <c r="W7" s="771">
        <f t="shared" ref="W7:W15" si="2">J7</f>
        <v>0</v>
      </c>
      <c r="X7" s="772"/>
      <c r="Y7" s="3169" t="s">
        <v>2552</v>
      </c>
      <c r="Z7" s="3170"/>
      <c r="AA7" s="773" t="e">
        <f>D7/F7</f>
        <v>#DIV/0!</v>
      </c>
      <c r="AB7" s="773" t="e">
        <f>D7/H7</f>
        <v>#DIV/0!</v>
      </c>
      <c r="AC7" s="2678"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5" t="s">
        <v>2555</v>
      </c>
      <c r="Q8" s="3170"/>
      <c r="R8" s="770" t="s">
        <v>17</v>
      </c>
      <c r="S8" s="771">
        <f t="shared" si="0"/>
        <v>0</v>
      </c>
      <c r="T8" s="770" t="s">
        <v>17</v>
      </c>
      <c r="U8" s="771">
        <f t="shared" si="1"/>
        <v>0</v>
      </c>
      <c r="V8" s="770" t="s">
        <v>17</v>
      </c>
      <c r="W8" s="771">
        <f t="shared" si="2"/>
        <v>0</v>
      </c>
      <c r="X8" s="772"/>
      <c r="Y8" s="3169" t="s">
        <v>2555</v>
      </c>
      <c r="Z8" s="3170"/>
      <c r="AA8" s="773" t="e">
        <f t="shared" ref="AA8:AA47" si="3">D8/F8</f>
        <v>#DIV/0!</v>
      </c>
      <c r="AB8" s="773" t="e">
        <f t="shared" ref="AB8:AB47" si="4">D8/H8</f>
        <v>#DIV/0!</v>
      </c>
      <c r="AC8" s="2678"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7" t="s">
        <v>2558</v>
      </c>
      <c r="Q9" s="1798" t="str">
        <f t="shared" ref="Q9:Q15" si="6">B9</f>
        <v>用途</v>
      </c>
      <c r="R9" s="770" t="s">
        <v>17</v>
      </c>
      <c r="S9" s="771">
        <f t="shared" si="0"/>
        <v>100</v>
      </c>
      <c r="T9" s="770" t="s">
        <v>17</v>
      </c>
      <c r="U9" s="771">
        <f t="shared" si="1"/>
        <v>100</v>
      </c>
      <c r="V9" s="770" t="s">
        <v>17</v>
      </c>
      <c r="W9" s="771">
        <f t="shared" si="2"/>
        <v>100</v>
      </c>
      <c r="X9" s="772"/>
      <c r="Y9" s="3023" t="s">
        <v>2559</v>
      </c>
      <c r="Z9" s="55" t="str">
        <f t="shared" ref="Z9:Z15" si="7">Q9</f>
        <v>用途</v>
      </c>
      <c r="AA9" s="773">
        <f t="shared" si="3"/>
        <v>1</v>
      </c>
      <c r="AB9" s="773">
        <f t="shared" si="4"/>
        <v>1</v>
      </c>
      <c r="AC9" s="2678">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8">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7"/>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7"/>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8">
        <f t="shared" si="5"/>
        <v>1</v>
      </c>
    </row>
    <row r="15" spans="1:29" ht="71.25">
      <c r="A15" s="440" t="s">
        <v>2562</v>
      </c>
      <c r="B15" s="629" t="s">
        <v>2690</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2" t="s">
        <v>2563</v>
      </c>
      <c r="Q15" s="1813" t="str">
        <f t="shared" si="6"/>
        <v>办公集聚程度</v>
      </c>
      <c r="R15" s="774" t="s">
        <v>17</v>
      </c>
      <c r="S15" s="775">
        <f t="shared" si="0"/>
        <v>100</v>
      </c>
      <c r="T15" s="774" t="s">
        <v>17</v>
      </c>
      <c r="U15" s="775">
        <f t="shared" si="1"/>
        <v>100</v>
      </c>
      <c r="V15" s="774" t="s">
        <v>17</v>
      </c>
      <c r="W15" s="775">
        <f t="shared" si="2"/>
        <v>100</v>
      </c>
      <c r="X15" s="1816"/>
      <c r="Y15" s="3198" t="s">
        <v>2563</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43"/>
      <c r="Q16" s="1813"/>
      <c r="R16" s="774"/>
      <c r="S16" s="775"/>
      <c r="T16" s="774"/>
      <c r="U16" s="775"/>
      <c r="V16" s="774"/>
      <c r="W16" s="775"/>
      <c r="X16" s="1816"/>
      <c r="Y16" s="3199"/>
      <c r="Z16" s="1817"/>
      <c r="AA16" s="1814">
        <v>1</v>
      </c>
      <c r="AB16" s="1814">
        <v>1</v>
      </c>
      <c r="AC16" s="2681">
        <v>1</v>
      </c>
    </row>
    <row r="17" spans="1:29" ht="71.25">
      <c r="A17" s="428"/>
      <c r="B17" s="631" t="s">
        <v>2101</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43"/>
      <c r="Q18" s="1813"/>
      <c r="R18" s="774"/>
      <c r="S18" s="775"/>
      <c r="T18" s="774"/>
      <c r="U18" s="775"/>
      <c r="V18" s="774"/>
      <c r="W18" s="775"/>
      <c r="X18" s="1816"/>
      <c r="Y18" s="3199"/>
      <c r="Z18" s="1817"/>
      <c r="AA18" s="1814">
        <v>1</v>
      </c>
      <c r="AB18" s="1814">
        <v>1</v>
      </c>
      <c r="AC18" s="2681">
        <v>1</v>
      </c>
    </row>
    <row r="19" spans="1:29" ht="42.75">
      <c r="A19" s="428"/>
      <c r="B19" s="631" t="s">
        <v>2691</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99"/>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43"/>
      <c r="Q20" s="1813"/>
      <c r="R20" s="774"/>
      <c r="S20" s="775"/>
      <c r="T20" s="774"/>
      <c r="U20" s="775"/>
      <c r="V20" s="774"/>
      <c r="W20" s="775"/>
      <c r="X20" s="1816"/>
      <c r="Y20" s="3199"/>
      <c r="Z20" s="1817"/>
      <c r="AA20" s="1814">
        <v>1</v>
      </c>
      <c r="AB20" s="1814">
        <v>1</v>
      </c>
      <c r="AC20" s="2681">
        <v>1</v>
      </c>
    </row>
    <row r="21" spans="1:29" ht="28.5">
      <c r="A21" s="428"/>
      <c r="B21" s="633" t="s">
        <v>2692</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43"/>
      <c r="Q22" s="1813"/>
      <c r="R22" s="774"/>
      <c r="S22" s="775"/>
      <c r="T22" s="774"/>
      <c r="U22" s="775"/>
      <c r="V22" s="774"/>
      <c r="W22" s="775"/>
      <c r="X22" s="1816"/>
      <c r="Y22" s="3199"/>
      <c r="Z22" s="1817"/>
      <c r="AA22" s="1814">
        <v>1</v>
      </c>
      <c r="AB22" s="1814">
        <v>1</v>
      </c>
      <c r="AC22" s="2681">
        <v>1</v>
      </c>
    </row>
    <row r="23" spans="1:29" ht="42.75">
      <c r="A23" s="428"/>
      <c r="B23" s="631" t="s">
        <v>2693</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3"/>
      <c r="Q23" s="1813" t="str">
        <f>B23</f>
        <v>环境质量</v>
      </c>
      <c r="R23" s="774" t="s">
        <v>17</v>
      </c>
      <c r="S23" s="775">
        <f>F23</f>
        <v>100</v>
      </c>
      <c r="T23" s="774" t="s">
        <v>17</v>
      </c>
      <c r="U23" s="775">
        <f>H23</f>
        <v>100</v>
      </c>
      <c r="V23" s="774" t="s">
        <v>17</v>
      </c>
      <c r="W23" s="775">
        <f>J23</f>
        <v>100</v>
      </c>
      <c r="X23" s="1816"/>
      <c r="Y23" s="3199"/>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43"/>
      <c r="Q24" s="1813"/>
      <c r="R24" s="774"/>
      <c r="S24" s="775"/>
      <c r="T24" s="774"/>
      <c r="U24" s="775"/>
      <c r="V24" s="774"/>
      <c r="W24" s="775"/>
      <c r="X24" s="1816"/>
      <c r="Y24" s="3199"/>
      <c r="Z24" s="1817"/>
      <c r="AA24" s="1814">
        <v>1</v>
      </c>
      <c r="AB24" s="1814">
        <v>1</v>
      </c>
      <c r="AC24" s="2681">
        <v>1</v>
      </c>
    </row>
    <row r="25" spans="1:29" ht="27">
      <c r="A25" s="404"/>
      <c r="B25" s="631" t="s">
        <v>2694</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43"/>
      <c r="Q25" s="1813" t="str">
        <f>B25</f>
        <v>毗邻道路的类型与等级</v>
      </c>
      <c r="R25" s="774" t="s">
        <v>17</v>
      </c>
      <c r="S25" s="775">
        <f>F25</f>
        <v>100</v>
      </c>
      <c r="T25" s="774" t="s">
        <v>17</v>
      </c>
      <c r="U25" s="775">
        <f>H25</f>
        <v>100</v>
      </c>
      <c r="V25" s="774" t="s">
        <v>17</v>
      </c>
      <c r="W25" s="775">
        <f>J25</f>
        <v>100</v>
      </c>
      <c r="X25" s="1816"/>
      <c r="Y25" s="3199"/>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43"/>
      <c r="Q26" s="1813"/>
      <c r="R26" s="774"/>
      <c r="S26" s="775"/>
      <c r="T26" s="774"/>
      <c r="U26" s="775"/>
      <c r="V26" s="774"/>
      <c r="W26" s="775"/>
      <c r="X26" s="1816"/>
      <c r="Y26" s="3199"/>
      <c r="Z26" s="1817"/>
      <c r="AA26" s="1814">
        <v>1</v>
      </c>
      <c r="AB26" s="1814">
        <v>1</v>
      </c>
      <c r="AC26" s="2681">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3"/>
      <c r="Q27" s="1813" t="str">
        <f t="shared" ref="Q27:Q47" si="11">B27</f>
        <v>楼层</v>
      </c>
      <c r="R27" s="774" t="s">
        <v>17</v>
      </c>
      <c r="S27" s="775">
        <f>F27</f>
        <v>100</v>
      </c>
      <c r="T27" s="774" t="s">
        <v>17</v>
      </c>
      <c r="U27" s="775">
        <f>H27</f>
        <v>100</v>
      </c>
      <c r="V27" s="774" t="s">
        <v>17</v>
      </c>
      <c r="W27" s="775">
        <f>J27</f>
        <v>100</v>
      </c>
      <c r="X27" s="1816"/>
      <c r="Y27" s="3199"/>
      <c r="Z27" s="1817" t="str">
        <f>Q27</f>
        <v>楼层</v>
      </c>
      <c r="AA27" s="1814">
        <f t="shared" si="3"/>
        <v>1</v>
      </c>
      <c r="AB27" s="1814">
        <f t="shared" si="4"/>
        <v>1</v>
      </c>
      <c r="AC27" s="2681">
        <f t="shared" si="5"/>
        <v>1</v>
      </c>
    </row>
    <row r="28" spans="1:29" s="117" customFormat="1" ht="15">
      <c r="A28" s="431"/>
      <c r="B28" s="631" t="s">
        <v>2695</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43"/>
      <c r="Q28" s="1798" t="str">
        <f t="shared" si="11"/>
        <v>朝向</v>
      </c>
      <c r="R28" s="770" t="s">
        <v>17</v>
      </c>
      <c r="S28" s="771">
        <f>F28</f>
        <v>100</v>
      </c>
      <c r="T28" s="770" t="s">
        <v>17</v>
      </c>
      <c r="U28" s="771">
        <f>H28</f>
        <v>100</v>
      </c>
      <c r="V28" s="770" t="s">
        <v>17</v>
      </c>
      <c r="W28" s="771">
        <f>J28</f>
        <v>100</v>
      </c>
      <c r="X28" s="772"/>
      <c r="Y28" s="3199"/>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43"/>
      <c r="Q29" s="1813">
        <f t="shared" si="11"/>
        <v>111</v>
      </c>
      <c r="R29" s="774" t="s">
        <v>17</v>
      </c>
      <c r="S29" s="775">
        <f t="shared" ref="S29:S47" si="12">F29</f>
        <v>100</v>
      </c>
      <c r="T29" s="774" t="s">
        <v>17</v>
      </c>
      <c r="U29" s="775">
        <f t="shared" ref="U29:U47" si="13">H29</f>
        <v>100</v>
      </c>
      <c r="V29" s="774" t="s">
        <v>17</v>
      </c>
      <c r="W29" s="775">
        <f t="shared" ref="W29:W47" si="14">J29</f>
        <v>100</v>
      </c>
      <c r="X29" s="1816"/>
      <c r="Y29" s="3199"/>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99"/>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99"/>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43"/>
      <c r="Q32" s="1813">
        <f t="shared" si="11"/>
        <v>111</v>
      </c>
      <c r="R32" s="774" t="s">
        <v>17</v>
      </c>
      <c r="S32" s="775">
        <f t="shared" si="12"/>
        <v>100</v>
      </c>
      <c r="T32" s="774" t="s">
        <v>17</v>
      </c>
      <c r="U32" s="775">
        <f t="shared" si="13"/>
        <v>100</v>
      </c>
      <c r="V32" s="774" t="s">
        <v>17</v>
      </c>
      <c r="W32" s="775">
        <f t="shared" si="14"/>
        <v>100</v>
      </c>
      <c r="X32" s="1816"/>
      <c r="Y32" s="3199"/>
      <c r="Z32" s="1817">
        <f t="shared" si="15"/>
        <v>111</v>
      </c>
      <c r="AA32" s="1814">
        <f t="shared" si="3"/>
        <v>1</v>
      </c>
      <c r="AB32" s="1814">
        <f t="shared" si="4"/>
        <v>1</v>
      </c>
      <c r="AC32" s="2681">
        <f t="shared" si="5"/>
        <v>1</v>
      </c>
    </row>
    <row r="33" spans="1:29" ht="15">
      <c r="A33" s="440" t="s">
        <v>2566</v>
      </c>
      <c r="B33" s="71" t="s">
        <v>2696</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38" t="s">
        <v>2568</v>
      </c>
      <c r="Q33" s="1813" t="str">
        <f t="shared" si="11"/>
        <v>建筑类型</v>
      </c>
      <c r="R33" s="774" t="s">
        <v>17</v>
      </c>
      <c r="S33" s="775">
        <f t="shared" si="12"/>
        <v>100</v>
      </c>
      <c r="T33" s="774" t="s">
        <v>17</v>
      </c>
      <c r="U33" s="775">
        <f t="shared" si="13"/>
        <v>100</v>
      </c>
      <c r="V33" s="774" t="s">
        <v>17</v>
      </c>
      <c r="W33" s="775">
        <f t="shared" si="14"/>
        <v>100</v>
      </c>
      <c r="X33" s="1816"/>
      <c r="Y33" s="3201" t="s">
        <v>2568</v>
      </c>
      <c r="Z33" s="1817" t="str">
        <f t="shared" si="15"/>
        <v>建筑类型</v>
      </c>
      <c r="AA33" s="1814">
        <f t="shared" si="3"/>
        <v>1</v>
      </c>
      <c r="AB33" s="1814">
        <f t="shared" si="4"/>
        <v>1</v>
      </c>
      <c r="AC33" s="2681">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9"/>
      <c r="Q34" s="776" t="str">
        <f t="shared" si="11"/>
        <v>项目建筑规模</v>
      </c>
      <c r="R34" s="777" t="s">
        <v>17</v>
      </c>
      <c r="S34" s="778" t="e">
        <f t="shared" si="12"/>
        <v>#N/A</v>
      </c>
      <c r="T34" s="777" t="s">
        <v>17</v>
      </c>
      <c r="U34" s="778" t="e">
        <f t="shared" si="13"/>
        <v>#N/A</v>
      </c>
      <c r="V34" s="777" t="s">
        <v>17</v>
      </c>
      <c r="W34" s="778" t="e">
        <f t="shared" si="14"/>
        <v>#N/A</v>
      </c>
      <c r="X34" s="779"/>
      <c r="Y34" s="3201"/>
      <c r="Z34" s="780" t="str">
        <f t="shared" si="15"/>
        <v>项目建筑规模</v>
      </c>
      <c r="AA34" s="1814" t="e">
        <f t="shared" si="3"/>
        <v>#N/A</v>
      </c>
      <c r="AB34" s="1814" t="e">
        <f t="shared" si="4"/>
        <v>#N/A</v>
      </c>
      <c r="AC34" s="2681"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9"/>
      <c r="Q35" s="1813" t="str">
        <f t="shared" si="11"/>
        <v>建筑结构</v>
      </c>
      <c r="R35" s="774" t="s">
        <v>17</v>
      </c>
      <c r="S35" s="775">
        <f t="shared" si="12"/>
        <v>100</v>
      </c>
      <c r="T35" s="774" t="s">
        <v>17</v>
      </c>
      <c r="U35" s="775">
        <f t="shared" si="13"/>
        <v>100</v>
      </c>
      <c r="V35" s="774" t="s">
        <v>17</v>
      </c>
      <c r="W35" s="775">
        <f t="shared" si="14"/>
        <v>100</v>
      </c>
      <c r="X35" s="1816"/>
      <c r="Y35" s="3201"/>
      <c r="Z35" s="1817" t="str">
        <f t="shared" si="15"/>
        <v>建筑结构</v>
      </c>
      <c r="AA35" s="1814">
        <f t="shared" si="3"/>
        <v>1</v>
      </c>
      <c r="AB35" s="1814">
        <f t="shared" si="4"/>
        <v>1</v>
      </c>
      <c r="AC35" s="2681">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9"/>
      <c r="Q36" s="1813" t="str">
        <f t="shared" si="11"/>
        <v>公共部分装修</v>
      </c>
      <c r="R36" s="774" t="s">
        <v>17</v>
      </c>
      <c r="S36" s="775">
        <f t="shared" si="12"/>
        <v>100</v>
      </c>
      <c r="T36" s="774" t="s">
        <v>17</v>
      </c>
      <c r="U36" s="775">
        <f t="shared" si="13"/>
        <v>100</v>
      </c>
      <c r="V36" s="774" t="s">
        <v>17</v>
      </c>
      <c r="W36" s="775">
        <f t="shared" si="14"/>
        <v>100</v>
      </c>
      <c r="X36" s="1816"/>
      <c r="Y36" s="3201"/>
      <c r="Z36" s="1817" t="str">
        <f t="shared" si="15"/>
        <v>公共部分装修</v>
      </c>
      <c r="AA36" s="1814">
        <f t="shared" si="3"/>
        <v>1</v>
      </c>
      <c r="AB36" s="1814">
        <f t="shared" si="4"/>
        <v>1</v>
      </c>
      <c r="AC36" s="2681">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9"/>
      <c r="Q37" s="1813" t="str">
        <f t="shared" si="11"/>
        <v>成新度</v>
      </c>
      <c r="R37" s="774" t="s">
        <v>17</v>
      </c>
      <c r="S37" s="775" t="e">
        <f t="shared" si="12"/>
        <v>#N/A</v>
      </c>
      <c r="T37" s="774" t="s">
        <v>17</v>
      </c>
      <c r="U37" s="775" t="e">
        <f t="shared" si="13"/>
        <v>#N/A</v>
      </c>
      <c r="V37" s="774" t="s">
        <v>17</v>
      </c>
      <c r="W37" s="775" t="e">
        <f t="shared" si="14"/>
        <v>#N/A</v>
      </c>
      <c r="X37" s="1816"/>
      <c r="Y37" s="3201"/>
      <c r="Z37" s="1817" t="str">
        <f t="shared" si="15"/>
        <v>成新度</v>
      </c>
      <c r="AA37" s="1814" t="e">
        <f t="shared" si="3"/>
        <v>#N/A</v>
      </c>
      <c r="AB37" s="1814" t="e">
        <f t="shared" si="4"/>
        <v>#N/A</v>
      </c>
      <c r="AC37" s="2681"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9"/>
      <c r="Q38" s="1798"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8">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9" t="s">
        <v>2568</v>
      </c>
      <c r="Q39" s="1813" t="str">
        <f t="shared" si="11"/>
        <v>物业管理</v>
      </c>
      <c r="R39" s="774" t="s">
        <v>17</v>
      </c>
      <c r="S39" s="775">
        <f t="shared" si="12"/>
        <v>100</v>
      </c>
      <c r="T39" s="774" t="s">
        <v>17</v>
      </c>
      <c r="U39" s="775">
        <f t="shared" si="13"/>
        <v>100</v>
      </c>
      <c r="V39" s="774" t="s">
        <v>17</v>
      </c>
      <c r="W39" s="775">
        <f t="shared" si="14"/>
        <v>100</v>
      </c>
      <c r="X39" s="1816"/>
      <c r="Y39" s="3201" t="s">
        <v>2568</v>
      </c>
      <c r="Z39" s="1817" t="str">
        <f t="shared" si="15"/>
        <v>物业管理</v>
      </c>
      <c r="AA39" s="1814">
        <f t="shared" si="3"/>
        <v>1</v>
      </c>
      <c r="AB39" s="1814">
        <f t="shared" si="4"/>
        <v>1</v>
      </c>
      <c r="AC39" s="2681">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9"/>
      <c r="Q40" s="1813" t="str">
        <f t="shared" si="11"/>
        <v>市政基础设施</v>
      </c>
      <c r="R40" s="774" t="s">
        <v>17</v>
      </c>
      <c r="S40" s="775">
        <f t="shared" si="12"/>
        <v>100</v>
      </c>
      <c r="T40" s="774" t="s">
        <v>17</v>
      </c>
      <c r="U40" s="775">
        <f t="shared" si="13"/>
        <v>100</v>
      </c>
      <c r="V40" s="774" t="s">
        <v>17</v>
      </c>
      <c r="W40" s="775">
        <f t="shared" si="14"/>
        <v>100</v>
      </c>
      <c r="X40" s="1816"/>
      <c r="Y40" s="3201"/>
      <c r="Z40" s="1817" t="str">
        <f t="shared" si="15"/>
        <v>市政基础设施</v>
      </c>
      <c r="AA40" s="1814">
        <f t="shared" si="3"/>
        <v>1</v>
      </c>
      <c r="AB40" s="1814">
        <f t="shared" si="4"/>
        <v>1</v>
      </c>
      <c r="AC40" s="2681">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9"/>
      <c r="Q41" s="1813" t="str">
        <f t="shared" si="11"/>
        <v>层高</v>
      </c>
      <c r="R41" s="774" t="s">
        <v>17</v>
      </c>
      <c r="S41" s="775">
        <f t="shared" si="12"/>
        <v>100</v>
      </c>
      <c r="T41" s="774" t="s">
        <v>17</v>
      </c>
      <c r="U41" s="775">
        <f t="shared" si="13"/>
        <v>100</v>
      </c>
      <c r="V41" s="774" t="s">
        <v>17</v>
      </c>
      <c r="W41" s="775">
        <f t="shared" si="14"/>
        <v>100</v>
      </c>
      <c r="X41" s="1816"/>
      <c r="Y41" s="3201"/>
      <c r="Z41" s="1817" t="str">
        <f t="shared" si="15"/>
        <v>层高</v>
      </c>
      <c r="AA41" s="1814">
        <f t="shared" si="3"/>
        <v>1</v>
      </c>
      <c r="AB41" s="1814">
        <f t="shared" si="4"/>
        <v>1</v>
      </c>
      <c r="AC41" s="2681">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4">
        <f t="shared" si="3"/>
        <v>1</v>
      </c>
      <c r="AB42" s="1814">
        <f t="shared" si="4"/>
        <v>1</v>
      </c>
      <c r="AC42" s="2681">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9"/>
      <c r="Q43" s="1813" t="str">
        <f t="shared" si="11"/>
        <v>内部装修</v>
      </c>
      <c r="R43" s="774" t="s">
        <v>17</v>
      </c>
      <c r="S43" s="775">
        <f t="shared" si="12"/>
        <v>100</v>
      </c>
      <c r="T43" s="774" t="s">
        <v>17</v>
      </c>
      <c r="U43" s="775">
        <f t="shared" si="13"/>
        <v>100</v>
      </c>
      <c r="V43" s="774" t="s">
        <v>17</v>
      </c>
      <c r="W43" s="775">
        <f t="shared" si="14"/>
        <v>100</v>
      </c>
      <c r="X43" s="1816"/>
      <c r="Y43" s="3201"/>
      <c r="Z43" s="1817" t="str">
        <f t="shared" si="15"/>
        <v>内部装修</v>
      </c>
      <c r="AA43" s="1814">
        <f t="shared" si="3"/>
        <v>1</v>
      </c>
      <c r="AB43" s="1814">
        <f t="shared" si="4"/>
        <v>1</v>
      </c>
      <c r="AC43" s="2681">
        <f t="shared" si="5"/>
        <v>1</v>
      </c>
    </row>
    <row r="44" spans="1:29" ht="15">
      <c r="A44" s="472"/>
      <c r="B44" s="422" t="s">
        <v>2579</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39"/>
      <c r="Q44" s="1813" t="str">
        <f t="shared" si="11"/>
        <v>内部装修维护情况</v>
      </c>
      <c r="R44" s="774" t="s">
        <v>17</v>
      </c>
      <c r="S44" s="775">
        <f t="shared" si="12"/>
        <v>100</v>
      </c>
      <c r="T44" s="774" t="s">
        <v>17</v>
      </c>
      <c r="U44" s="775">
        <f t="shared" si="13"/>
        <v>100</v>
      </c>
      <c r="V44" s="774" t="s">
        <v>17</v>
      </c>
      <c r="W44" s="775">
        <f t="shared" si="14"/>
        <v>100</v>
      </c>
      <c r="X44" s="1816"/>
      <c r="Y44" s="3201"/>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9"/>
      <c r="Q45" s="1798">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9"/>
      <c r="Q46" s="1813">
        <f t="shared" si="11"/>
        <v>111</v>
      </c>
      <c r="R46" s="774" t="s">
        <v>17</v>
      </c>
      <c r="S46" s="775">
        <f t="shared" si="12"/>
        <v>100</v>
      </c>
      <c r="T46" s="774" t="s">
        <v>17</v>
      </c>
      <c r="U46" s="775">
        <f t="shared" si="13"/>
        <v>100</v>
      </c>
      <c r="V46" s="774" t="s">
        <v>17</v>
      </c>
      <c r="W46" s="775">
        <f t="shared" si="14"/>
        <v>100</v>
      </c>
      <c r="X46" s="1816"/>
      <c r="Y46" s="3201"/>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0"/>
      <c r="Q47" s="1813">
        <f t="shared" si="11"/>
        <v>111</v>
      </c>
      <c r="R47" s="774" t="s">
        <v>17</v>
      </c>
      <c r="S47" s="775">
        <f t="shared" si="12"/>
        <v>100</v>
      </c>
      <c r="T47" s="774" t="s">
        <v>17</v>
      </c>
      <c r="U47" s="775">
        <f t="shared" si="13"/>
        <v>100</v>
      </c>
      <c r="V47" s="774" t="s">
        <v>17</v>
      </c>
      <c r="W47" s="775">
        <f t="shared" si="14"/>
        <v>100</v>
      </c>
      <c r="X47" s="1816"/>
      <c r="Y47" s="3241"/>
      <c r="Z47" s="1817">
        <f t="shared" si="15"/>
        <v>111</v>
      </c>
      <c r="AA47" s="1814">
        <f t="shared" si="3"/>
        <v>1</v>
      </c>
      <c r="AB47" s="1814">
        <f t="shared" si="4"/>
        <v>1</v>
      </c>
      <c r="AC47" s="2681">
        <f t="shared" si="5"/>
        <v>1</v>
      </c>
    </row>
    <row r="48" spans="1:29" ht="15">
      <c r="A48" s="479" t="s">
        <v>2580</v>
      </c>
      <c r="B48" s="480"/>
      <c r="C48" s="1410" t="s">
        <v>1</v>
      </c>
      <c r="D48" s="1411"/>
      <c r="E48" s="1412"/>
      <c r="F48" s="1413"/>
      <c r="G48" s="1414"/>
      <c r="H48" s="1415"/>
      <c r="I48" s="1412"/>
      <c r="J48" s="485"/>
      <c r="K48" s="783"/>
      <c r="L48" s="1146"/>
      <c r="M48" s="1134"/>
      <c r="N48" s="1134"/>
      <c r="O48" s="1134"/>
      <c r="P48" s="3207" t="str">
        <f>A48</f>
        <v>成交单价（元/平方米）</v>
      </c>
      <c r="Q48" s="3183"/>
      <c r="R48" s="3237">
        <f>E48</f>
        <v>0</v>
      </c>
      <c r="S48" s="3237"/>
      <c r="T48" s="3237">
        <f>G48</f>
        <v>0</v>
      </c>
      <c r="U48" s="3237"/>
      <c r="V48" s="3237">
        <f>I48</f>
        <v>0</v>
      </c>
      <c r="W48" s="3237"/>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07" t="str">
        <f>A49</f>
        <v>比较价值（元/平方米）</v>
      </c>
      <c r="Q49" s="3183"/>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56" t="str">
        <f>A50</f>
        <v>估价对象XX用房的比较价值（楼面单价，元/平方米）</v>
      </c>
      <c r="Q50" s="3257"/>
      <c r="R50" s="3258" t="e">
        <f>IF(F1="售价",ROUND(AVERAGE(R49:V49),0),ROUND(AVERAGE(R49:V49),1))</f>
        <v>#DIV/0!</v>
      </c>
      <c r="S50" s="3258"/>
      <c r="T50" s="3258"/>
      <c r="U50" s="3258"/>
      <c r="V50" s="3258"/>
      <c r="W50" s="3258"/>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8"/>
      <c r="Q58" s="504"/>
    </row>
    <row r="59" spans="1:29" s="508" customFormat="1" ht="15">
      <c r="A59" s="505" t="s">
        <v>2551</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2588</v>
      </c>
      <c r="B61" s="516"/>
      <c r="C61" s="517"/>
      <c r="D61" s="518"/>
      <c r="E61" s="518"/>
      <c r="F61" s="518"/>
      <c r="G61" s="518"/>
      <c r="H61" s="518"/>
      <c r="I61" s="518"/>
      <c r="J61" s="518"/>
      <c r="K61" s="518"/>
      <c r="L61" s="518"/>
      <c r="M61" s="519"/>
      <c r="N61" s="518"/>
      <c r="O61" s="519"/>
      <c r="P61" s="2689"/>
      <c r="Q61" s="504"/>
    </row>
    <row r="62" spans="1:29" s="117" customFormat="1" ht="15">
      <c r="A62" s="521" t="s">
        <v>2553</v>
      </c>
      <c r="B62" s="510"/>
      <c r="C62" s="522" t="s">
        <v>2655</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2591</v>
      </c>
      <c r="B64" s="528" t="s">
        <v>2557</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2702</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2566</v>
      </c>
      <c r="B101" s="528" t="s">
        <v>2615</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2617</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2619</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2620</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2621</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2704</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2623</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2705</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3"/>
      <c r="D2" s="1127" t="e">
        <f ca="1">SUMIF(INDIRECT("'"&amp;F2&amp;"'"&amp;"!A:A"),"承租人权益价值",INDIRECT("'"&amp;F2&amp;"'"&amp;"!c:c"))</f>
        <v>#REF!</v>
      </c>
      <c r="E2" s="2594" t="s">
        <v>2334</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30453.1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67" t="s">
        <v>2651</v>
      </c>
      <c r="AC4" s="3166" t="s">
        <v>2652</v>
      </c>
    </row>
    <row r="5" spans="1:29" ht="15">
      <c r="A5" s="404"/>
      <c r="B5" s="405"/>
      <c r="C5" s="3177" t="s">
        <v>2545</v>
      </c>
      <c r="D5" s="3178"/>
      <c r="E5" s="3175" t="s">
        <v>2546</v>
      </c>
      <c r="F5" s="3176"/>
      <c r="G5" s="3177" t="s">
        <v>2547</v>
      </c>
      <c r="H5" s="3178"/>
      <c r="I5" s="3177" t="s">
        <v>2548</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2549</v>
      </c>
      <c r="D6" s="3180"/>
      <c r="E6" s="3181" t="s">
        <v>2549</v>
      </c>
      <c r="F6" s="3182"/>
      <c r="G6" s="3179" t="s">
        <v>2549</v>
      </c>
      <c r="H6" s="3180"/>
      <c r="I6" s="3179" t="s">
        <v>2549</v>
      </c>
      <c r="J6" s="3180"/>
      <c r="K6" s="610" t="s">
        <v>2550</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2551</v>
      </c>
      <c r="B7" s="409"/>
      <c r="C7" s="410">
        <f>'数据-取费表'!B2</f>
        <v>43354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9" t="s">
        <v>2552</v>
      </c>
      <c r="Q7" s="3197"/>
      <c r="R7" s="770" t="s">
        <v>17</v>
      </c>
      <c r="S7" s="771">
        <f t="shared" ref="S7:S15" si="0">F7</f>
        <v>0</v>
      </c>
      <c r="T7" s="770" t="s">
        <v>17</v>
      </c>
      <c r="U7" s="771">
        <f t="shared" ref="U7:U15" si="1">H7</f>
        <v>0</v>
      </c>
      <c r="V7" s="770" t="s">
        <v>17</v>
      </c>
      <c r="W7" s="771">
        <f t="shared" ref="W7:W15" si="2">J7</f>
        <v>0</v>
      </c>
      <c r="X7" s="772"/>
      <c r="Y7" s="3169" t="s">
        <v>2552</v>
      </c>
      <c r="Z7" s="3170"/>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9" t="s">
        <v>2555</v>
      </c>
      <c r="Q8" s="3170"/>
      <c r="R8" s="770" t="s">
        <v>17</v>
      </c>
      <c r="S8" s="771">
        <f t="shared" si="0"/>
        <v>0</v>
      </c>
      <c r="T8" s="770" t="s">
        <v>17</v>
      </c>
      <c r="U8" s="771">
        <f t="shared" si="1"/>
        <v>0</v>
      </c>
      <c r="V8" s="770" t="s">
        <v>17</v>
      </c>
      <c r="W8" s="771">
        <f t="shared" si="2"/>
        <v>0</v>
      </c>
      <c r="X8" s="772"/>
      <c r="Y8" s="3169" t="s">
        <v>2555</v>
      </c>
      <c r="Z8" s="3170"/>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3" t="s">
        <v>2558</v>
      </c>
      <c r="Q9" s="1798" t="str">
        <f t="shared" ref="Q9:Q15" si="6">B9</f>
        <v>用途</v>
      </c>
      <c r="R9" s="770" t="s">
        <v>17</v>
      </c>
      <c r="S9" s="771">
        <f t="shared" si="0"/>
        <v>100</v>
      </c>
      <c r="T9" s="770" t="s">
        <v>17</v>
      </c>
      <c r="U9" s="771">
        <f t="shared" si="1"/>
        <v>100</v>
      </c>
      <c r="V9" s="770" t="s">
        <v>17</v>
      </c>
      <c r="W9" s="771">
        <f t="shared" si="2"/>
        <v>100</v>
      </c>
      <c r="X9" s="772"/>
      <c r="Y9" s="3023"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3"/>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3"/>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2562</v>
      </c>
      <c r="B15" s="69" t="s">
        <v>2706</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8" t="s">
        <v>2563</v>
      </c>
      <c r="Q15" s="1813" t="str">
        <f t="shared" si="6"/>
        <v>产业集聚程度</v>
      </c>
      <c r="R15" s="774" t="s">
        <v>17</v>
      </c>
      <c r="S15" s="775">
        <f t="shared" si="0"/>
        <v>100</v>
      </c>
      <c r="T15" s="774" t="s">
        <v>17</v>
      </c>
      <c r="U15" s="775">
        <f t="shared" si="1"/>
        <v>100</v>
      </c>
      <c r="V15" s="774" t="s">
        <v>17</v>
      </c>
      <c r="W15" s="775">
        <f t="shared" si="2"/>
        <v>100</v>
      </c>
      <c r="X15" s="1816"/>
      <c r="Y15" s="3198"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9"/>
      <c r="Q16" s="1813"/>
      <c r="R16" s="774"/>
      <c r="S16" s="775"/>
      <c r="T16" s="774"/>
      <c r="U16" s="775"/>
      <c r="V16" s="774"/>
      <c r="W16" s="775"/>
      <c r="X16" s="1816"/>
      <c r="Y16" s="3199"/>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9"/>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9"/>
      <c r="Q18" s="1813"/>
      <c r="R18" s="774"/>
      <c r="S18" s="775"/>
      <c r="T18" s="774"/>
      <c r="U18" s="775"/>
      <c r="V18" s="774"/>
      <c r="W18" s="775"/>
      <c r="X18" s="1816"/>
      <c r="Y18" s="3199"/>
      <c r="Z18" s="1817"/>
      <c r="AA18" s="1814">
        <v>1</v>
      </c>
      <c r="AB18" s="1814">
        <v>1</v>
      </c>
      <c r="AC18" s="1814">
        <v>1</v>
      </c>
    </row>
    <row r="19" spans="1:29" ht="42.75">
      <c r="A19" s="428"/>
      <c r="B19" s="451" t="s">
        <v>2691</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9"/>
      <c r="Q19" s="1813" t="str">
        <f>B19</f>
        <v>公共配套设施</v>
      </c>
      <c r="R19" s="774" t="s">
        <v>17</v>
      </c>
      <c r="S19" s="775">
        <f>F19</f>
        <v>100</v>
      </c>
      <c r="T19" s="774" t="s">
        <v>17</v>
      </c>
      <c r="U19" s="775">
        <f>H19</f>
        <v>100</v>
      </c>
      <c r="V19" s="774" t="s">
        <v>17</v>
      </c>
      <c r="W19" s="775">
        <f>J19</f>
        <v>100</v>
      </c>
      <c r="X19" s="1816"/>
      <c r="Y19" s="319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9"/>
      <c r="Q20" s="1813"/>
      <c r="R20" s="774"/>
      <c r="S20" s="775"/>
      <c r="T20" s="774"/>
      <c r="U20" s="775"/>
      <c r="V20" s="774"/>
      <c r="W20" s="775"/>
      <c r="X20" s="1816"/>
      <c r="Y20" s="3199"/>
      <c r="Z20" s="1817"/>
      <c r="AA20" s="1814">
        <v>1</v>
      </c>
      <c r="AB20" s="1814">
        <v>1</v>
      </c>
      <c r="AC20" s="1814">
        <v>1</v>
      </c>
    </row>
    <row r="21" spans="1:29" ht="28.5">
      <c r="A21" s="428"/>
      <c r="B21" s="1387" t="s">
        <v>2692</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9"/>
      <c r="Q21" s="1813" t="str">
        <f>B21</f>
        <v>基础设施水平</v>
      </c>
      <c r="R21" s="774" t="s">
        <v>17</v>
      </c>
      <c r="S21" s="775">
        <f>F21</f>
        <v>100</v>
      </c>
      <c r="T21" s="774" t="s">
        <v>17</v>
      </c>
      <c r="U21" s="775">
        <f>H21</f>
        <v>100</v>
      </c>
      <c r="V21" s="774" t="s">
        <v>17</v>
      </c>
      <c r="W21" s="775">
        <f>J21</f>
        <v>100</v>
      </c>
      <c r="X21" s="1816"/>
      <c r="Y21" s="319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9"/>
      <c r="Q22" s="1813"/>
      <c r="R22" s="774"/>
      <c r="S22" s="775"/>
      <c r="T22" s="774"/>
      <c r="U22" s="775"/>
      <c r="V22" s="774"/>
      <c r="W22" s="775"/>
      <c r="X22" s="1816"/>
      <c r="Y22" s="3199"/>
      <c r="Z22" s="1817"/>
      <c r="AA22" s="1814">
        <v>1</v>
      </c>
      <c r="AB22" s="1814">
        <v>1</v>
      </c>
      <c r="AC22" s="1814">
        <v>1</v>
      </c>
    </row>
    <row r="23" spans="1:29" ht="71.25">
      <c r="A23" s="428"/>
      <c r="B23" s="451" t="s">
        <v>2693</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9"/>
      <c r="Q23" s="1813" t="str">
        <f>B23</f>
        <v>环境质量</v>
      </c>
      <c r="R23" s="774" t="s">
        <v>17</v>
      </c>
      <c r="S23" s="775">
        <f>F23</f>
        <v>100</v>
      </c>
      <c r="T23" s="774" t="s">
        <v>17</v>
      </c>
      <c r="U23" s="775">
        <f>H23</f>
        <v>100</v>
      </c>
      <c r="V23" s="774" t="s">
        <v>17</v>
      </c>
      <c r="W23" s="775">
        <f>J23</f>
        <v>100</v>
      </c>
      <c r="X23" s="1816"/>
      <c r="Y23" s="319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9"/>
      <c r="Q24" s="1813"/>
      <c r="R24" s="774"/>
      <c r="S24" s="775"/>
      <c r="T24" s="774"/>
      <c r="U24" s="775"/>
      <c r="V24" s="774"/>
      <c r="W24" s="775"/>
      <c r="X24" s="1816"/>
      <c r="Y24" s="319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9"/>
      <c r="Q25" s="1813">
        <f>B25</f>
        <v>111</v>
      </c>
      <c r="R25" s="774" t="s">
        <v>17</v>
      </c>
      <c r="S25" s="775">
        <f>F25</f>
        <v>100</v>
      </c>
      <c r="T25" s="774" t="s">
        <v>17</v>
      </c>
      <c r="U25" s="775">
        <f>H25</f>
        <v>100</v>
      </c>
      <c r="V25" s="774" t="s">
        <v>17</v>
      </c>
      <c r="W25" s="775">
        <f>J25</f>
        <v>100</v>
      </c>
      <c r="X25" s="1816"/>
      <c r="Y25" s="319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9"/>
      <c r="Q26" s="1813">
        <f t="shared" ref="Q26:Q40" si="11">B26</f>
        <v>111</v>
      </c>
      <c r="R26" s="774" t="s">
        <v>17</v>
      </c>
      <c r="S26" s="775">
        <f>F26</f>
        <v>100</v>
      </c>
      <c r="T26" s="774" t="s">
        <v>17</v>
      </c>
      <c r="U26" s="775">
        <f>H26</f>
        <v>100</v>
      </c>
      <c r="V26" s="774" t="s">
        <v>17</v>
      </c>
      <c r="W26" s="775">
        <f>J26</f>
        <v>100</v>
      </c>
      <c r="X26" s="1816"/>
      <c r="Y26" s="319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9"/>
      <c r="Q27" s="1798">
        <f t="shared" si="11"/>
        <v>111</v>
      </c>
      <c r="R27" s="770" t="s">
        <v>17</v>
      </c>
      <c r="S27" s="771">
        <f>F27</f>
        <v>100</v>
      </c>
      <c r="T27" s="770" t="s">
        <v>17</v>
      </c>
      <c r="U27" s="771">
        <f>H27</f>
        <v>100</v>
      </c>
      <c r="V27" s="770" t="s">
        <v>17</v>
      </c>
      <c r="W27" s="771">
        <f>J27</f>
        <v>100</v>
      </c>
      <c r="X27" s="772"/>
      <c r="Y27" s="319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9"/>
      <c r="Q28" s="1813">
        <f t="shared" si="11"/>
        <v>111</v>
      </c>
      <c r="R28" s="774" t="s">
        <v>17</v>
      </c>
      <c r="S28" s="775">
        <f t="shared" ref="S28:S40" si="12">F28</f>
        <v>100</v>
      </c>
      <c r="T28" s="774" t="s">
        <v>17</v>
      </c>
      <c r="U28" s="775">
        <f t="shared" ref="U28:U40" si="13">H28</f>
        <v>100</v>
      </c>
      <c r="V28" s="774" t="s">
        <v>17</v>
      </c>
      <c r="W28" s="775">
        <f t="shared" ref="W28:W40" si="14">J28</f>
        <v>100</v>
      </c>
      <c r="X28" s="1816"/>
      <c r="Y28" s="3199"/>
      <c r="Z28" s="1817">
        <f t="shared" ref="Z28:Z40" si="15">Q28</f>
        <v>111</v>
      </c>
      <c r="AA28" s="1814">
        <f t="shared" si="3"/>
        <v>1</v>
      </c>
      <c r="AB28" s="1814">
        <f t="shared" si="4"/>
        <v>1</v>
      </c>
      <c r="AC28" s="1814">
        <f t="shared" si="5"/>
        <v>1</v>
      </c>
    </row>
    <row r="29" spans="1:29" ht="15">
      <c r="A29" s="466" t="s">
        <v>2566</v>
      </c>
      <c r="B29" s="71" t="s">
        <v>2696</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00" t="s">
        <v>2568</v>
      </c>
      <c r="Q29" s="1813" t="str">
        <f t="shared" si="11"/>
        <v>建筑类型</v>
      </c>
      <c r="R29" s="774" t="s">
        <v>17</v>
      </c>
      <c r="S29" s="775">
        <f t="shared" si="12"/>
        <v>100</v>
      </c>
      <c r="T29" s="774" t="s">
        <v>17</v>
      </c>
      <c r="U29" s="775">
        <f t="shared" si="13"/>
        <v>100</v>
      </c>
      <c r="V29" s="774" t="s">
        <v>17</v>
      </c>
      <c r="W29" s="775">
        <f t="shared" si="14"/>
        <v>100</v>
      </c>
      <c r="X29" s="1816"/>
      <c r="Y29" s="3201"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1"/>
      <c r="Q31" s="1813" t="str">
        <f t="shared" si="11"/>
        <v>建筑结构</v>
      </c>
      <c r="R31" s="774" t="s">
        <v>17</v>
      </c>
      <c r="S31" s="775">
        <f t="shared" si="12"/>
        <v>100</v>
      </c>
      <c r="T31" s="774" t="s">
        <v>17</v>
      </c>
      <c r="U31" s="775">
        <f t="shared" si="13"/>
        <v>100</v>
      </c>
      <c r="V31" s="774" t="s">
        <v>17</v>
      </c>
      <c r="W31" s="775">
        <f t="shared" si="14"/>
        <v>100</v>
      </c>
      <c r="X31" s="1816"/>
      <c r="Y31" s="3201"/>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1"/>
      <c r="Q32" s="1813" t="str">
        <f t="shared" si="11"/>
        <v>公共部分装修</v>
      </c>
      <c r="R32" s="774" t="s">
        <v>17</v>
      </c>
      <c r="S32" s="775">
        <f t="shared" si="12"/>
        <v>100</v>
      </c>
      <c r="T32" s="774" t="s">
        <v>17</v>
      </c>
      <c r="U32" s="775">
        <f t="shared" si="13"/>
        <v>100</v>
      </c>
      <c r="V32" s="774" t="s">
        <v>17</v>
      </c>
      <c r="W32" s="775">
        <f t="shared" si="14"/>
        <v>100</v>
      </c>
      <c r="X32" s="1816"/>
      <c r="Y32" s="3201"/>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1"/>
      <c r="Q33" s="1813" t="str">
        <f t="shared" si="11"/>
        <v>成新度</v>
      </c>
      <c r="R33" s="774" t="s">
        <v>17</v>
      </c>
      <c r="S33" s="775" t="e">
        <f t="shared" si="12"/>
        <v>#N/A</v>
      </c>
      <c r="T33" s="774" t="s">
        <v>17</v>
      </c>
      <c r="U33" s="775" t="e">
        <f t="shared" si="13"/>
        <v>#N/A</v>
      </c>
      <c r="V33" s="774" t="s">
        <v>17</v>
      </c>
      <c r="W33" s="775" t="e">
        <f t="shared" si="14"/>
        <v>#N/A</v>
      </c>
      <c r="X33" s="1816"/>
      <c r="Y33" s="3201"/>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1"/>
      <c r="Q34" s="1798"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1" t="s">
        <v>2568</v>
      </c>
      <c r="Q35" s="1813" t="str">
        <f t="shared" si="11"/>
        <v>市政基础设施</v>
      </c>
      <c r="R35" s="774" t="s">
        <v>17</v>
      </c>
      <c r="S35" s="775">
        <f t="shared" si="12"/>
        <v>100</v>
      </c>
      <c r="T35" s="774" t="s">
        <v>17</v>
      </c>
      <c r="U35" s="775">
        <f t="shared" si="13"/>
        <v>100</v>
      </c>
      <c r="V35" s="774" t="s">
        <v>17</v>
      </c>
      <c r="W35" s="775">
        <f t="shared" si="14"/>
        <v>100</v>
      </c>
      <c r="X35" s="1816"/>
      <c r="Y35" s="3201"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1"/>
      <c r="Q36" s="1813" t="str">
        <f t="shared" si="11"/>
        <v>内部装修</v>
      </c>
      <c r="R36" s="774" t="s">
        <v>17</v>
      </c>
      <c r="S36" s="775">
        <f t="shared" si="12"/>
        <v>100</v>
      </c>
      <c r="T36" s="774" t="s">
        <v>17</v>
      </c>
      <c r="U36" s="775">
        <f t="shared" si="13"/>
        <v>100</v>
      </c>
      <c r="V36" s="774" t="s">
        <v>17</v>
      </c>
      <c r="W36" s="775">
        <f t="shared" si="14"/>
        <v>100</v>
      </c>
      <c r="X36" s="1816"/>
      <c r="Y36" s="3201"/>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1"/>
      <c r="Q37" s="1813" t="str">
        <f t="shared" si="11"/>
        <v>内部装修状况</v>
      </c>
      <c r="R37" s="774" t="s">
        <v>17</v>
      </c>
      <c r="S37" s="775">
        <f t="shared" si="12"/>
        <v>100</v>
      </c>
      <c r="T37" s="774" t="s">
        <v>17</v>
      </c>
      <c r="U37" s="775">
        <f t="shared" si="13"/>
        <v>100</v>
      </c>
      <c r="V37" s="774" t="s">
        <v>17</v>
      </c>
      <c r="W37" s="775">
        <f t="shared" si="14"/>
        <v>100</v>
      </c>
      <c r="X37" s="1816"/>
      <c r="Y37" s="320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1"/>
      <c r="Q39" s="1813">
        <f t="shared" si="11"/>
        <v>111</v>
      </c>
      <c r="R39" s="774" t="s">
        <v>17</v>
      </c>
      <c r="S39" s="775">
        <f t="shared" si="12"/>
        <v>100</v>
      </c>
      <c r="T39" s="774" t="s">
        <v>17</v>
      </c>
      <c r="U39" s="775">
        <f t="shared" si="13"/>
        <v>100</v>
      </c>
      <c r="V39" s="774" t="s">
        <v>17</v>
      </c>
      <c r="W39" s="775">
        <f t="shared" si="14"/>
        <v>100</v>
      </c>
      <c r="X39" s="1816"/>
      <c r="Y39" s="3201"/>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1"/>
      <c r="Q40" s="1813">
        <f t="shared" si="11"/>
        <v>111</v>
      </c>
      <c r="R40" s="774" t="s">
        <v>17</v>
      </c>
      <c r="S40" s="775">
        <f t="shared" si="12"/>
        <v>100</v>
      </c>
      <c r="T40" s="774" t="s">
        <v>17</v>
      </c>
      <c r="U40" s="775">
        <f t="shared" si="13"/>
        <v>100</v>
      </c>
      <c r="V40" s="774" t="s">
        <v>17</v>
      </c>
      <c r="W40" s="775">
        <f t="shared" si="14"/>
        <v>100</v>
      </c>
      <c r="X40" s="1816"/>
      <c r="Y40" s="3241"/>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83" t="str">
        <f>A41</f>
        <v>成交单价（元/平方米）</v>
      </c>
      <c r="Q41" s="3183"/>
      <c r="R41" s="3237">
        <f>E41</f>
        <v>0</v>
      </c>
      <c r="S41" s="3237"/>
      <c r="T41" s="3237">
        <f>G41</f>
        <v>0</v>
      </c>
      <c r="U41" s="3237"/>
      <c r="V41" s="3237">
        <f>I41</f>
        <v>0</v>
      </c>
      <c r="W41" s="3237"/>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83" t="str">
        <f>A42</f>
        <v>比较价值（元/平方米）</v>
      </c>
      <c r="Q42" s="3183"/>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03" t="str">
        <f>A43</f>
        <v>估价对象XX用房的比较价值（楼面单价，元/平方米）</v>
      </c>
      <c r="Q43" s="3204"/>
      <c r="R43" s="3236" t="e">
        <f>IF(F1="售价",ROUND(AVERAGE(R42:V42),0),ROUND(AVERAGE(R42:V42),1))</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1"/>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67" t="s">
        <v>2651</v>
      </c>
      <c r="AC4" s="3166" t="s">
        <v>2652</v>
      </c>
    </row>
    <row r="5" spans="1:29" ht="15">
      <c r="A5" s="404"/>
      <c r="B5" s="405"/>
      <c r="C5" s="3177" t="s">
        <v>2545</v>
      </c>
      <c r="D5" s="3178"/>
      <c r="E5" s="3175" t="s">
        <v>2546</v>
      </c>
      <c r="F5" s="3176"/>
      <c r="G5" s="3177" t="s">
        <v>2547</v>
      </c>
      <c r="H5" s="3178"/>
      <c r="I5" s="3177" t="s">
        <v>2548</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2549</v>
      </c>
      <c r="D6" s="3180"/>
      <c r="E6" s="3181" t="s">
        <v>2549</v>
      </c>
      <c r="F6" s="3182"/>
      <c r="G6" s="3179" t="s">
        <v>2549</v>
      </c>
      <c r="H6" s="3180"/>
      <c r="I6" s="3179" t="s">
        <v>2549</v>
      </c>
      <c r="J6" s="3180"/>
      <c r="K6" s="610" t="s">
        <v>2550</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2551</v>
      </c>
      <c r="B7" s="409"/>
      <c r="C7" s="410">
        <f>'数据-取费表'!B2</f>
        <v>43354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9" t="s">
        <v>2552</v>
      </c>
      <c r="Q7" s="3197"/>
      <c r="R7" s="770" t="s">
        <v>17</v>
      </c>
      <c r="S7" s="771">
        <f t="shared" ref="S7:S14" si="0">F7</f>
        <v>0</v>
      </c>
      <c r="T7" s="770" t="s">
        <v>17</v>
      </c>
      <c r="U7" s="771">
        <f t="shared" ref="U7:U14" si="1">H7</f>
        <v>0</v>
      </c>
      <c r="V7" s="770" t="s">
        <v>17</v>
      </c>
      <c r="W7" s="771">
        <f t="shared" ref="W7:W14" si="2">J7</f>
        <v>0</v>
      </c>
      <c r="X7" s="772"/>
      <c r="Y7" s="3169" t="s">
        <v>2552</v>
      </c>
      <c r="Z7" s="3170"/>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9" t="s">
        <v>2555</v>
      </c>
      <c r="Q8" s="3170"/>
      <c r="R8" s="770" t="s">
        <v>17</v>
      </c>
      <c r="S8" s="771">
        <f t="shared" si="0"/>
        <v>0</v>
      </c>
      <c r="T8" s="770" t="s">
        <v>17</v>
      </c>
      <c r="U8" s="771">
        <f t="shared" si="1"/>
        <v>0</v>
      </c>
      <c r="V8" s="770" t="s">
        <v>17</v>
      </c>
      <c r="W8" s="771">
        <f t="shared" si="2"/>
        <v>0</v>
      </c>
      <c r="X8" s="772"/>
      <c r="Y8" s="3169" t="s">
        <v>2555</v>
      </c>
      <c r="Z8" s="3170"/>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3" t="s">
        <v>2558</v>
      </c>
      <c r="Q9" s="1798" t="str">
        <f t="shared" ref="Q9:Q14" si="6">B9</f>
        <v>用途</v>
      </c>
      <c r="R9" s="770" t="s">
        <v>17</v>
      </c>
      <c r="S9" s="771">
        <f t="shared" si="0"/>
        <v>100</v>
      </c>
      <c r="T9" s="770" t="s">
        <v>17</v>
      </c>
      <c r="U9" s="771">
        <f t="shared" si="1"/>
        <v>100</v>
      </c>
      <c r="V9" s="770" t="s">
        <v>17</v>
      </c>
      <c r="W9" s="771">
        <f t="shared" si="2"/>
        <v>100</v>
      </c>
      <c r="X9" s="772"/>
      <c r="Y9" s="3023"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3"/>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2562</v>
      </c>
      <c r="B14" s="629" t="s">
        <v>2712</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8" t="s">
        <v>2563</v>
      </c>
      <c r="Q14" s="1813" t="str">
        <f t="shared" si="6"/>
        <v>交通便捷度</v>
      </c>
      <c r="R14" s="774" t="s">
        <v>17</v>
      </c>
      <c r="S14" s="775">
        <f t="shared" si="0"/>
        <v>100</v>
      </c>
      <c r="T14" s="774" t="s">
        <v>17</v>
      </c>
      <c r="U14" s="775">
        <f t="shared" si="1"/>
        <v>100</v>
      </c>
      <c r="V14" s="774" t="s">
        <v>17</v>
      </c>
      <c r="W14" s="775">
        <f t="shared" si="2"/>
        <v>100</v>
      </c>
      <c r="X14" s="1816"/>
      <c r="Y14" s="3198"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9"/>
      <c r="Q15" s="1813"/>
      <c r="R15" s="774"/>
      <c r="S15" s="775"/>
      <c r="T15" s="774"/>
      <c r="U15" s="775"/>
      <c r="V15" s="774"/>
      <c r="W15" s="775"/>
      <c r="X15" s="1816"/>
      <c r="Y15" s="3199"/>
      <c r="Z15" s="1817"/>
      <c r="AA15" s="1814">
        <v>1</v>
      </c>
      <c r="AB15" s="1814">
        <v>1</v>
      </c>
      <c r="AC15" s="1814">
        <v>1</v>
      </c>
    </row>
    <row r="16" spans="1:29" ht="42.75">
      <c r="A16" s="404"/>
      <c r="B16" s="631" t="s">
        <v>2691</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9"/>
      <c r="Q16" s="1813" t="str">
        <f>B16</f>
        <v>公共配套设施</v>
      </c>
      <c r="R16" s="774" t="s">
        <v>17</v>
      </c>
      <c r="S16" s="775">
        <f>F16</f>
        <v>100</v>
      </c>
      <c r="T16" s="774" t="s">
        <v>17</v>
      </c>
      <c r="U16" s="775">
        <f>H16</f>
        <v>100</v>
      </c>
      <c r="V16" s="774" t="s">
        <v>17</v>
      </c>
      <c r="W16" s="775">
        <f>J16</f>
        <v>100</v>
      </c>
      <c r="X16" s="1816"/>
      <c r="Y16" s="319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9"/>
      <c r="Q17" s="1813"/>
      <c r="R17" s="774"/>
      <c r="S17" s="775"/>
      <c r="T17" s="774"/>
      <c r="U17" s="775"/>
      <c r="V17" s="774"/>
      <c r="W17" s="775"/>
      <c r="X17" s="1816"/>
      <c r="Y17" s="3199"/>
      <c r="Z17" s="1817"/>
      <c r="AA17" s="1814">
        <v>1</v>
      </c>
      <c r="AB17" s="1814">
        <v>1</v>
      </c>
      <c r="AC17" s="1814">
        <v>1</v>
      </c>
    </row>
    <row r="18" spans="1:29" ht="28.5">
      <c r="A18" s="404"/>
      <c r="B18" s="633" t="s">
        <v>2692</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9"/>
      <c r="Q18" s="1813" t="str">
        <f>B18</f>
        <v>基础设施水平</v>
      </c>
      <c r="R18" s="774" t="s">
        <v>17</v>
      </c>
      <c r="S18" s="775">
        <f>F18</f>
        <v>100</v>
      </c>
      <c r="T18" s="774" t="s">
        <v>17</v>
      </c>
      <c r="U18" s="775">
        <f>H18</f>
        <v>100</v>
      </c>
      <c r="V18" s="774" t="s">
        <v>17</v>
      </c>
      <c r="W18" s="775">
        <f>J18</f>
        <v>100</v>
      </c>
      <c r="X18" s="1816"/>
      <c r="Y18" s="319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9"/>
      <c r="Q19" s="1813"/>
      <c r="R19" s="774"/>
      <c r="S19" s="775"/>
      <c r="T19" s="774"/>
      <c r="U19" s="775"/>
      <c r="V19" s="774"/>
      <c r="W19" s="775"/>
      <c r="X19" s="1816"/>
      <c r="Y19" s="3199"/>
      <c r="Z19" s="1817"/>
      <c r="AA19" s="1814">
        <v>1</v>
      </c>
      <c r="AB19" s="1814">
        <v>1</v>
      </c>
      <c r="AC19" s="1814">
        <v>1</v>
      </c>
    </row>
    <row r="20" spans="1:29" ht="57">
      <c r="A20" s="404"/>
      <c r="B20" s="631" t="s">
        <v>2713</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9"/>
      <c r="Q20" s="1813" t="str">
        <f>B20</f>
        <v>自然及人文环境</v>
      </c>
      <c r="R20" s="774" t="s">
        <v>17</v>
      </c>
      <c r="S20" s="775">
        <f>F20</f>
        <v>100</v>
      </c>
      <c r="T20" s="774" t="s">
        <v>17</v>
      </c>
      <c r="U20" s="775">
        <f>H20</f>
        <v>100</v>
      </c>
      <c r="V20" s="774" t="s">
        <v>17</v>
      </c>
      <c r="W20" s="775">
        <f>J20</f>
        <v>100</v>
      </c>
      <c r="X20" s="1816"/>
      <c r="Y20" s="319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9"/>
      <c r="Q21" s="1813"/>
      <c r="R21" s="774"/>
      <c r="S21" s="775"/>
      <c r="T21" s="774"/>
      <c r="U21" s="775"/>
      <c r="V21" s="774"/>
      <c r="W21" s="775"/>
      <c r="X21" s="1816"/>
      <c r="Y21" s="3199"/>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9"/>
      <c r="Q22" s="1813" t="str">
        <f>B22</f>
        <v>楼层</v>
      </c>
      <c r="R22" s="774" t="s">
        <v>17</v>
      </c>
      <c r="S22" s="775">
        <f>F22</f>
        <v>100</v>
      </c>
      <c r="T22" s="774" t="s">
        <v>17</v>
      </c>
      <c r="U22" s="775">
        <f>H22</f>
        <v>100</v>
      </c>
      <c r="V22" s="774" t="s">
        <v>17</v>
      </c>
      <c r="W22" s="775">
        <f>J22</f>
        <v>100</v>
      </c>
      <c r="X22" s="1816"/>
      <c r="Y22" s="319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9"/>
      <c r="Q23" s="1813">
        <f>B23</f>
        <v>111</v>
      </c>
      <c r="R23" s="774" t="s">
        <v>17</v>
      </c>
      <c r="S23" s="775">
        <f>F23</f>
        <v>100</v>
      </c>
      <c r="T23" s="774" t="s">
        <v>17</v>
      </c>
      <c r="U23" s="775">
        <f>H23</f>
        <v>100</v>
      </c>
      <c r="V23" s="774" t="s">
        <v>17</v>
      </c>
      <c r="W23" s="775">
        <f>J23</f>
        <v>100</v>
      </c>
      <c r="X23" s="1816"/>
      <c r="Y23" s="319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9"/>
      <c r="Q24" s="1813">
        <f t="shared" ref="Q24:Q36" si="11">B24</f>
        <v>111</v>
      </c>
      <c r="R24" s="774" t="s">
        <v>17</v>
      </c>
      <c r="S24" s="775">
        <f>F24</f>
        <v>100</v>
      </c>
      <c r="T24" s="774" t="s">
        <v>17</v>
      </c>
      <c r="U24" s="775">
        <f>H24</f>
        <v>100</v>
      </c>
      <c r="V24" s="774" t="s">
        <v>17</v>
      </c>
      <c r="W24" s="775">
        <f>J24</f>
        <v>100</v>
      </c>
      <c r="X24" s="1816"/>
      <c r="Y24" s="319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9"/>
      <c r="Q25" s="1798">
        <f t="shared" si="11"/>
        <v>111</v>
      </c>
      <c r="R25" s="770" t="s">
        <v>17</v>
      </c>
      <c r="S25" s="771">
        <f>F25</f>
        <v>100</v>
      </c>
      <c r="T25" s="770" t="s">
        <v>17</v>
      </c>
      <c r="U25" s="771">
        <f>H25</f>
        <v>100</v>
      </c>
      <c r="V25" s="770" t="s">
        <v>17</v>
      </c>
      <c r="W25" s="771">
        <f>J25</f>
        <v>100</v>
      </c>
      <c r="X25" s="772"/>
      <c r="Y25" s="3199"/>
      <c r="Z25" s="55">
        <f>Q25</f>
        <v>111</v>
      </c>
      <c r="AA25" s="1814">
        <f>D25/F25</f>
        <v>1</v>
      </c>
      <c r="AB25" s="1814">
        <f>D25/H25</f>
        <v>1</v>
      </c>
      <c r="AC25" s="1814">
        <f>D25/J25</f>
        <v>1</v>
      </c>
    </row>
    <row r="26" spans="1:29" ht="15">
      <c r="A26" s="652" t="s">
        <v>2566</v>
      </c>
      <c r="B26" s="70" t="s">
        <v>2715</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0"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1"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1"/>
      <c r="Q28" s="1813" t="str">
        <f t="shared" si="11"/>
        <v>公共部分装修</v>
      </c>
      <c r="R28" s="774" t="s">
        <v>17</v>
      </c>
      <c r="S28" s="775">
        <f t="shared" si="12"/>
        <v>100</v>
      </c>
      <c r="T28" s="774" t="s">
        <v>17</v>
      </c>
      <c r="U28" s="775">
        <f t="shared" si="13"/>
        <v>100</v>
      </c>
      <c r="V28" s="774" t="s">
        <v>17</v>
      </c>
      <c r="W28" s="775">
        <f t="shared" si="14"/>
        <v>100</v>
      </c>
      <c r="X28" s="1816"/>
      <c r="Y28" s="3201"/>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1"/>
      <c r="Q29" s="1813" t="str">
        <f t="shared" si="11"/>
        <v>成新率</v>
      </c>
      <c r="R29" s="774" t="s">
        <v>17</v>
      </c>
      <c r="S29" s="775" t="e">
        <f t="shared" si="12"/>
        <v>#N/A</v>
      </c>
      <c r="T29" s="774" t="s">
        <v>17</v>
      </c>
      <c r="U29" s="775" t="e">
        <f t="shared" si="13"/>
        <v>#N/A</v>
      </c>
      <c r="V29" s="774" t="s">
        <v>17</v>
      </c>
      <c r="W29" s="775" t="e">
        <f t="shared" si="14"/>
        <v>#N/A</v>
      </c>
      <c r="X29" s="1816"/>
      <c r="Y29" s="3201"/>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1"/>
      <c r="Q30" s="1813" t="str">
        <f t="shared" si="11"/>
        <v>物业等级</v>
      </c>
      <c r="R30" s="774" t="s">
        <v>17</v>
      </c>
      <c r="S30" s="775">
        <f t="shared" si="12"/>
        <v>100</v>
      </c>
      <c r="T30" s="774" t="s">
        <v>17</v>
      </c>
      <c r="U30" s="775">
        <f t="shared" si="13"/>
        <v>100</v>
      </c>
      <c r="V30" s="774" t="s">
        <v>17</v>
      </c>
      <c r="W30" s="775">
        <f t="shared" si="14"/>
        <v>100</v>
      </c>
      <c r="X30" s="1816"/>
      <c r="Y30" s="3201"/>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1"/>
      <c r="Q31" s="1798"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1" t="s">
        <v>2568</v>
      </c>
      <c r="Q32" s="1813" t="str">
        <f t="shared" si="11"/>
        <v>车位类型</v>
      </c>
      <c r="R32" s="774" t="s">
        <v>17</v>
      </c>
      <c r="S32" s="775">
        <f t="shared" si="12"/>
        <v>100</v>
      </c>
      <c r="T32" s="774" t="s">
        <v>17</v>
      </c>
      <c r="U32" s="775">
        <f t="shared" si="13"/>
        <v>100</v>
      </c>
      <c r="V32" s="774" t="s">
        <v>17</v>
      </c>
      <c r="W32" s="775">
        <f t="shared" si="14"/>
        <v>100</v>
      </c>
      <c r="X32" s="1816"/>
      <c r="Y32" s="3201"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1"/>
      <c r="Q33" s="1813" t="str">
        <f t="shared" si="11"/>
        <v>是否直接入户</v>
      </c>
      <c r="R33" s="774" t="s">
        <v>17</v>
      </c>
      <c r="S33" s="775">
        <f t="shared" si="12"/>
        <v>100</v>
      </c>
      <c r="T33" s="774" t="s">
        <v>17</v>
      </c>
      <c r="U33" s="775">
        <f t="shared" si="13"/>
        <v>100</v>
      </c>
      <c r="V33" s="774" t="s">
        <v>17</v>
      </c>
      <c r="W33" s="775">
        <f t="shared" si="14"/>
        <v>100</v>
      </c>
      <c r="X33" s="1816"/>
      <c r="Y33" s="320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1"/>
      <c r="Q36" s="1813">
        <f t="shared" si="11"/>
        <v>111</v>
      </c>
      <c r="R36" s="774" t="s">
        <v>17</v>
      </c>
      <c r="S36" s="775">
        <f t="shared" si="12"/>
        <v>100</v>
      </c>
      <c r="T36" s="774" t="s">
        <v>17</v>
      </c>
      <c r="U36" s="775">
        <f t="shared" si="13"/>
        <v>100</v>
      </c>
      <c r="V36" s="774" t="s">
        <v>17</v>
      </c>
      <c r="W36" s="775">
        <f t="shared" si="14"/>
        <v>100</v>
      </c>
      <c r="X36" s="1816"/>
      <c r="Y36" s="3201"/>
      <c r="Z36" s="1817">
        <f t="shared" si="15"/>
        <v>111</v>
      </c>
      <c r="AA36" s="1814">
        <f t="shared" si="3"/>
        <v>1</v>
      </c>
      <c r="AB36" s="1814">
        <f t="shared" si="4"/>
        <v>1</v>
      </c>
      <c r="AC36" s="1814">
        <f t="shared" si="5"/>
        <v>1</v>
      </c>
    </row>
    <row r="37" spans="1:29" ht="15">
      <c r="A37" s="479" t="s">
        <v>2723</v>
      </c>
      <c r="B37" s="2702" t="s">
        <v>2724</v>
      </c>
      <c r="C37" s="1410" t="s">
        <v>1</v>
      </c>
      <c r="D37" s="1411"/>
      <c r="E37" s="1412"/>
      <c r="F37" s="1413"/>
      <c r="G37" s="1414"/>
      <c r="H37" s="1415"/>
      <c r="I37" s="1412"/>
      <c r="J37" s="1415"/>
      <c r="K37" s="619"/>
      <c r="L37" s="1146"/>
      <c r="M37" s="1147"/>
      <c r="N37" s="1134"/>
      <c r="O37" s="1147"/>
      <c r="P37" s="3183" t="str">
        <f>A37</f>
        <v>成交单价</v>
      </c>
      <c r="Q37" s="3183"/>
      <c r="R37" s="3237">
        <f>E37</f>
        <v>0</v>
      </c>
      <c r="S37" s="3237"/>
      <c r="T37" s="3237">
        <f>G37</f>
        <v>0</v>
      </c>
      <c r="U37" s="3237"/>
      <c r="V37" s="3237">
        <f>I37</f>
        <v>0</v>
      </c>
      <c r="W37" s="3237"/>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3" t="str">
        <f>A38</f>
        <v>比较价值（元/平方米）</v>
      </c>
      <c r="Q38" s="3183"/>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03" t="str">
        <f>A39</f>
        <v>估价对象XX用房的比较价值（楼面单价，元/平方米）</v>
      </c>
      <c r="Q39" s="3204"/>
      <c r="R39" s="3236" t="e">
        <f>IF(F1="售价",ROUND(AVERAGE(R38:V38),0),ROUND(AVERAGE(R38:V38),1))</f>
        <v>#DIV/0!</v>
      </c>
      <c r="S39" s="3236"/>
      <c r="T39" s="3236"/>
      <c r="U39" s="3236"/>
      <c r="V39" s="3236"/>
      <c r="W39" s="323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67" t="s">
        <v>2651</v>
      </c>
      <c r="AC4" s="3166" t="s">
        <v>2652</v>
      </c>
    </row>
    <row r="5" spans="1:29" ht="15">
      <c r="A5" s="404"/>
      <c r="B5" s="405"/>
      <c r="C5" s="3177" t="s">
        <v>2545</v>
      </c>
      <c r="D5" s="3178"/>
      <c r="E5" s="3175" t="s">
        <v>2546</v>
      </c>
      <c r="F5" s="3176"/>
      <c r="G5" s="3177" t="s">
        <v>2547</v>
      </c>
      <c r="H5" s="3178"/>
      <c r="I5" s="3177" t="s">
        <v>2548</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2549</v>
      </c>
      <c r="D6" s="3180"/>
      <c r="E6" s="3181" t="s">
        <v>2549</v>
      </c>
      <c r="F6" s="3182"/>
      <c r="G6" s="3179" t="s">
        <v>2549</v>
      </c>
      <c r="H6" s="3180"/>
      <c r="I6" s="3179" t="s">
        <v>2549</v>
      </c>
      <c r="J6" s="3180"/>
      <c r="K6" s="610" t="s">
        <v>2550</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2551</v>
      </c>
      <c r="B7" s="409"/>
      <c r="C7" s="410">
        <f>'数据-取费表'!B2</f>
        <v>43354</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69" t="s">
        <v>2552</v>
      </c>
      <c r="Q7" s="3197"/>
      <c r="R7" s="770" t="s">
        <v>17</v>
      </c>
      <c r="S7" s="771">
        <f t="shared" ref="S7:S14" si="0">F7</f>
        <v>0</v>
      </c>
      <c r="T7" s="770" t="s">
        <v>17</v>
      </c>
      <c r="U7" s="771">
        <f t="shared" ref="U7:U14" si="1">H7</f>
        <v>0</v>
      </c>
      <c r="V7" s="770" t="s">
        <v>17</v>
      </c>
      <c r="W7" s="771">
        <f t="shared" ref="W7:W14" si="2">J7</f>
        <v>0</v>
      </c>
      <c r="X7" s="772"/>
      <c r="Y7" s="3169" t="s">
        <v>2552</v>
      </c>
      <c r="Z7" s="3170"/>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9" t="s">
        <v>2555</v>
      </c>
      <c r="Q8" s="3170"/>
      <c r="R8" s="770" t="s">
        <v>17</v>
      </c>
      <c r="S8" s="771">
        <f t="shared" si="0"/>
        <v>0</v>
      </c>
      <c r="T8" s="770" t="s">
        <v>17</v>
      </c>
      <c r="U8" s="771">
        <f t="shared" si="1"/>
        <v>0</v>
      </c>
      <c r="V8" s="770" t="s">
        <v>17</v>
      </c>
      <c r="W8" s="771">
        <f t="shared" si="2"/>
        <v>0</v>
      </c>
      <c r="X8" s="772"/>
      <c r="Y8" s="3169" t="s">
        <v>2555</v>
      </c>
      <c r="Z8" s="3170"/>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3" t="s">
        <v>2558</v>
      </c>
      <c r="Q9" s="1798" t="str">
        <f t="shared" ref="Q9:Q14" si="6">B9</f>
        <v>用途</v>
      </c>
      <c r="R9" s="770" t="s">
        <v>17</v>
      </c>
      <c r="S9" s="771">
        <f t="shared" si="0"/>
        <v>100</v>
      </c>
      <c r="T9" s="770" t="s">
        <v>17</v>
      </c>
      <c r="U9" s="771">
        <f t="shared" si="1"/>
        <v>100</v>
      </c>
      <c r="V9" s="770" t="s">
        <v>17</v>
      </c>
      <c r="W9" s="771">
        <f t="shared" si="2"/>
        <v>100</v>
      </c>
      <c r="X9" s="772"/>
      <c r="Y9" s="3023"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3"/>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3"/>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2562</v>
      </c>
      <c r="B14" s="69" t="s">
        <v>2712</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8" t="s">
        <v>2563</v>
      </c>
      <c r="Q14" s="1813" t="str">
        <f t="shared" si="6"/>
        <v>交通便捷度</v>
      </c>
      <c r="R14" s="774" t="s">
        <v>17</v>
      </c>
      <c r="S14" s="775">
        <f t="shared" si="0"/>
        <v>100</v>
      </c>
      <c r="T14" s="774" t="s">
        <v>17</v>
      </c>
      <c r="U14" s="775">
        <f t="shared" si="1"/>
        <v>100</v>
      </c>
      <c r="V14" s="774" t="s">
        <v>17</v>
      </c>
      <c r="W14" s="775">
        <f t="shared" si="2"/>
        <v>100</v>
      </c>
      <c r="X14" s="1816"/>
      <c r="Y14" s="3198"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9"/>
      <c r="Q15" s="1813"/>
      <c r="R15" s="774"/>
      <c r="S15" s="775"/>
      <c r="T15" s="774"/>
      <c r="U15" s="775"/>
      <c r="V15" s="774"/>
      <c r="W15" s="775"/>
      <c r="X15" s="1816"/>
      <c r="Y15" s="3199"/>
      <c r="Z15" s="1817"/>
      <c r="AA15" s="1814">
        <v>1</v>
      </c>
      <c r="AB15" s="1814">
        <v>1</v>
      </c>
      <c r="AC15" s="1814">
        <v>1</v>
      </c>
    </row>
    <row r="16" spans="1:29" ht="42.75">
      <c r="A16" s="428"/>
      <c r="B16" s="451" t="s">
        <v>2691</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9"/>
      <c r="Q16" s="1813" t="str">
        <f>B16</f>
        <v>公共配套设施</v>
      </c>
      <c r="R16" s="774" t="s">
        <v>17</v>
      </c>
      <c r="S16" s="775">
        <f>F16</f>
        <v>100</v>
      </c>
      <c r="T16" s="774" t="s">
        <v>17</v>
      </c>
      <c r="U16" s="775">
        <f>H16</f>
        <v>100</v>
      </c>
      <c r="V16" s="774" t="s">
        <v>17</v>
      </c>
      <c r="W16" s="775">
        <f>J16</f>
        <v>100</v>
      </c>
      <c r="X16" s="1816"/>
      <c r="Y16" s="319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9"/>
      <c r="Q17" s="1813"/>
      <c r="R17" s="774"/>
      <c r="S17" s="775"/>
      <c r="T17" s="774"/>
      <c r="U17" s="775"/>
      <c r="V17" s="774"/>
      <c r="W17" s="775"/>
      <c r="X17" s="1816"/>
      <c r="Y17" s="3199"/>
      <c r="Z17" s="1817"/>
      <c r="AA17" s="1814">
        <v>1</v>
      </c>
      <c r="AB17" s="1814">
        <v>1</v>
      </c>
      <c r="AC17" s="1814">
        <v>1</v>
      </c>
    </row>
    <row r="18" spans="1:29" ht="28.5">
      <c r="A18" s="428"/>
      <c r="B18" s="1387" t="s">
        <v>2692</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9"/>
      <c r="Q18" s="1813" t="str">
        <f>B18</f>
        <v>基础设施水平</v>
      </c>
      <c r="R18" s="774" t="s">
        <v>17</v>
      </c>
      <c r="S18" s="775">
        <f>F18</f>
        <v>100</v>
      </c>
      <c r="T18" s="774" t="s">
        <v>17</v>
      </c>
      <c r="U18" s="775">
        <f>H18</f>
        <v>100</v>
      </c>
      <c r="V18" s="774" t="s">
        <v>17</v>
      </c>
      <c r="W18" s="775">
        <f>J18</f>
        <v>100</v>
      </c>
      <c r="X18" s="1816"/>
      <c r="Y18" s="319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9"/>
      <c r="Q19" s="1813"/>
      <c r="R19" s="774"/>
      <c r="S19" s="775"/>
      <c r="T19" s="774"/>
      <c r="U19" s="775"/>
      <c r="V19" s="774"/>
      <c r="W19" s="775"/>
      <c r="X19" s="1816"/>
      <c r="Y19" s="3199"/>
      <c r="Z19" s="1817"/>
      <c r="AA19" s="1814">
        <v>1</v>
      </c>
      <c r="AB19" s="1814">
        <v>1</v>
      </c>
      <c r="AC19" s="1814">
        <v>1</v>
      </c>
    </row>
    <row r="20" spans="1:29" ht="57">
      <c r="A20" s="428"/>
      <c r="B20" s="451" t="s">
        <v>2713</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9"/>
      <c r="Q20" s="1813" t="str">
        <f>B20</f>
        <v>自然及人文环境</v>
      </c>
      <c r="R20" s="774" t="s">
        <v>17</v>
      </c>
      <c r="S20" s="775">
        <f>F20</f>
        <v>100</v>
      </c>
      <c r="T20" s="774" t="s">
        <v>17</v>
      </c>
      <c r="U20" s="775">
        <f>H20</f>
        <v>100</v>
      </c>
      <c r="V20" s="774" t="s">
        <v>17</v>
      </c>
      <c r="W20" s="775">
        <f>J20</f>
        <v>100</v>
      </c>
      <c r="X20" s="1816"/>
      <c r="Y20" s="319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9"/>
      <c r="Q21" s="1813"/>
      <c r="R21" s="774"/>
      <c r="S21" s="775"/>
      <c r="T21" s="774"/>
      <c r="U21" s="775"/>
      <c r="V21" s="774"/>
      <c r="W21" s="775"/>
      <c r="X21" s="1816"/>
      <c r="Y21" s="3199"/>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9"/>
      <c r="Q22" s="1813" t="str">
        <f>B22</f>
        <v>楼层</v>
      </c>
      <c r="R22" s="774" t="s">
        <v>17</v>
      </c>
      <c r="S22" s="775">
        <f>F22</f>
        <v>100</v>
      </c>
      <c r="T22" s="774" t="s">
        <v>17</v>
      </c>
      <c r="U22" s="775">
        <f>H22</f>
        <v>100</v>
      </c>
      <c r="V22" s="774" t="s">
        <v>17</v>
      </c>
      <c r="W22" s="775">
        <f>J22</f>
        <v>100</v>
      </c>
      <c r="X22" s="1816"/>
      <c r="Y22" s="319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9"/>
      <c r="Q23" s="1813">
        <f>B23</f>
        <v>111</v>
      </c>
      <c r="R23" s="774" t="s">
        <v>17</v>
      </c>
      <c r="S23" s="775">
        <f>F23</f>
        <v>100</v>
      </c>
      <c r="T23" s="774" t="s">
        <v>17</v>
      </c>
      <c r="U23" s="775">
        <f>H23</f>
        <v>100</v>
      </c>
      <c r="V23" s="774" t="s">
        <v>17</v>
      </c>
      <c r="W23" s="775">
        <f>J23</f>
        <v>100</v>
      </c>
      <c r="X23" s="1816"/>
      <c r="Y23" s="319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9"/>
      <c r="Q24" s="1813">
        <f t="shared" ref="Q24:Q34" si="11">B24</f>
        <v>111</v>
      </c>
      <c r="R24" s="774" t="s">
        <v>17</v>
      </c>
      <c r="S24" s="775">
        <f>F24</f>
        <v>100</v>
      </c>
      <c r="T24" s="774" t="s">
        <v>17</v>
      </c>
      <c r="U24" s="775">
        <f>H24</f>
        <v>100</v>
      </c>
      <c r="V24" s="774" t="s">
        <v>17</v>
      </c>
      <c r="W24" s="775">
        <f>J24</f>
        <v>100</v>
      </c>
      <c r="X24" s="1816"/>
      <c r="Y24" s="3199"/>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9"/>
      <c r="Q25" s="1798">
        <f t="shared" si="11"/>
        <v>111</v>
      </c>
      <c r="R25" s="770" t="s">
        <v>17</v>
      </c>
      <c r="S25" s="771">
        <f>F25</f>
        <v>100</v>
      </c>
      <c r="T25" s="770" t="s">
        <v>17</v>
      </c>
      <c r="U25" s="771">
        <f>H25</f>
        <v>100</v>
      </c>
      <c r="V25" s="770" t="s">
        <v>17</v>
      </c>
      <c r="W25" s="771">
        <f>J25</f>
        <v>100</v>
      </c>
      <c r="X25" s="772"/>
      <c r="Y25" s="3199"/>
      <c r="Z25" s="55">
        <f>Q25</f>
        <v>111</v>
      </c>
      <c r="AA25" s="1814">
        <f>D25/F25</f>
        <v>1</v>
      </c>
      <c r="AB25" s="1814">
        <f>D25/H25</f>
        <v>1</v>
      </c>
      <c r="AC25" s="1814">
        <f>D25/J25</f>
        <v>1</v>
      </c>
    </row>
    <row r="26" spans="1:29" ht="15">
      <c r="A26" s="466" t="s">
        <v>2566</v>
      </c>
      <c r="B26" s="71" t="s">
        <v>2717</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00"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1"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1"/>
      <c r="Q28" s="1813" t="str">
        <f t="shared" si="11"/>
        <v>物业等级</v>
      </c>
      <c r="R28" s="774" t="s">
        <v>17</v>
      </c>
      <c r="S28" s="775">
        <f t="shared" si="12"/>
        <v>100</v>
      </c>
      <c r="T28" s="774" t="s">
        <v>17</v>
      </c>
      <c r="U28" s="775">
        <f t="shared" si="13"/>
        <v>100</v>
      </c>
      <c r="V28" s="774" t="s">
        <v>17</v>
      </c>
      <c r="W28" s="775">
        <f t="shared" si="14"/>
        <v>100</v>
      </c>
      <c r="X28" s="1816"/>
      <c r="Y28" s="3201"/>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1"/>
      <c r="Q29" s="1813" t="str">
        <f t="shared" si="11"/>
        <v>有无电梯</v>
      </c>
      <c r="R29" s="774" t="s">
        <v>17</v>
      </c>
      <c r="S29" s="775">
        <f t="shared" si="12"/>
        <v>100</v>
      </c>
      <c r="T29" s="774" t="s">
        <v>17</v>
      </c>
      <c r="U29" s="775">
        <f t="shared" si="13"/>
        <v>100</v>
      </c>
      <c r="V29" s="774" t="s">
        <v>17</v>
      </c>
      <c r="W29" s="775">
        <f t="shared" si="14"/>
        <v>100</v>
      </c>
      <c r="X29" s="1816"/>
      <c r="Y29" s="3201"/>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1"/>
      <c r="Q30" s="1813" t="str">
        <f t="shared" si="11"/>
        <v>建筑面积</v>
      </c>
      <c r="R30" s="774" t="s">
        <v>17</v>
      </c>
      <c r="S30" s="775" t="e">
        <f t="shared" si="12"/>
        <v>#N/A</v>
      </c>
      <c r="T30" s="774" t="s">
        <v>17</v>
      </c>
      <c r="U30" s="775" t="e">
        <f t="shared" si="13"/>
        <v>#N/A</v>
      </c>
      <c r="V30" s="774" t="s">
        <v>17</v>
      </c>
      <c r="W30" s="775" t="e">
        <f t="shared" si="14"/>
        <v>#N/A</v>
      </c>
      <c r="X30" s="1816"/>
      <c r="Y30" s="3201"/>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1"/>
      <c r="Q31" s="1798"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1" t="s">
        <v>2568</v>
      </c>
      <c r="Q32" s="1813">
        <f t="shared" si="11"/>
        <v>111</v>
      </c>
      <c r="R32" s="774" t="s">
        <v>17</v>
      </c>
      <c r="S32" s="775">
        <f t="shared" si="12"/>
        <v>100</v>
      </c>
      <c r="T32" s="774" t="s">
        <v>17</v>
      </c>
      <c r="U32" s="775">
        <f t="shared" si="13"/>
        <v>100</v>
      </c>
      <c r="V32" s="774" t="s">
        <v>17</v>
      </c>
      <c r="W32" s="775">
        <f t="shared" si="14"/>
        <v>100</v>
      </c>
      <c r="X32" s="1816"/>
      <c r="Y32" s="3201" t="s">
        <v>2568</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1"/>
      <c r="Q33" s="1813">
        <f t="shared" si="11"/>
        <v>111</v>
      </c>
      <c r="R33" s="774" t="s">
        <v>17</v>
      </c>
      <c r="S33" s="775">
        <f t="shared" si="12"/>
        <v>100</v>
      </c>
      <c r="T33" s="774" t="s">
        <v>17</v>
      </c>
      <c r="U33" s="775">
        <f t="shared" si="13"/>
        <v>100</v>
      </c>
      <c r="V33" s="774" t="s">
        <v>17</v>
      </c>
      <c r="W33" s="775">
        <f t="shared" si="14"/>
        <v>100</v>
      </c>
      <c r="X33" s="1816"/>
      <c r="Y33" s="3201"/>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83" t="str">
        <f>A35</f>
        <v>成交单价（元/平方米）</v>
      </c>
      <c r="Q35" s="3183"/>
      <c r="R35" s="3237">
        <f>E35</f>
        <v>0</v>
      </c>
      <c r="S35" s="3237"/>
      <c r="T35" s="3237">
        <f>G35</f>
        <v>0</v>
      </c>
      <c r="U35" s="3237"/>
      <c r="V35" s="3237">
        <f>I35</f>
        <v>0</v>
      </c>
      <c r="W35" s="3237"/>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83" t="str">
        <f>A36</f>
        <v>比较价值（元/平方米）</v>
      </c>
      <c r="Q36" s="3183"/>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03" t="str">
        <f>A37</f>
        <v>估价对象XX用房的比较价值（楼面单价，元/平方米）</v>
      </c>
      <c r="Q37" s="3204"/>
      <c r="R37" s="3236" t="e">
        <f>IF(F1="售价",ROUND(AVERAGE(R36:V36),0),ROUND(AVERAGE(R36:V36),1))</f>
        <v>#DIV/0!</v>
      </c>
      <c r="S37" s="3236"/>
      <c r="T37" s="3236"/>
      <c r="U37" s="3236"/>
      <c r="V37" s="3236"/>
      <c r="W37" s="323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71" t="s">
        <v>2650</v>
      </c>
      <c r="S4" s="3172"/>
      <c r="T4" s="3171" t="s">
        <v>2651</v>
      </c>
      <c r="U4" s="3172"/>
      <c r="V4" s="3196" t="s">
        <v>2652</v>
      </c>
      <c r="W4" s="3196"/>
      <c r="X4" s="1816"/>
      <c r="Y4" s="3171" t="s">
        <v>2654</v>
      </c>
      <c r="Z4" s="3172"/>
      <c r="AA4" s="3166" t="s">
        <v>2650</v>
      </c>
      <c r="AB4" s="3167" t="s">
        <v>2651</v>
      </c>
      <c r="AC4" s="3166" t="s">
        <v>2652</v>
      </c>
    </row>
    <row r="5" spans="1:29" ht="15">
      <c r="A5" s="404"/>
      <c r="B5" s="405"/>
      <c r="C5" s="3177" t="s">
        <v>2545</v>
      </c>
      <c r="D5" s="3178"/>
      <c r="E5" s="3175" t="s">
        <v>2546</v>
      </c>
      <c r="F5" s="3176"/>
      <c r="G5" s="3177" t="s">
        <v>2547</v>
      </c>
      <c r="H5" s="3178"/>
      <c r="I5" s="3177" t="s">
        <v>2548</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259" t="s">
        <v>2800</v>
      </c>
      <c r="D6" s="3260"/>
      <c r="E6" s="3261" t="s">
        <v>2800</v>
      </c>
      <c r="F6" s="3262"/>
      <c r="G6" s="3259" t="s">
        <v>2800</v>
      </c>
      <c r="H6" s="3260"/>
      <c r="I6" s="3259" t="s">
        <v>2800</v>
      </c>
      <c r="J6" s="3260"/>
      <c r="K6" s="610" t="s">
        <v>2550</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2551</v>
      </c>
      <c r="B7" s="409"/>
      <c r="C7" s="410">
        <f>'数据-取费表'!B2</f>
        <v>43354</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69" t="s">
        <v>2552</v>
      </c>
      <c r="Q7" s="3197"/>
      <c r="R7" s="770" t="s">
        <v>17</v>
      </c>
      <c r="S7" s="771">
        <f t="shared" ref="S7:S15" si="0">F7</f>
        <v>0</v>
      </c>
      <c r="T7" s="770" t="s">
        <v>17</v>
      </c>
      <c r="U7" s="771">
        <f t="shared" ref="U7:U15" si="1">H7</f>
        <v>0</v>
      </c>
      <c r="V7" s="770" t="s">
        <v>17</v>
      </c>
      <c r="W7" s="771">
        <f t="shared" ref="W7:W15" si="2">J7</f>
        <v>0</v>
      </c>
      <c r="X7" s="772"/>
      <c r="Y7" s="3169" t="s">
        <v>2552</v>
      </c>
      <c r="Z7" s="3170"/>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9" t="s">
        <v>2555</v>
      </c>
      <c r="Q8" s="3170"/>
      <c r="R8" s="770" t="s">
        <v>17</v>
      </c>
      <c r="S8" s="771">
        <f t="shared" si="0"/>
        <v>0</v>
      </c>
      <c r="T8" s="770" t="s">
        <v>17</v>
      </c>
      <c r="U8" s="771">
        <f t="shared" si="1"/>
        <v>0</v>
      </c>
      <c r="V8" s="770" t="s">
        <v>17</v>
      </c>
      <c r="W8" s="771">
        <f t="shared" si="2"/>
        <v>0</v>
      </c>
      <c r="X8" s="772"/>
      <c r="Y8" s="3169" t="s">
        <v>2555</v>
      </c>
      <c r="Z8" s="3170"/>
      <c r="AA8" s="773" t="e">
        <f t="shared" ref="AA8:AA40" si="3">D8/F8</f>
        <v>#DIV/0!</v>
      </c>
      <c r="AB8" s="773" t="e">
        <f t="shared" ref="AB8:AB40" si="4">D8/H8</f>
        <v>#DIV/0!</v>
      </c>
      <c r="AC8" s="773" t="e">
        <f t="shared" ref="AC8:AC40" si="5">D8/J8</f>
        <v>#DIV/0!</v>
      </c>
    </row>
    <row r="9" spans="1:29" s="117" customFormat="1">
      <c r="A9" s="415" t="s">
        <v>2556</v>
      </c>
      <c r="B9" s="71" t="s">
        <v>2557</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83" t="s">
        <v>2558</v>
      </c>
      <c r="Q9" s="1798" t="str">
        <f t="shared" ref="Q9:Q15" si="6">B9</f>
        <v>用途</v>
      </c>
      <c r="R9" s="770" t="s">
        <v>17</v>
      </c>
      <c r="S9" s="771">
        <f t="shared" si="0"/>
        <v>100</v>
      </c>
      <c r="T9" s="770" t="s">
        <v>17</v>
      </c>
      <c r="U9" s="771">
        <f t="shared" si="1"/>
        <v>100</v>
      </c>
      <c r="V9" s="770" t="s">
        <v>17</v>
      </c>
      <c r="W9" s="771">
        <f t="shared" si="2"/>
        <v>100</v>
      </c>
      <c r="X9" s="772"/>
      <c r="Y9" s="3023"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183"/>
      <c r="Q10" s="1798" t="str">
        <f t="shared" si="6"/>
        <v>土地使用年限（年）</v>
      </c>
      <c r="R10" s="770" t="s">
        <v>17</v>
      </c>
      <c r="S10" s="771">
        <f t="shared" si="0"/>
        <v>102</v>
      </c>
      <c r="T10" s="770" t="s">
        <v>17</v>
      </c>
      <c r="U10" s="771">
        <f t="shared" si="1"/>
        <v>102</v>
      </c>
      <c r="V10" s="770" t="s">
        <v>17</v>
      </c>
      <c r="W10" s="771">
        <f t="shared" si="2"/>
        <v>102</v>
      </c>
      <c r="X10" s="772"/>
      <c r="Y10" s="3023"/>
      <c r="Z10" s="55" t="str">
        <f t="shared" si="7"/>
        <v>土地使用年限（年）</v>
      </c>
      <c r="AA10" s="773">
        <f t="shared" si="3"/>
        <v>0.98039215686274506</v>
      </c>
      <c r="AB10" s="773">
        <f t="shared" si="4"/>
        <v>0.98039215686274506</v>
      </c>
      <c r="AC10" s="773">
        <f t="shared" si="5"/>
        <v>0.98039215686274506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3"/>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2562</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8" t="s">
        <v>2563</v>
      </c>
      <c r="Q15" s="1813" t="str">
        <f t="shared" si="6"/>
        <v>产业集聚程度</v>
      </c>
      <c r="R15" s="774" t="s">
        <v>17</v>
      </c>
      <c r="S15" s="775">
        <f t="shared" si="0"/>
        <v>100</v>
      </c>
      <c r="T15" s="774" t="s">
        <v>17</v>
      </c>
      <c r="U15" s="775">
        <f t="shared" si="1"/>
        <v>100</v>
      </c>
      <c r="V15" s="774" t="s">
        <v>17</v>
      </c>
      <c r="W15" s="775">
        <f t="shared" si="2"/>
        <v>100</v>
      </c>
      <c r="X15" s="1816"/>
      <c r="Y15" s="3198" t="s">
        <v>2563</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9"/>
      <c r="Q16" s="1813"/>
      <c r="R16" s="774"/>
      <c r="S16" s="775"/>
      <c r="T16" s="774"/>
      <c r="U16" s="775"/>
      <c r="V16" s="774"/>
      <c r="W16" s="775"/>
      <c r="X16" s="1816"/>
      <c r="Y16" s="3199"/>
      <c r="Z16" s="1817"/>
      <c r="AA16" s="1814">
        <v>1</v>
      </c>
      <c r="AB16" s="1814">
        <v>1</v>
      </c>
      <c r="AC16" s="1814">
        <v>1</v>
      </c>
    </row>
    <row r="17" spans="1:29" ht="85.5">
      <c r="A17" s="428"/>
      <c r="B17" s="631" t="s">
        <v>2712</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9"/>
      <c r="Q17" s="1813" t="str">
        <f>B17</f>
        <v>交通便捷度</v>
      </c>
      <c r="R17" s="774" t="s">
        <v>17</v>
      </c>
      <c r="S17" s="775">
        <f>F17</f>
        <v>100</v>
      </c>
      <c r="T17" s="774" t="s">
        <v>17</v>
      </c>
      <c r="U17" s="775">
        <f>H17</f>
        <v>100</v>
      </c>
      <c r="V17" s="774" t="s">
        <v>17</v>
      </c>
      <c r="W17" s="775">
        <f>J17</f>
        <v>100</v>
      </c>
      <c r="X17" s="1816"/>
      <c r="Y17" s="319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9"/>
      <c r="Q18" s="1813"/>
      <c r="R18" s="774"/>
      <c r="S18" s="775"/>
      <c r="T18" s="774"/>
      <c r="U18" s="775"/>
      <c r="V18" s="774"/>
      <c r="W18" s="775"/>
      <c r="X18" s="1816"/>
      <c r="Y18" s="3199"/>
      <c r="Z18" s="1817"/>
      <c r="AA18" s="1814">
        <v>1</v>
      </c>
      <c r="AB18" s="1814">
        <v>1</v>
      </c>
      <c r="AC18" s="1814">
        <v>1</v>
      </c>
    </row>
    <row r="19" spans="1:29" ht="15">
      <c r="A19" s="428"/>
      <c r="B19" s="631" t="s">
        <v>2751</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9"/>
      <c r="Q19" s="1813" t="str">
        <f t="shared" ref="Q19:Q33" si="8">B19</f>
        <v>区域土地利用方向</v>
      </c>
      <c r="R19" s="774" t="s">
        <v>17</v>
      </c>
      <c r="S19" s="775">
        <f>F19</f>
        <v>100</v>
      </c>
      <c r="T19" s="774" t="s">
        <v>17</v>
      </c>
      <c r="U19" s="775">
        <f>H19</f>
        <v>100</v>
      </c>
      <c r="V19" s="774" t="s">
        <v>17</v>
      </c>
      <c r="W19" s="775">
        <f>J19</f>
        <v>100</v>
      </c>
      <c r="X19" s="1816"/>
      <c r="Y19" s="319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9"/>
      <c r="Q20" s="1813"/>
      <c r="R20" s="774"/>
      <c r="S20" s="775"/>
      <c r="T20" s="774"/>
      <c r="U20" s="775"/>
      <c r="V20" s="774"/>
      <c r="W20" s="775"/>
      <c r="X20" s="1816"/>
      <c r="Y20" s="3199"/>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9"/>
      <c r="Q21" s="1813" t="str">
        <f t="shared" si="8"/>
        <v>环境状况</v>
      </c>
      <c r="R21" s="774" t="s">
        <v>17</v>
      </c>
      <c r="S21" s="775">
        <f>F21</f>
        <v>100</v>
      </c>
      <c r="T21" s="774" t="s">
        <v>17</v>
      </c>
      <c r="U21" s="775">
        <f>H21</f>
        <v>100</v>
      </c>
      <c r="V21" s="774" t="s">
        <v>17</v>
      </c>
      <c r="W21" s="775">
        <f>J21</f>
        <v>100</v>
      </c>
      <c r="X21" s="1816"/>
      <c r="Y21" s="319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9"/>
      <c r="Q22" s="1813"/>
      <c r="R22" s="774"/>
      <c r="S22" s="775"/>
      <c r="T22" s="774"/>
      <c r="U22" s="775"/>
      <c r="V22" s="774"/>
      <c r="W22" s="775"/>
      <c r="X22" s="1816"/>
      <c r="Y22" s="3199"/>
      <c r="Z22" s="1817"/>
      <c r="AA22" s="1814">
        <v>1</v>
      </c>
      <c r="AB22" s="1814">
        <v>1</v>
      </c>
      <c r="AC22" s="1814">
        <v>1</v>
      </c>
    </row>
    <row r="23" spans="1:29" s="117" customFormat="1" ht="42.75">
      <c r="A23" s="649"/>
      <c r="B23" s="633" t="s">
        <v>2657</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9"/>
      <c r="Q23" s="1798" t="str">
        <f t="shared" si="8"/>
        <v>公共配套设施</v>
      </c>
      <c r="R23" s="770" t="s">
        <v>17</v>
      </c>
      <c r="S23" s="771">
        <f>F23</f>
        <v>100</v>
      </c>
      <c r="T23" s="770" t="s">
        <v>17</v>
      </c>
      <c r="U23" s="771">
        <f>H23</f>
        <v>100</v>
      </c>
      <c r="V23" s="770" t="s">
        <v>17</v>
      </c>
      <c r="W23" s="771">
        <f>J23</f>
        <v>100</v>
      </c>
      <c r="X23" s="772"/>
      <c r="Y23" s="3199"/>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9"/>
      <c r="Q24" s="1798"/>
      <c r="R24" s="770"/>
      <c r="S24" s="771"/>
      <c r="T24" s="770"/>
      <c r="U24" s="771"/>
      <c r="V24" s="770"/>
      <c r="W24" s="771"/>
      <c r="X24" s="772"/>
      <c r="Y24" s="3199"/>
      <c r="Z24" s="55"/>
      <c r="AA24" s="773">
        <v>1</v>
      </c>
      <c r="AB24" s="773">
        <v>1</v>
      </c>
      <c r="AC24" s="773">
        <v>1</v>
      </c>
    </row>
    <row r="25" spans="1:29" s="117" customFormat="1" ht="28.5">
      <c r="A25" s="649"/>
      <c r="B25" s="633" t="s">
        <v>2658</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9"/>
      <c r="Q25" s="1798" t="str">
        <f t="shared" ref="Q25" si="9">B25</f>
        <v>基础设施水平</v>
      </c>
      <c r="R25" s="770" t="s">
        <v>17</v>
      </c>
      <c r="S25" s="771">
        <f>F25</f>
        <v>100</v>
      </c>
      <c r="T25" s="770" t="s">
        <v>17</v>
      </c>
      <c r="U25" s="771">
        <f>H25</f>
        <v>100</v>
      </c>
      <c r="V25" s="770" t="s">
        <v>17</v>
      </c>
      <c r="W25" s="771">
        <f>J25</f>
        <v>100</v>
      </c>
      <c r="X25" s="772"/>
      <c r="Y25" s="3199"/>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9"/>
      <c r="Q26" s="1798"/>
      <c r="R26" s="770"/>
      <c r="S26" s="771"/>
      <c r="T26" s="770"/>
      <c r="U26" s="771"/>
      <c r="V26" s="770"/>
      <c r="W26" s="771"/>
      <c r="X26" s="772"/>
      <c r="Y26" s="3199"/>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9"/>
      <c r="Z27" s="1817" t="str">
        <f t="shared" ref="Z27:Z40" si="13">Q27</f>
        <v>临街状况</v>
      </c>
      <c r="AA27" s="1814">
        <f t="shared" si="3"/>
        <v>1</v>
      </c>
      <c r="AB27" s="1814">
        <f t="shared" si="4"/>
        <v>1</v>
      </c>
      <c r="AC27" s="1814">
        <f t="shared" si="5"/>
        <v>1</v>
      </c>
    </row>
    <row r="28" spans="1:29" ht="27">
      <c r="A28" s="428"/>
      <c r="B28" s="633" t="s">
        <v>2694</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9"/>
      <c r="Q28" s="1813" t="str">
        <f t="shared" si="8"/>
        <v>毗邻道路的类型与等级</v>
      </c>
      <c r="R28" s="774" t="s">
        <v>17</v>
      </c>
      <c r="S28" s="775">
        <f t="shared" si="10"/>
        <v>100</v>
      </c>
      <c r="T28" s="774" t="s">
        <v>17</v>
      </c>
      <c r="U28" s="775">
        <f t="shared" si="11"/>
        <v>100</v>
      </c>
      <c r="V28" s="774" t="s">
        <v>17</v>
      </c>
      <c r="W28" s="775">
        <f t="shared" si="12"/>
        <v>100</v>
      </c>
      <c r="X28" s="1816"/>
      <c r="Y28" s="319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9"/>
      <c r="Q29" s="1813"/>
      <c r="R29" s="774"/>
      <c r="S29" s="775"/>
      <c r="T29" s="774"/>
      <c r="U29" s="775"/>
      <c r="V29" s="774"/>
      <c r="W29" s="775"/>
      <c r="X29" s="1816"/>
      <c r="Y29" s="3199"/>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9"/>
      <c r="Q30" s="1813" t="str">
        <f t="shared" si="8"/>
        <v>土地级别</v>
      </c>
      <c r="R30" s="774" t="s">
        <v>17</v>
      </c>
      <c r="S30" s="775">
        <f t="shared" si="10"/>
        <v>100</v>
      </c>
      <c r="T30" s="774" t="s">
        <v>17</v>
      </c>
      <c r="U30" s="775">
        <f t="shared" si="11"/>
        <v>100</v>
      </c>
      <c r="V30" s="774" t="s">
        <v>17</v>
      </c>
      <c r="W30" s="775">
        <f t="shared" si="12"/>
        <v>100</v>
      </c>
      <c r="X30" s="1816"/>
      <c r="Y30" s="3199"/>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9"/>
      <c r="Q31" s="1813">
        <f t="shared" si="8"/>
        <v>111</v>
      </c>
      <c r="R31" s="774" t="s">
        <v>17</v>
      </c>
      <c r="S31" s="775">
        <f t="shared" si="10"/>
        <v>100</v>
      </c>
      <c r="T31" s="774" t="s">
        <v>17</v>
      </c>
      <c r="U31" s="775">
        <f t="shared" si="11"/>
        <v>100</v>
      </c>
      <c r="V31" s="774" t="s">
        <v>17</v>
      </c>
      <c r="W31" s="775">
        <f t="shared" si="12"/>
        <v>100</v>
      </c>
      <c r="X31" s="1816"/>
      <c r="Y31" s="3199"/>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0" t="s">
        <v>2568</v>
      </c>
      <c r="Q32" s="1813">
        <f t="shared" si="8"/>
        <v>111</v>
      </c>
      <c r="R32" s="774" t="s">
        <v>17</v>
      </c>
      <c r="S32" s="775">
        <f t="shared" si="10"/>
        <v>100</v>
      </c>
      <c r="T32" s="774" t="s">
        <v>17</v>
      </c>
      <c r="U32" s="775">
        <f t="shared" si="11"/>
        <v>100</v>
      </c>
      <c r="V32" s="774" t="s">
        <v>17</v>
      </c>
      <c r="W32" s="775">
        <f t="shared" si="12"/>
        <v>100</v>
      </c>
      <c r="X32" s="1816"/>
      <c r="Y32" s="3201" t="s">
        <v>2568</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1"/>
      <c r="Q33" s="1813">
        <f t="shared" si="8"/>
        <v>111</v>
      </c>
      <c r="R33" s="777" t="s">
        <v>17</v>
      </c>
      <c r="S33" s="778">
        <f t="shared" si="10"/>
        <v>100</v>
      </c>
      <c r="T33" s="777" t="s">
        <v>17</v>
      </c>
      <c r="U33" s="778">
        <f t="shared" si="11"/>
        <v>100</v>
      </c>
      <c r="V33" s="777" t="s">
        <v>17</v>
      </c>
      <c r="W33" s="778">
        <f t="shared" si="12"/>
        <v>100</v>
      </c>
      <c r="X33" s="779"/>
      <c r="Y33" s="3201"/>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1"/>
      <c r="Q34" s="1813" t="str">
        <f>B34</f>
        <v>宗地面积</v>
      </c>
      <c r="R34" s="774" t="s">
        <v>17</v>
      </c>
      <c r="S34" s="775" t="e">
        <f t="shared" si="10"/>
        <v>#N/A</v>
      </c>
      <c r="T34" s="774" t="s">
        <v>17</v>
      </c>
      <c r="U34" s="775" t="e">
        <f t="shared" si="11"/>
        <v>#N/A</v>
      </c>
      <c r="V34" s="774" t="s">
        <v>17</v>
      </c>
      <c r="W34" s="775" t="e">
        <f t="shared" si="12"/>
        <v>#N/A</v>
      </c>
      <c r="X34" s="1816"/>
      <c r="Y34" s="3201"/>
      <c r="Z34" s="1817" t="str">
        <f t="shared" si="13"/>
        <v>宗地面积</v>
      </c>
      <c r="AA34" s="1814" t="e">
        <f t="shared" si="3"/>
        <v>#N/A</v>
      </c>
      <c r="AB34" s="1814" t="e">
        <f t="shared" si="4"/>
        <v>#N/A</v>
      </c>
      <c r="AC34" s="1814" t="e">
        <f t="shared" si="5"/>
        <v>#N/A</v>
      </c>
    </row>
    <row r="35" spans="1:29" ht="15">
      <c r="A35" s="472"/>
      <c r="B35" s="422" t="s">
        <v>2755</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01"/>
      <c r="Q35" s="1813" t="str">
        <f t="shared" ref="Q35:Q40" si="14">B35</f>
        <v>宗地形状</v>
      </c>
      <c r="R35" s="774" t="s">
        <v>17</v>
      </c>
      <c r="S35" s="775">
        <f t="shared" si="10"/>
        <v>100</v>
      </c>
      <c r="T35" s="774" t="s">
        <v>17</v>
      </c>
      <c r="U35" s="775">
        <f t="shared" si="11"/>
        <v>100</v>
      </c>
      <c r="V35" s="774" t="s">
        <v>17</v>
      </c>
      <c r="W35" s="775">
        <f t="shared" si="12"/>
        <v>100</v>
      </c>
      <c r="X35" s="1816"/>
      <c r="Y35" s="3201"/>
      <c r="Z35" s="1817" t="str">
        <f t="shared" si="13"/>
        <v>宗地形状</v>
      </c>
      <c r="AA35" s="1814">
        <f t="shared" si="3"/>
        <v>1</v>
      </c>
      <c r="AB35" s="1814">
        <f t="shared" si="4"/>
        <v>1</v>
      </c>
      <c r="AC35" s="1814">
        <f t="shared" si="5"/>
        <v>1</v>
      </c>
    </row>
    <row r="36" spans="1:29" s="117" customFormat="1" ht="15">
      <c r="A36" s="473"/>
      <c r="B36" s="422" t="s">
        <v>2757</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01"/>
      <c r="Q36" s="1813"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2758</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01" t="s">
        <v>2568</v>
      </c>
      <c r="Q37" s="1813" t="str">
        <f t="shared" si="14"/>
        <v>工程地质条件</v>
      </c>
      <c r="R37" s="774" t="s">
        <v>17</v>
      </c>
      <c r="S37" s="775">
        <f t="shared" si="10"/>
        <v>100</v>
      </c>
      <c r="T37" s="774" t="s">
        <v>17</v>
      </c>
      <c r="U37" s="775">
        <f t="shared" si="11"/>
        <v>100</v>
      </c>
      <c r="V37" s="774" t="s">
        <v>17</v>
      </c>
      <c r="W37" s="775">
        <f t="shared" si="12"/>
        <v>100</v>
      </c>
      <c r="X37" s="1816"/>
      <c r="Y37" s="3201"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1"/>
      <c r="Q38" s="1813">
        <f t="shared" si="14"/>
        <v>111</v>
      </c>
      <c r="R38" s="774" t="s">
        <v>17</v>
      </c>
      <c r="S38" s="775">
        <f t="shared" si="10"/>
        <v>100</v>
      </c>
      <c r="T38" s="774" t="s">
        <v>17</v>
      </c>
      <c r="U38" s="775">
        <f t="shared" si="11"/>
        <v>100</v>
      </c>
      <c r="V38" s="774" t="s">
        <v>17</v>
      </c>
      <c r="W38" s="775">
        <f t="shared" si="12"/>
        <v>100</v>
      </c>
      <c r="X38" s="1816"/>
      <c r="Y38" s="320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1"/>
      <c r="Q39" s="1813">
        <f t="shared" si="14"/>
        <v>111</v>
      </c>
      <c r="R39" s="774" t="s">
        <v>17</v>
      </c>
      <c r="S39" s="775">
        <f t="shared" si="10"/>
        <v>100</v>
      </c>
      <c r="T39" s="774" t="s">
        <v>17</v>
      </c>
      <c r="U39" s="775">
        <f t="shared" si="11"/>
        <v>100</v>
      </c>
      <c r="V39" s="774" t="s">
        <v>17</v>
      </c>
      <c r="W39" s="775">
        <f t="shared" si="12"/>
        <v>100</v>
      </c>
      <c r="X39" s="1816"/>
      <c r="Y39" s="3201"/>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1"/>
      <c r="Q40" s="1813">
        <f t="shared" si="14"/>
        <v>111</v>
      </c>
      <c r="R40" s="777" t="s">
        <v>17</v>
      </c>
      <c r="S40" s="778">
        <f t="shared" si="10"/>
        <v>100</v>
      </c>
      <c r="T40" s="777" t="s">
        <v>17</v>
      </c>
      <c r="U40" s="778">
        <f t="shared" si="11"/>
        <v>100</v>
      </c>
      <c r="V40" s="777" t="s">
        <v>17</v>
      </c>
      <c r="W40" s="778">
        <f t="shared" si="12"/>
        <v>100</v>
      </c>
      <c r="X40" s="779"/>
      <c r="Y40" s="3201"/>
      <c r="Z40" s="780">
        <f t="shared" si="13"/>
        <v>111</v>
      </c>
      <c r="AA40" s="1814">
        <f t="shared" si="3"/>
        <v>1</v>
      </c>
      <c r="AB40" s="1814">
        <f t="shared" si="4"/>
        <v>1</v>
      </c>
      <c r="AC40" s="1814">
        <f t="shared" si="5"/>
        <v>1</v>
      </c>
    </row>
    <row r="41" spans="1:29" ht="15">
      <c r="A41" s="479" t="s">
        <v>2723</v>
      </c>
      <c r="B41" s="2711" t="s">
        <v>2803</v>
      </c>
      <c r="C41" s="682" t="s">
        <v>1</v>
      </c>
      <c r="D41" s="481"/>
      <c r="E41" s="482"/>
      <c r="F41" s="483"/>
      <c r="G41" s="484"/>
      <c r="H41" s="485"/>
      <c r="I41" s="482"/>
      <c r="J41" s="485"/>
      <c r="K41" s="783"/>
      <c r="L41" s="1146"/>
      <c r="M41" s="1134"/>
      <c r="N41" s="1134"/>
      <c r="O41" s="1147"/>
      <c r="P41" s="3183" t="str">
        <f>A41</f>
        <v>成交单价</v>
      </c>
      <c r="Q41" s="3183"/>
      <c r="R41" s="3196">
        <f>E41</f>
        <v>0</v>
      </c>
      <c r="S41" s="3196"/>
      <c r="T41" s="3196">
        <f>G41</f>
        <v>0</v>
      </c>
      <c r="U41" s="3196"/>
      <c r="V41" s="3196">
        <f>I41</f>
        <v>0</v>
      </c>
      <c r="W41" s="3196"/>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83" t="str">
        <f>A42</f>
        <v>比较价值（元/平方米）</v>
      </c>
      <c r="Q42" s="3183"/>
      <c r="R42" s="3202" t="e">
        <f>ROUND(PRODUCT(R41,AA7:AA40),0)</f>
        <v>#DIV/0!</v>
      </c>
      <c r="S42" s="3202"/>
      <c r="T42" s="3202" t="e">
        <f>ROUND(PRODUCT(T41,AB7:AB40),0)</f>
        <v>#DIV/0!</v>
      </c>
      <c r="U42" s="3202"/>
      <c r="V42" s="3202" t="e">
        <f>ROUND(PRODUCT(V41,AC7:AC40),0)</f>
        <v>#DIV/0!</v>
      </c>
      <c r="W42" s="3202"/>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03" t="str">
        <f>A43</f>
        <v>估价对象XX用房的比较价值（楼面单价，元/平方米）</v>
      </c>
      <c r="Q43" s="3204"/>
      <c r="R43" s="3205" t="e">
        <f>ROUND(AVERAGE(R42:V42),0)</f>
        <v>#DIV/0!</v>
      </c>
      <c r="S43" s="3205"/>
      <c r="T43" s="3205"/>
      <c r="U43" s="3205"/>
      <c r="V43" s="3205"/>
      <c r="W43" s="320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2" t="s">
        <v>2763</v>
      </c>
      <c r="D50" s="2713" t="s">
        <v>2764</v>
      </c>
      <c r="E50" s="686" t="s">
        <v>2765</v>
      </c>
      <c r="F50" s="687" t="s">
        <v>2766</v>
      </c>
      <c r="G50" s="3184" t="s">
        <v>2767</v>
      </c>
      <c r="H50" s="3206"/>
      <c r="I50" s="1817" t="s">
        <v>2804</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27766.729999999996</v>
      </c>
      <c r="F51" s="691" t="e">
        <f t="shared" ref="F51:F60" si="15">ROUND(B51*E51/10000,0)</f>
        <v>#DIV/0!</v>
      </c>
      <c r="G51" s="3207"/>
      <c r="H51" s="3183"/>
      <c r="I51" s="945">
        <v>1</v>
      </c>
      <c r="J51" s="945">
        <v>1</v>
      </c>
      <c r="K51" s="1148"/>
      <c r="L51" s="944"/>
      <c r="M51" s="944"/>
      <c r="N51" s="944"/>
      <c r="O51" s="944"/>
    </row>
    <row r="52" spans="1:17" s="692" customFormat="1">
      <c r="A52" s="693" t="s">
        <v>2771</v>
      </c>
      <c r="B52" s="262" t="e">
        <f>ROUND($C$43*C52*D52,0)</f>
        <v>#DIV/0!</v>
      </c>
      <c r="C52" s="200">
        <f t="shared" ref="C52:C60" si="16">IF($C$50="北京市系数",I52,J52)</f>
        <v>0.6</v>
      </c>
      <c r="D52" s="1167">
        <v>0.25</v>
      </c>
      <c r="E52" s="694"/>
      <c r="F52" s="691" t="e">
        <f t="shared" si="15"/>
        <v>#DIV/0!</v>
      </c>
      <c r="G52" s="3208" t="s">
        <v>2772</v>
      </c>
      <c r="H52" s="1107" t="str">
        <f>项目基本情况!B37</f>
        <v>八级</v>
      </c>
      <c r="I52" s="945">
        <f>SUMIF(修正!A45:A56,H52,修正!B45:B56)</f>
        <v>0.6</v>
      </c>
      <c r="J52" s="946"/>
      <c r="K52" s="1147"/>
      <c r="L52" s="944"/>
      <c r="M52" s="944"/>
      <c r="N52" s="944"/>
      <c r="O52" s="944"/>
    </row>
    <row r="53" spans="1:17" s="692" customFormat="1">
      <c r="A53" s="693" t="s">
        <v>2773</v>
      </c>
      <c r="B53" s="262" t="e">
        <f t="shared" ref="B53:B60" si="17">ROUND($C$43*C53*D53,0)</f>
        <v>#DIV/0!</v>
      </c>
      <c r="C53" s="200">
        <f t="shared" si="16"/>
        <v>0.3</v>
      </c>
      <c r="D53" s="1167">
        <v>0.25</v>
      </c>
      <c r="E53" s="694"/>
      <c r="F53" s="691" t="e">
        <f t="shared" si="15"/>
        <v>#DIV/0!</v>
      </c>
      <c r="G53" s="3208"/>
      <c r="H53" s="1107" t="str">
        <f>项目基本情况!B37</f>
        <v>八级</v>
      </c>
      <c r="I53" s="945">
        <f>SUMIF(修正!A45:A56,H53,修正!C45:C56)</f>
        <v>0.3</v>
      </c>
      <c r="J53" s="946"/>
      <c r="K53" s="1148"/>
      <c r="L53" s="944"/>
      <c r="M53" s="944"/>
      <c r="N53" s="944"/>
      <c r="O53" s="944"/>
    </row>
    <row r="54" spans="1:17" s="692" customFormat="1">
      <c r="A54" s="693" t="s">
        <v>2774</v>
      </c>
      <c r="B54" s="262" t="e">
        <f t="shared" si="17"/>
        <v>#DIV/0!</v>
      </c>
      <c r="C54" s="200">
        <f t="shared" si="16"/>
        <v>0.2</v>
      </c>
      <c r="D54" s="1167">
        <v>0.25</v>
      </c>
      <c r="E54" s="694"/>
      <c r="F54" s="691" t="e">
        <f t="shared" si="15"/>
        <v>#DIV/0!</v>
      </c>
      <c r="G54" s="3208"/>
      <c r="H54" s="1107" t="str">
        <f>项目基本情况!B37</f>
        <v>八级</v>
      </c>
      <c r="I54" s="945">
        <f>SUMIF(修正!A45:A56,H54,修正!D45:D56)</f>
        <v>0.2</v>
      </c>
      <c r="J54" s="946"/>
      <c r="K54" s="1147"/>
      <c r="L54" s="944"/>
      <c r="M54" s="944"/>
      <c r="N54" s="944"/>
      <c r="O54" s="944"/>
    </row>
    <row r="55" spans="1:17" s="692" customFormat="1">
      <c r="A55" s="693" t="s">
        <v>2775</v>
      </c>
      <c r="B55" s="262" t="e">
        <f t="shared" si="17"/>
        <v>#DIV/0!</v>
      </c>
      <c r="C55" s="200">
        <f t="shared" si="16"/>
        <v>0.2</v>
      </c>
      <c r="D55" s="1167">
        <v>0.25</v>
      </c>
      <c r="E55" s="694"/>
      <c r="F55" s="691" t="e">
        <f t="shared" si="15"/>
        <v>#DIV/0!</v>
      </c>
      <c r="G55" s="3208"/>
      <c r="H55" s="1107" t="str">
        <f>项目基本情况!B37</f>
        <v>八级</v>
      </c>
      <c r="I55" s="945">
        <f>SUMIF(修正!A45:A56,H55,修正!E45:E56)</f>
        <v>0.2</v>
      </c>
      <c r="J55" s="946"/>
      <c r="K55" s="1148"/>
      <c r="L55" s="944"/>
      <c r="M55" s="944"/>
      <c r="N55" s="944"/>
      <c r="O55" s="944"/>
    </row>
    <row r="56" spans="1:17" s="692" customFormat="1">
      <c r="A56" s="693" t="s">
        <v>2776</v>
      </c>
      <c r="B56" s="262" t="e">
        <f t="shared" si="17"/>
        <v>#DIV/0!</v>
      </c>
      <c r="C56" s="200">
        <f t="shared" si="16"/>
        <v>0.2</v>
      </c>
      <c r="D56" s="1167">
        <v>0.25</v>
      </c>
      <c r="E56" s="261">
        <f>'数据-汇总表'!E11</f>
        <v>0</v>
      </c>
      <c r="F56" s="691" t="e">
        <f t="shared" si="15"/>
        <v>#DIV/0!</v>
      </c>
      <c r="G56" s="2716" t="s">
        <v>2777</v>
      </c>
      <c r="H56" s="1107" t="str">
        <f>项目基本情况!C37</f>
        <v>八级</v>
      </c>
      <c r="I56" s="945">
        <f>SUMIF(修正!A45:A56,H56,修正!F45:F56)</f>
        <v>0.2</v>
      </c>
      <c r="J56" s="946"/>
      <c r="K56" s="1147"/>
      <c r="L56" s="944"/>
      <c r="M56" s="944"/>
      <c r="N56" s="944"/>
      <c r="O56" s="944"/>
    </row>
    <row r="57" spans="1:17" s="692" customFormat="1">
      <c r="A57" s="693" t="s">
        <v>2778</v>
      </c>
      <c r="B57" s="262" t="e">
        <f t="shared" si="17"/>
        <v>#DIV/0!</v>
      </c>
      <c r="C57" s="200">
        <f t="shared" si="16"/>
        <v>0.2</v>
      </c>
      <c r="D57" s="1167">
        <v>0.25</v>
      </c>
      <c r="E57" s="261">
        <f>'数据-汇总表'!E12</f>
        <v>1849.41</v>
      </c>
      <c r="F57" s="691" t="e">
        <f t="shared" si="15"/>
        <v>#DIV/0!</v>
      </c>
      <c r="G57" s="1112" t="s">
        <v>2779</v>
      </c>
      <c r="H57" s="1107" t="str">
        <f>IF(G57="商业",项目基本情况!B37,IF(G57="办公",项目基本情况!C37,IF(G57="住宅",项目基本情况!D37,项目基本情况!E37)))</f>
        <v>八级</v>
      </c>
      <c r="I57" s="945">
        <f>SUMIF(修正!A45:A56,H57,修正!G45:G56)</f>
        <v>0.2</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0.15</v>
      </c>
      <c r="D59" s="1167">
        <v>0.25</v>
      </c>
      <c r="E59" s="261">
        <f>'数据-汇总表'!E14</f>
        <v>0</v>
      </c>
      <c r="F59" s="691" t="e">
        <f t="shared" si="15"/>
        <v>#DIV/0!</v>
      </c>
      <c r="G59" s="2716" t="s">
        <v>2772</v>
      </c>
      <c r="H59" s="1107" t="str">
        <f>项目基本情况!B37</f>
        <v>八级</v>
      </c>
      <c r="I59" s="945">
        <f>SUMIF(修正!A45:A56,H59,修正!H45:H56)</f>
        <v>0.15</v>
      </c>
      <c r="J59" s="946"/>
      <c r="K59" s="1148"/>
      <c r="L59" s="944"/>
      <c r="M59" s="944"/>
      <c r="N59" s="944"/>
      <c r="O59" s="944"/>
    </row>
    <row r="60" spans="1:17" s="692" customFormat="1" ht="15" thickBot="1">
      <c r="A60" s="693" t="s">
        <v>2783</v>
      </c>
      <c r="B60" s="262" t="e">
        <f t="shared" si="17"/>
        <v>#DIV/0!</v>
      </c>
      <c r="C60" s="200">
        <f t="shared" si="16"/>
        <v>0.15</v>
      </c>
      <c r="D60" s="1167">
        <v>0.25</v>
      </c>
      <c r="E60" s="261">
        <f>'数据-汇总表'!E15</f>
        <v>0</v>
      </c>
      <c r="F60" s="691" t="e">
        <f t="shared" si="15"/>
        <v>#DIV/0!</v>
      </c>
      <c r="G60" s="2717" t="s">
        <v>2777</v>
      </c>
      <c r="H60" s="1117" t="str">
        <f>项目基本情况!C37</f>
        <v>八级</v>
      </c>
      <c r="I60" s="945">
        <f>SUMIF(修正!A45:A56,H60,修正!H45:H56)</f>
        <v>0.15</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8" t="s">
        <v>2785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3" t="s">
        <v>2805</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3008</v>
      </c>
    </row>
    <row r="2" spans="1:5" ht="15.75">
      <c r="A2" s="2917" t="s">
        <v>3000</v>
      </c>
      <c r="B2" s="2918" t="e">
        <f ca="1">SUMIF(B6:B13,"&lt;&gt;#ref!",B6:B13)</f>
        <v>#DIV/0!</v>
      </c>
      <c r="C2" s="2917" t="s">
        <v>3001</v>
      </c>
      <c r="D2" s="2917" t="s">
        <v>3002</v>
      </c>
      <c r="E2" s="2918">
        <f ca="1">SUMIF(E6:E13,"&lt;&gt;#ref!",E6:E13)</f>
        <v>0</v>
      </c>
    </row>
    <row r="3" spans="1:5" ht="15.75">
      <c r="A3" s="2917" t="s">
        <v>3003</v>
      </c>
      <c r="B3" s="2918" t="e">
        <f ca="1">ROUND(B2*10000/E2,0)</f>
        <v>#DIV/0!</v>
      </c>
      <c r="C3" s="2917" t="s">
        <v>3009</v>
      </c>
      <c r="D3" s="2919"/>
      <c r="E3" s="2919"/>
    </row>
    <row r="4" spans="1:5" ht="15.75">
      <c r="A4" s="2920"/>
      <c r="B4" s="2919"/>
      <c r="C4" s="2919"/>
      <c r="D4" s="2919"/>
      <c r="E4" s="2919"/>
    </row>
    <row r="5" spans="1:5" ht="28.5">
      <c r="A5" s="2921" t="s">
        <v>3004</v>
      </c>
      <c r="B5" s="2917" t="s">
        <v>3005</v>
      </c>
      <c r="C5" s="2918"/>
      <c r="D5" s="2919"/>
      <c r="E5" s="2917" t="s">
        <v>3006</v>
      </c>
    </row>
    <row r="6" spans="1:5" ht="15.75">
      <c r="A6" s="2922" t="s">
        <v>3007</v>
      </c>
      <c r="B6" s="2918" t="e">
        <f ca="1">SUMIF(INDIRECT("'"&amp;A6&amp;"'"&amp;"!A:A"),"总价",INDIRECT("'"&amp;A6&amp;"'"&amp;"!B:B"))</f>
        <v>#DIV/0!</v>
      </c>
      <c r="C6" s="2917" t="s">
        <v>3001</v>
      </c>
      <c r="D6" s="2919"/>
      <c r="E6" s="2582">
        <f ca="1">SUMIF(INDIRECT("'"&amp;A6&amp;"'"&amp;"!C:C"),"建筑面积",INDIRECT("'"&amp;A6&amp;"'"&amp;"!D:D"))</f>
        <v>0</v>
      </c>
    </row>
    <row r="7" spans="1:5" ht="15.75">
      <c r="A7" s="2922"/>
      <c r="B7" s="2918" t="e">
        <f ca="1">SUMIF(INDIRECT("'"&amp;A7&amp;"'"&amp;"!A:A"),"总价",INDIRECT("'"&amp;A7&amp;"'"&amp;"!B:B"))</f>
        <v>#REF!</v>
      </c>
      <c r="C7" s="2917" t="s">
        <v>3001</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3001</v>
      </c>
      <c r="D8" s="2919"/>
      <c r="E8" s="2582" t="e">
        <f t="shared" ca="1" si="0"/>
        <v>#REF!</v>
      </c>
    </row>
    <row r="9" spans="1:5" ht="15.75">
      <c r="A9" s="2922"/>
      <c r="B9" s="2918" t="e">
        <f t="shared" ca="1" si="1"/>
        <v>#REF!</v>
      </c>
      <c r="C9" s="2917" t="s">
        <v>3001</v>
      </c>
      <c r="D9" s="2919"/>
      <c r="E9" s="2582" t="e">
        <f t="shared" ca="1" si="0"/>
        <v>#REF!</v>
      </c>
    </row>
    <row r="10" spans="1:5" ht="15.75">
      <c r="A10" s="2922"/>
      <c r="B10" s="2918" t="e">
        <f t="shared" ca="1" si="1"/>
        <v>#REF!</v>
      </c>
      <c r="C10" s="2917" t="s">
        <v>3001</v>
      </c>
      <c r="D10" s="2919"/>
      <c r="E10" s="2582" t="e">
        <f t="shared" ca="1" si="0"/>
        <v>#REF!</v>
      </c>
    </row>
    <row r="11" spans="1:5" ht="15.75">
      <c r="A11" s="2922"/>
      <c r="B11" s="2918" t="e">
        <f t="shared" ca="1" si="1"/>
        <v>#REF!</v>
      </c>
      <c r="C11" s="2917" t="s">
        <v>3001</v>
      </c>
      <c r="D11" s="2919"/>
      <c r="E11" s="2582" t="e">
        <f t="shared" ca="1" si="0"/>
        <v>#REF!</v>
      </c>
    </row>
    <row r="12" spans="1:5" ht="15.75">
      <c r="A12" s="2922"/>
      <c r="B12" s="2918" t="e">
        <f t="shared" ca="1" si="1"/>
        <v>#REF!</v>
      </c>
      <c r="C12" s="2917" t="s">
        <v>3001</v>
      </c>
      <c r="D12" s="2919"/>
      <c r="E12" s="2582" t="e">
        <f t="shared" ca="1" si="0"/>
        <v>#REF!</v>
      </c>
    </row>
    <row r="13" spans="1:5" ht="15.75">
      <c r="A13" s="2922"/>
      <c r="B13" s="2918" t="e">
        <f t="shared" ca="1" si="1"/>
        <v>#REF!</v>
      </c>
      <c r="C13" s="2917" t="s">
        <v>3001</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9" t="s">
        <v>1150</v>
      </c>
      <c r="C1" s="3269"/>
      <c r="D1" s="3269"/>
      <c r="E1" s="3269"/>
      <c r="F1" s="3269"/>
      <c r="G1" s="3265" t="s">
        <v>1151</v>
      </c>
      <c r="H1" s="3265"/>
      <c r="I1" s="3265"/>
      <c r="J1" s="3265"/>
      <c r="K1" s="3265"/>
      <c r="L1" s="3265"/>
      <c r="N1" s="3265" t="s">
        <v>1152</v>
      </c>
      <c r="O1" s="3265"/>
      <c r="P1" s="3265"/>
      <c r="Q1" s="3265"/>
      <c r="R1" s="1449"/>
      <c r="S1" s="3265" t="s">
        <v>1153</v>
      </c>
      <c r="T1" s="3265"/>
      <c r="U1" s="3265"/>
      <c r="V1" s="3265"/>
      <c r="X1" s="3264" t="s">
        <v>1154</v>
      </c>
      <c r="Y1" s="3265"/>
      <c r="Z1" s="3265"/>
      <c r="AA1" s="3265"/>
      <c r="AB1" s="3265"/>
      <c r="AD1" s="3264" t="s">
        <v>1155</v>
      </c>
      <c r="AE1" s="3265"/>
      <c r="AF1" s="3265"/>
      <c r="AG1" s="3265"/>
      <c r="AH1" s="326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3043</v>
      </c>
      <c r="B3" s="2937"/>
      <c r="C3" s="2937"/>
      <c r="D3" s="2938"/>
      <c r="E3" s="2938"/>
      <c r="F3" s="2937"/>
      <c r="G3" s="2939"/>
      <c r="H3" s="2940"/>
      <c r="I3" s="2941">
        <f>ROUND(AVERAGE($I8:$I23),2)</f>
        <v>2.4500000000000002</v>
      </c>
      <c r="J3" s="2941">
        <f>ROUND(AVERAGE($J8:$J23),2)</f>
        <v>1.65</v>
      </c>
      <c r="K3" s="2941">
        <f>ROUND(AVERAGE($K8:$K23),2)</f>
        <v>2.71</v>
      </c>
      <c r="L3" s="2941">
        <f>ROUND(AVERAGE($L8:$L23),2)</f>
        <v>1.39</v>
      </c>
      <c r="N3" s="2939"/>
      <c r="O3" s="2942"/>
      <c r="P3" s="2942"/>
      <c r="Q3" s="2942"/>
      <c r="R3" s="2942"/>
      <c r="S3" s="2939"/>
      <c r="T3" s="2942"/>
      <c r="U3" s="2942"/>
      <c r="V3" s="2942"/>
      <c r="W3" s="2934"/>
      <c r="X3" s="2943">
        <f>ROUND(SUMPRODUCT(PRODUCT(1+N3:N$22)),4)</f>
        <v>1.4733000000000001</v>
      </c>
      <c r="Y3" s="2943">
        <f>ROUND(SUMPRODUCT(PRODUCT(1+O3:O$22)),4)</f>
        <v>1.3052999999999999</v>
      </c>
      <c r="Z3" s="2943">
        <f t="shared" ref="Z3:Z20" si="0">Y3</f>
        <v>1.3052999999999999</v>
      </c>
      <c r="AA3" s="2943">
        <f>ROUND(SUMPRODUCT(PRODUCT(1+P3:P$22)),4)</f>
        <v>1.5306999999999999</v>
      </c>
      <c r="AB3" s="2943">
        <f>ROUND(SUMPRODUCT(PRODUCT(1+Q3:Q$22)),4)</f>
        <v>1.2863</v>
      </c>
      <c r="AD3" s="2944">
        <f>ROUND(AVERAGE(I3:I$23)/100,4)</f>
        <v>2.24E-2</v>
      </c>
      <c r="AE3" s="2944">
        <f>ROUND(AVERAGE(J3:J$23)/100,4)</f>
        <v>1.54E-2</v>
      </c>
      <c r="AF3" s="2944">
        <f t="shared" ref="AF3:AF21" si="1">AE3</f>
        <v>1.54E-2</v>
      </c>
      <c r="AG3" s="2944">
        <f>ROUND(AVERAGE(K3:K$23)/100,4)</f>
        <v>2.47E-2</v>
      </c>
      <c r="AH3" s="2944">
        <f>ROUND(AVERAGE(L3:L$23)/100,4)</f>
        <v>1.41E-2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8">
        <v>2018</v>
      </c>
      <c r="H5" s="1733">
        <v>3</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3044</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6"/>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6"/>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3">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9"/>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8"/>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9"/>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75" t="s">
        <v>3011</v>
      </c>
      <c r="D1" s="3276"/>
      <c r="E1" s="3276"/>
      <c r="F1" s="3276"/>
      <c r="G1" s="3276"/>
      <c r="H1" s="3276"/>
      <c r="I1" s="3276"/>
      <c r="J1" s="3276"/>
      <c r="K1" s="3276"/>
      <c r="L1" s="3276"/>
      <c r="M1" s="3276"/>
      <c r="N1" s="3276"/>
      <c r="O1" s="3276"/>
      <c r="P1" s="3276"/>
      <c r="Q1" s="3276"/>
      <c r="R1" s="3276"/>
      <c r="S1" s="3277"/>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3020</v>
      </c>
      <c r="B17" s="2924"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6" t="s">
        <v>3024</v>
      </c>
      <c r="E20" s="1796"/>
      <c r="F20" s="1207" t="e">
        <f ca="1">SUMIF(INDIRECT("'"&amp;H20&amp;"'"&amp;"!A:A"),"承租人权益价值",INDIRECT("'"&amp;H20&amp;"'"&amp;"!c:c"))</f>
        <v>#REF!</v>
      </c>
      <c r="G20" s="1207" t="s">
        <v>3025</v>
      </c>
      <c r="H20" s="2927"/>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058" t="s">
        <v>33</v>
      </c>
      <c r="D22" s="3059"/>
      <c r="E22" s="3059"/>
      <c r="F22" s="3059"/>
      <c r="G22" s="3059"/>
      <c r="H22" s="3059"/>
      <c r="I22" s="3059"/>
      <c r="J22" s="3059"/>
      <c r="K22" s="3059"/>
      <c r="L22" s="3059"/>
      <c r="M22" s="3059"/>
      <c r="N22" s="3059"/>
      <c r="O22" s="3059"/>
      <c r="P22" s="3059"/>
      <c r="Q22" s="3274"/>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4"/>
      <c r="B4" s="2961" t="s">
        <v>1630</v>
      </c>
      <c r="C4" s="2961"/>
      <c r="D4" s="2961"/>
      <c r="E4" s="1964"/>
    </row>
    <row r="5" spans="1:5" ht="16.5" thickTop="1">
      <c r="A5" s="1962"/>
      <c r="B5" s="2959" t="s">
        <v>1622</v>
      </c>
      <c r="C5" s="1965" t="s">
        <v>1623</v>
      </c>
      <c r="D5" s="1043">
        <f ca="1">结果表!H101</f>
        <v>51081</v>
      </c>
      <c r="E5" s="1962"/>
    </row>
    <row r="6" spans="1:5" ht="15.75">
      <c r="A6" s="1962"/>
      <c r="B6" s="2959"/>
      <c r="C6" s="1965" t="s">
        <v>1624</v>
      </c>
      <c r="D6" s="1043" t="str">
        <f ca="1">NUMBERSTRING(INT(D5*10000),2)&amp;"元整"</f>
        <v>伍亿壹仟零捌拾壹万元整</v>
      </c>
      <c r="E6" s="1962"/>
    </row>
    <row r="7" spans="1:5" ht="15.75">
      <c r="A7" s="1962"/>
      <c r="B7" s="2964"/>
      <c r="C7" s="1966" t="s">
        <v>1625</v>
      </c>
      <c r="D7" s="1044">
        <f ca="1">结果表!H102</f>
        <v>16774</v>
      </c>
      <c r="E7" s="1962"/>
    </row>
    <row r="8" spans="1:5" ht="15.75">
      <c r="A8" s="1962"/>
      <c r="B8" s="2965" t="str">
        <f>结果表!E103</f>
        <v>2.估价师知悉的法定优先受偿款</v>
      </c>
      <c r="C8" s="1967" t="s">
        <v>1626</v>
      </c>
      <c r="D8" s="1044">
        <f>结果表!H103</f>
        <v>0</v>
      </c>
      <c r="E8" s="1962"/>
    </row>
    <row r="9" spans="1:5" ht="15.75">
      <c r="A9" s="1962"/>
      <c r="B9" s="296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8" t="str">
        <f>结果表!E107</f>
        <v>3.房地产抵押价值</v>
      </c>
      <c r="C13" s="1970" t="s">
        <v>1623</v>
      </c>
      <c r="D13" s="1046">
        <f ca="1">结果表!H107</f>
        <v>51081</v>
      </c>
      <c r="E13" s="1962"/>
    </row>
    <row r="14" spans="1:5" ht="15.75">
      <c r="A14" s="1962"/>
      <c r="B14" s="2959"/>
      <c r="C14" s="1965" t="s">
        <v>1624</v>
      </c>
      <c r="D14" s="1043" t="str">
        <f ca="1">NUMBERSTRING(INT(D13*10000),2)&amp;"元整"</f>
        <v>伍亿壹仟零捌拾壹万元整</v>
      </c>
      <c r="E14" s="1962"/>
    </row>
    <row r="15" spans="1:5" ht="15">
      <c r="A15" s="1962"/>
      <c r="B15" s="2964"/>
      <c r="C15" s="1966" t="s">
        <v>1634</v>
      </c>
      <c r="D15" s="1055">
        <f ca="1">结果表!H108</f>
        <v>16774</v>
      </c>
      <c r="E15" s="1962"/>
    </row>
    <row r="16" spans="1:5" ht="15">
      <c r="A16" s="1962"/>
      <c r="B16" s="2965" t="str">
        <f>结果表!E109</f>
        <v>——</v>
      </c>
      <c r="C16" s="1970" t="s">
        <v>1635</v>
      </c>
      <c r="D16" s="1971" t="str">
        <f>结果表!H109</f>
        <v>——</v>
      </c>
      <c r="E16" s="1962"/>
    </row>
    <row r="17" spans="1:5" ht="15.75">
      <c r="A17" s="1962"/>
      <c r="B17" s="2966"/>
      <c r="C17" s="1965" t="s">
        <v>1636</v>
      </c>
      <c r="D17" s="1043" t="e">
        <f>NUMBERSTRING(INT(D16*10000),2)&amp;"元整"</f>
        <v>#VALUE!</v>
      </c>
      <c r="E17" s="1962"/>
    </row>
    <row r="18" spans="1:5" ht="15">
      <c r="A18" s="1962"/>
      <c r="B18" s="2967"/>
      <c r="C18" s="1966" t="s">
        <v>1625</v>
      </c>
      <c r="D18" s="1055" t="str">
        <f>结果表!H110</f>
        <v>——</v>
      </c>
      <c r="E18" s="1962"/>
    </row>
    <row r="19" spans="1:5" ht="15.75">
      <c r="A19" s="1962"/>
      <c r="B19" s="2958" t="str">
        <f>结果表!E111</f>
        <v>——</v>
      </c>
      <c r="C19" s="1970" t="s">
        <v>1623</v>
      </c>
      <c r="D19" s="1044" t="str">
        <f>结果表!H111</f>
        <v>——</v>
      </c>
      <c r="E19" s="1962"/>
    </row>
    <row r="20" spans="1:5" ht="15.75">
      <c r="A20" s="1962"/>
      <c r="B20" s="2959"/>
      <c r="C20" s="1965" t="s">
        <v>1636</v>
      </c>
      <c r="D20" s="1043" t="e">
        <f>NUMBERSTRING(INT(D19*10000),2)&amp;"元整"</f>
        <v>#VALUE!</v>
      </c>
      <c r="E20" s="1962"/>
    </row>
    <row r="21" spans="1:5" ht="15.75" thickBot="1">
      <c r="A21" s="1962"/>
      <c r="B21" s="296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45106</v>
      </c>
      <c r="C2" s="2" t="s">
        <v>133</v>
      </c>
      <c r="D2" s="243"/>
      <c r="E2" s="243"/>
      <c r="F2" s="243"/>
      <c r="G2" s="243"/>
    </row>
    <row r="3" spans="1:7" s="244" customFormat="1" ht="18" customHeight="1" thickBot="1">
      <c r="A3" s="247" t="s">
        <v>85</v>
      </c>
      <c r="B3" s="248">
        <f ca="1">ROUND(B2*10000/'数据-汇总表'!E3,0)</f>
        <v>14812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30453.1</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609</v>
      </c>
      <c r="D19" s="1039">
        <f>'数据-汇总表'!E3</f>
        <v>30453.1</v>
      </c>
      <c r="E19" s="255">
        <f>'数据-取费表'!B31</f>
        <v>200</v>
      </c>
      <c r="F19" s="275"/>
      <c r="G19" s="1" t="s">
        <v>1074</v>
      </c>
    </row>
    <row r="20" spans="1:7" s="258" customFormat="1" ht="13.5" customHeight="1">
      <c r="A20" s="951" t="s">
        <v>1057</v>
      </c>
      <c r="B20" s="254" t="s">
        <v>104</v>
      </c>
      <c r="C20" s="276">
        <f>ROUND((C5+C19)*F20,0)</f>
        <v>424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3087</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2969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88</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3975</v>
      </c>
      <c r="D27" s="279">
        <f>C29</f>
        <v>3.7000000000000002E-3</v>
      </c>
      <c r="E27" s="280" t="s">
        <v>126</v>
      </c>
      <c r="F27" s="290">
        <f>'数据-取费表'!Q16</f>
        <v>0.19</v>
      </c>
      <c r="G27" s="291" t="s">
        <v>1069</v>
      </c>
    </row>
    <row r="28" spans="1:7" s="258" customFormat="1" ht="13.5" customHeight="1">
      <c r="A28" s="954" t="s">
        <v>794</v>
      </c>
      <c r="B28" s="292" t="s">
        <v>1062</v>
      </c>
      <c r="C28" s="293">
        <f>ROUND((C5+C19+C20)*F27*'数据-取费表'!B21/'数据-取费表'!B20,0)</f>
        <v>3975</v>
      </c>
      <c r="D28" s="279"/>
      <c r="E28" s="280"/>
      <c r="F28" s="290"/>
      <c r="G28" s="291"/>
    </row>
    <row r="29" spans="1:7" s="258" customFormat="1" ht="13.5" customHeight="1">
      <c r="A29" s="954" t="s">
        <v>792</v>
      </c>
      <c r="B29" s="292" t="s">
        <v>1063</v>
      </c>
      <c r="C29" s="282">
        <f>ROUND(C21*F27*'数据-取费表'!B21/'数据-取费表'!B20,4)</f>
        <v>3.7000000000000002E-3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10011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8997</v>
      </c>
      <c r="D34" s="261"/>
      <c r="E34" s="264"/>
      <c r="F34" s="301">
        <f>IF('数据-取费表'!B24=0,1,'数据-取费表'!N16)</f>
        <v>1</v>
      </c>
      <c r="G34" s="263" t="s">
        <v>116</v>
      </c>
    </row>
    <row r="35" spans="1:7" ht="13.5" customHeight="1">
      <c r="A35" s="954" t="s">
        <v>796</v>
      </c>
      <c r="B35" s="259" t="s">
        <v>60</v>
      </c>
      <c r="C35" s="264">
        <f>ROUND(C34*F35,0)</f>
        <v>270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609</v>
      </c>
      <c r="D37" s="261">
        <f>'数据-汇总表'!E3</f>
        <v>30453.1</v>
      </c>
      <c r="E37" s="293">
        <f>'数据-取费表'!B35</f>
        <v>200</v>
      </c>
      <c r="F37" s="303"/>
      <c r="G37" s="305" t="s">
        <v>119</v>
      </c>
    </row>
    <row r="38" spans="1:7" ht="13.5" customHeight="1">
      <c r="A38" s="954" t="s">
        <v>799</v>
      </c>
      <c r="B38" s="259" t="s">
        <v>63</v>
      </c>
      <c r="C38" s="264">
        <f>ROUND(C34*F38,0)</f>
        <v>135</v>
      </c>
      <c r="D38" s="264"/>
      <c r="E38" s="264"/>
      <c r="F38" s="303">
        <f>'数据-取费表'!B36</f>
        <v>1.4999999999999999E-2</v>
      </c>
      <c r="G38" s="263" t="s">
        <v>117</v>
      </c>
    </row>
    <row r="39" spans="1:7" s="258" customFormat="1" ht="13.5" customHeight="1">
      <c r="A39" s="951" t="s">
        <v>783</v>
      </c>
      <c r="B39" s="254" t="s">
        <v>104</v>
      </c>
      <c r="C39" s="276">
        <f>ROUND(C33*F20,0)</f>
        <v>200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711</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697</v>
      </c>
      <c r="D42" s="282"/>
      <c r="E42" s="282"/>
      <c r="F42" s="283"/>
      <c r="G42" s="3143" t="s">
        <v>121</v>
      </c>
    </row>
    <row r="43" spans="1:7" ht="13.5" customHeight="1">
      <c r="A43" s="954" t="s">
        <v>792</v>
      </c>
      <c r="B43" s="259" t="s">
        <v>1064</v>
      </c>
      <c r="C43" s="282">
        <f ca="1">ROUND(IF('数据-取费表'!B22&lt;=1,C39*F22*'数据-取费表'!B21/2,C39*(POWER((1+F22),'数据-取费表'!B21/2)-1)),0)</f>
        <v>14</v>
      </c>
      <c r="D43" s="282"/>
      <c r="E43" s="282"/>
      <c r="F43" s="283"/>
      <c r="G43" s="3144"/>
    </row>
    <row r="44" spans="1:7" ht="13.5" customHeight="1">
      <c r="A44" s="954" t="s">
        <v>793</v>
      </c>
      <c r="B44" s="259" t="s">
        <v>1066</v>
      </c>
      <c r="C44" s="282">
        <f ca="1">ROUND(IF('数据-取费表'!B22&lt;=1,C40*F22*'数据-取费表'!B21/2,C40*(POWER((1+F22),'数据-取费表'!B21/2)-1)),4)</f>
        <v>1.4E-3</v>
      </c>
      <c r="D44" s="282"/>
      <c r="E44" s="282"/>
      <c r="F44" s="283"/>
      <c r="G44" s="3145"/>
    </row>
    <row r="45" spans="1:7" s="258" customFormat="1" ht="13.5" customHeight="1">
      <c r="A45" s="951" t="s">
        <v>786</v>
      </c>
      <c r="B45" s="288" t="s">
        <v>112</v>
      </c>
      <c r="C45" s="289">
        <f>C46</f>
        <v>1940</v>
      </c>
      <c r="D45" s="279">
        <f>C47</f>
        <v>3.8E-3</v>
      </c>
      <c r="E45" s="280" t="s">
        <v>129</v>
      </c>
      <c r="F45" s="290"/>
      <c r="G45" s="291" t="s">
        <v>1072</v>
      </c>
    </row>
    <row r="46" spans="1:7" s="258" customFormat="1" ht="13.5" customHeight="1">
      <c r="A46" s="954" t="s">
        <v>794</v>
      </c>
      <c r="B46" s="292" t="s">
        <v>1065</v>
      </c>
      <c r="C46" s="293">
        <f>ROUND((C33+C39)*F27,0)</f>
        <v>1940</v>
      </c>
      <c r="D46" s="307"/>
      <c r="E46" s="280"/>
      <c r="F46" s="290"/>
      <c r="G46" s="291"/>
    </row>
    <row r="47" spans="1:7" s="258" customFormat="1" ht="13.5" customHeight="1">
      <c r="A47" s="954" t="s">
        <v>792</v>
      </c>
      <c r="B47" s="292" t="s">
        <v>1067</v>
      </c>
      <c r="C47" s="282">
        <f>ROUND(C40*F27,4)</f>
        <v>3.8E-3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13958</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13958</v>
      </c>
      <c r="D51" s="276"/>
      <c r="E51" s="276"/>
      <c r="F51" s="308"/>
      <c r="G51" s="278" t="s">
        <v>64</v>
      </c>
    </row>
    <row r="52" spans="1:7" s="252" customFormat="1" ht="16.5" thickBot="1">
      <c r="A52" s="309" t="s">
        <v>65</v>
      </c>
      <c r="B52" s="310"/>
      <c r="C52" s="311">
        <f ca="1">C31+C51</f>
        <v>45106</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871</v>
      </c>
      <c r="B1" s="327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43354</v>
      </c>
      <c r="D1" s="1703" t="s">
        <v>1301</v>
      </c>
      <c r="E1" s="1698">
        <f>'数据-取费表'!B22</f>
        <v>3</v>
      </c>
      <c r="F1" s="1703" t="s">
        <v>1302</v>
      </c>
      <c r="G1" s="1699">
        <f ca="1">INDIRECT("d"&amp;$K$1)/100</f>
        <v>4.7500000000000001E-2</v>
      </c>
      <c r="H1" s="1703" t="s">
        <v>1332</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J14" activeCellId="1" sqref="B16 J14"/>
    </sheetView>
  </sheetViews>
  <sheetFormatPr defaultRowHeight="13.5"/>
  <sheetData>
    <row r="1" spans="1:15">
      <c r="A1" s="3282" t="s">
        <v>3065</v>
      </c>
      <c r="B1" s="3282"/>
      <c r="C1" s="3282"/>
      <c r="D1" s="3282"/>
      <c r="E1" s="3282"/>
      <c r="F1" s="3282"/>
      <c r="I1" s="3282" t="s">
        <v>3087</v>
      </c>
      <c r="J1" s="3282"/>
      <c r="K1" s="3282"/>
      <c r="L1" s="3282"/>
      <c r="M1" s="3282"/>
      <c r="N1" s="3282"/>
      <c r="O1" s="3282"/>
    </row>
    <row r="2" spans="1:15">
      <c r="A2" s="3283" t="s">
        <v>3066</v>
      </c>
      <c r="B2" s="2949" t="s">
        <v>3067</v>
      </c>
      <c r="C2" s="3283" t="s">
        <v>3068</v>
      </c>
      <c r="D2" s="3283"/>
      <c r="E2" s="3283"/>
      <c r="F2" s="3283"/>
      <c r="I2" s="3284" t="s">
        <v>3066</v>
      </c>
      <c r="J2" s="2956" t="s">
        <v>3067</v>
      </c>
      <c r="K2" s="3284" t="s">
        <v>3068</v>
      </c>
      <c r="L2" s="3284"/>
      <c r="M2" s="3284"/>
      <c r="N2" s="3284"/>
      <c r="O2" s="3284"/>
    </row>
    <row r="3" spans="1:15">
      <c r="A3" s="3283"/>
      <c r="B3" s="2949" t="s">
        <v>3069</v>
      </c>
      <c r="C3" s="2949" t="s">
        <v>27</v>
      </c>
      <c r="D3" s="2949" t="s">
        <v>1377</v>
      </c>
      <c r="E3" s="2949" t="s">
        <v>1377</v>
      </c>
      <c r="F3" s="2949" t="s">
        <v>3070</v>
      </c>
      <c r="I3" s="3284"/>
      <c r="J3" s="2949" t="s">
        <v>3069</v>
      </c>
      <c r="K3" s="2949" t="s">
        <v>27</v>
      </c>
      <c r="L3" s="2949" t="s">
        <v>1377</v>
      </c>
      <c r="M3" s="2949" t="s">
        <v>1377</v>
      </c>
      <c r="N3" s="2949" t="s">
        <v>1377</v>
      </c>
      <c r="O3" s="2949" t="s">
        <v>3064</v>
      </c>
    </row>
    <row r="4" spans="1:15" ht="25.5">
      <c r="A4" s="3283"/>
      <c r="B4" s="2949" t="s">
        <v>3071</v>
      </c>
      <c r="C4" s="2950" t="s">
        <v>3072</v>
      </c>
      <c r="D4" s="2949" t="s">
        <v>3073</v>
      </c>
      <c r="E4" s="2949" t="s">
        <v>3074</v>
      </c>
      <c r="F4" s="2949" t="s">
        <v>3070</v>
      </c>
      <c r="I4" s="3284"/>
      <c r="J4" s="2949" t="s">
        <v>3071</v>
      </c>
      <c r="K4" s="2950" t="s">
        <v>3072</v>
      </c>
      <c r="L4" s="2950" t="s">
        <v>3072</v>
      </c>
      <c r="M4" s="2949" t="s">
        <v>3088</v>
      </c>
      <c r="N4" s="2949" t="s">
        <v>3074</v>
      </c>
      <c r="O4" s="2949" t="s">
        <v>3070</v>
      </c>
    </row>
    <row r="5" spans="1:15">
      <c r="A5" s="3283"/>
      <c r="B5" s="2949" t="s">
        <v>40</v>
      </c>
      <c r="C5" s="3283" t="s">
        <v>3062</v>
      </c>
      <c r="D5" s="3283"/>
      <c r="E5" s="3283" t="s">
        <v>3063</v>
      </c>
      <c r="F5" s="3283"/>
      <c r="I5" s="3284"/>
      <c r="J5" s="2949" t="s">
        <v>40</v>
      </c>
      <c r="K5" s="3283" t="s">
        <v>3062</v>
      </c>
      <c r="L5" s="3283"/>
      <c r="M5" s="3283"/>
      <c r="N5" s="3283" t="s">
        <v>3063</v>
      </c>
      <c r="O5" s="3283"/>
    </row>
    <row r="6" spans="1:15" ht="25.5">
      <c r="A6" s="2951" t="s">
        <v>3075</v>
      </c>
      <c r="B6" s="2952">
        <f>C6+D6+E6+F6</f>
        <v>946.95999999999992</v>
      </c>
      <c r="C6" s="2952">
        <v>194.96</v>
      </c>
      <c r="D6" s="2952">
        <v>200.44</v>
      </c>
      <c r="E6" s="2952">
        <v>315.2</v>
      </c>
      <c r="F6" s="2952">
        <v>236.36</v>
      </c>
      <c r="I6" s="2951" t="s">
        <v>3089</v>
      </c>
      <c r="J6" s="2952">
        <f>K6+L6+M6+N6+O6</f>
        <v>7506.89</v>
      </c>
      <c r="K6" s="2952">
        <v>4307.96</v>
      </c>
      <c r="L6" s="2952">
        <v>802.75</v>
      </c>
      <c r="M6" s="2952">
        <v>1695.56</v>
      </c>
      <c r="N6" s="2952">
        <v>521.76</v>
      </c>
      <c r="O6" s="2952">
        <v>178.86</v>
      </c>
    </row>
    <row r="7" spans="1:15" ht="25.5">
      <c r="A7" s="2951" t="s">
        <v>3076</v>
      </c>
      <c r="B7" s="2952">
        <f t="shared" ref="B7:B16" si="0">C7+D7+E7+F7</f>
        <v>118.12</v>
      </c>
      <c r="C7" s="2952">
        <v>118.12</v>
      </c>
      <c r="D7" s="2952"/>
      <c r="E7" s="2952"/>
      <c r="F7" s="2952"/>
      <c r="I7" s="2951" t="s">
        <v>3090</v>
      </c>
      <c r="J7" s="2952">
        <v>19809.5</v>
      </c>
      <c r="K7" s="2952">
        <v>16064.74</v>
      </c>
      <c r="L7" s="2952">
        <v>1949.89</v>
      </c>
      <c r="M7" s="2952">
        <v>793.48</v>
      </c>
      <c r="N7" s="2952" t="s">
        <v>70</v>
      </c>
      <c r="O7" s="2952">
        <v>1001.39</v>
      </c>
    </row>
    <row r="8" spans="1:15" ht="25.5">
      <c r="A8" s="2951" t="s">
        <v>3077</v>
      </c>
      <c r="B8" s="2952">
        <f t="shared" si="0"/>
        <v>136.98000000000002</v>
      </c>
      <c r="C8" s="2952">
        <v>107.43</v>
      </c>
      <c r="D8" s="2952"/>
      <c r="E8" s="2952"/>
      <c r="F8" s="2952">
        <v>29.55</v>
      </c>
      <c r="I8" s="2951" t="s">
        <v>3091</v>
      </c>
      <c r="J8" s="2952">
        <v>1105.44</v>
      </c>
      <c r="K8" s="2952">
        <v>157.38999999999999</v>
      </c>
      <c r="L8" s="2952">
        <v>198.96</v>
      </c>
      <c r="M8" s="2952">
        <v>345.84</v>
      </c>
      <c r="N8" s="2952" t="s">
        <v>70</v>
      </c>
      <c r="O8" s="2952">
        <v>403.25</v>
      </c>
    </row>
    <row r="9" spans="1:15" ht="25.5">
      <c r="A9" s="2951"/>
      <c r="B9" s="2952">
        <f t="shared" si="0"/>
        <v>39.590000000000003</v>
      </c>
      <c r="C9" s="2952">
        <v>39.590000000000003</v>
      </c>
      <c r="D9" s="2952"/>
      <c r="E9" s="2952"/>
      <c r="F9" s="2952"/>
      <c r="I9" s="2951" t="s">
        <v>3092</v>
      </c>
      <c r="J9" s="2952">
        <v>389.12</v>
      </c>
      <c r="K9" s="2952">
        <v>94.8</v>
      </c>
      <c r="L9" s="2952" t="s">
        <v>70</v>
      </c>
      <c r="M9" s="2952">
        <v>95.16</v>
      </c>
      <c r="N9" s="2952" t="s">
        <v>70</v>
      </c>
      <c r="O9" s="2952">
        <v>199.16</v>
      </c>
    </row>
    <row r="10" spans="1:15" ht="25.5">
      <c r="A10" s="2951"/>
      <c r="B10" s="2952">
        <f t="shared" si="0"/>
        <v>124.04</v>
      </c>
      <c r="C10" s="2952">
        <v>124.04</v>
      </c>
      <c r="D10" s="2952"/>
      <c r="E10" s="2952"/>
      <c r="F10" s="2952"/>
      <c r="I10" s="2951" t="s">
        <v>3093</v>
      </c>
      <c r="J10" s="2952">
        <v>21978.58</v>
      </c>
      <c r="K10" s="2952">
        <v>15930.72</v>
      </c>
      <c r="L10" s="2952">
        <v>2477.8200000000002</v>
      </c>
      <c r="M10" s="2952">
        <v>2567.64</v>
      </c>
      <c r="N10" s="2952" t="s">
        <v>70</v>
      </c>
      <c r="O10" s="2952">
        <v>1002.4</v>
      </c>
    </row>
    <row r="11" spans="1:15" ht="25.5">
      <c r="A11" s="2951" t="s">
        <v>3078</v>
      </c>
      <c r="B11" s="2952">
        <f t="shared" si="0"/>
        <v>28.11</v>
      </c>
      <c r="C11" s="2952">
        <v>28.11</v>
      </c>
      <c r="D11" s="2952"/>
      <c r="E11" s="2952"/>
      <c r="F11" s="2952"/>
      <c r="I11" s="2951" t="s">
        <v>3094</v>
      </c>
      <c r="J11" s="2952">
        <v>12307.7</v>
      </c>
      <c r="K11" s="2952">
        <v>9831</v>
      </c>
      <c r="L11" s="2952">
        <v>897.4</v>
      </c>
      <c r="M11" s="2952" t="s">
        <v>70</v>
      </c>
      <c r="N11" s="2952" t="s">
        <v>70</v>
      </c>
      <c r="O11" s="2952">
        <v>1579.3</v>
      </c>
    </row>
    <row r="12" spans="1:15" ht="25.5">
      <c r="A12" s="2951" t="s">
        <v>3079</v>
      </c>
      <c r="B12" s="2952">
        <f t="shared" si="0"/>
        <v>197.98</v>
      </c>
      <c r="C12" s="2952">
        <v>197.98</v>
      </c>
      <c r="D12" s="2952"/>
      <c r="E12" s="2952"/>
      <c r="F12" s="2952"/>
      <c r="I12" s="2951" t="s">
        <v>3095</v>
      </c>
      <c r="J12" s="2952">
        <v>12866.75</v>
      </c>
      <c r="K12" s="2952">
        <v>11073.89</v>
      </c>
      <c r="L12" s="2952">
        <v>1185.19</v>
      </c>
      <c r="M12" s="2952">
        <v>607.66999999999996</v>
      </c>
      <c r="N12" s="2952" t="s">
        <v>70</v>
      </c>
      <c r="O12" s="2952" t="s">
        <v>70</v>
      </c>
    </row>
    <row r="13" spans="1:15" ht="25.5">
      <c r="A13" s="2951" t="s">
        <v>3080</v>
      </c>
      <c r="B13" s="2952">
        <f t="shared" si="0"/>
        <v>86.48</v>
      </c>
      <c r="C13" s="2952">
        <v>86.48</v>
      </c>
      <c r="D13" s="2952"/>
      <c r="E13" s="2952"/>
      <c r="F13" s="2952"/>
      <c r="I13" s="2951" t="s">
        <v>3096</v>
      </c>
      <c r="J13" s="2952">
        <v>26864.7</v>
      </c>
      <c r="K13" s="2952">
        <v>18451.78</v>
      </c>
      <c r="L13" s="2952">
        <v>5319.43</v>
      </c>
      <c r="M13" s="2952">
        <v>1012.18</v>
      </c>
      <c r="N13" s="2952" t="s">
        <v>70</v>
      </c>
      <c r="O13" s="2952">
        <v>2081.31</v>
      </c>
    </row>
    <row r="14" spans="1:15" ht="25.5">
      <c r="A14" s="2951" t="s">
        <v>3081</v>
      </c>
      <c r="B14" s="2952">
        <f t="shared" si="0"/>
        <v>151.32</v>
      </c>
      <c r="C14" s="2952">
        <v>151.32</v>
      </c>
      <c r="D14" s="2952"/>
      <c r="E14" s="2952"/>
      <c r="F14" s="2952"/>
      <c r="I14" s="2953" t="s">
        <v>37</v>
      </c>
      <c r="J14" s="2952">
        <v>103416.52</v>
      </c>
      <c r="K14" s="2952">
        <v>75912.28</v>
      </c>
      <c r="L14" s="2952">
        <v>12831.44</v>
      </c>
      <c r="M14" s="2952">
        <v>7586.82</v>
      </c>
      <c r="N14" s="2952">
        <v>521.76</v>
      </c>
      <c r="O14" s="2952">
        <v>6564.22</v>
      </c>
    </row>
    <row r="15" spans="1:15" ht="25.5">
      <c r="A15" s="2951" t="s">
        <v>3082</v>
      </c>
      <c r="B15" s="2952">
        <f t="shared" si="0"/>
        <v>201.69</v>
      </c>
      <c r="C15" s="2952">
        <v>201.69</v>
      </c>
      <c r="D15" s="2952"/>
      <c r="E15" s="2952"/>
      <c r="F15" s="2952"/>
    </row>
    <row r="16" spans="1:15">
      <c r="A16" s="2953" t="s">
        <v>37</v>
      </c>
      <c r="B16" s="2952">
        <f t="shared" si="0"/>
        <v>2031.2700000000002</v>
      </c>
      <c r="C16" s="2952">
        <f>SUM(C6:C15)</f>
        <v>1249.72</v>
      </c>
      <c r="D16" s="2952">
        <f t="shared" ref="D16:F16" si="1">SUM(D6:D15)</f>
        <v>200.44</v>
      </c>
      <c r="E16" s="2952">
        <f t="shared" si="1"/>
        <v>315.2</v>
      </c>
      <c r="F16" s="2952">
        <f t="shared" si="1"/>
        <v>265.91000000000003</v>
      </c>
    </row>
  </sheetData>
  <mergeCells count="10">
    <mergeCell ref="I1:O1"/>
    <mergeCell ref="I2:I5"/>
    <mergeCell ref="K2:O2"/>
    <mergeCell ref="K5:M5"/>
    <mergeCell ref="N5:O5"/>
    <mergeCell ref="A1:F1"/>
    <mergeCell ref="A2:A5"/>
    <mergeCell ref="C2:F2"/>
    <mergeCell ref="C5:D5"/>
    <mergeCell ref="E5:F5"/>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1641</v>
      </c>
      <c r="B2" s="2969" t="s">
        <v>1642</v>
      </c>
      <c r="C2" s="2969" t="s">
        <v>1643</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70"/>
      <c r="B3" s="2970"/>
      <c r="C3" s="2970"/>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30453.1</v>
      </c>
      <c r="C4" s="1047">
        <f>项目基本情况!C18</f>
        <v>0</v>
      </c>
      <c r="D4" s="1047" t="e">
        <f ca="1">结果表!D118</f>
        <v>#REF!</v>
      </c>
      <c r="E4" s="1047" t="e">
        <f ca="1">结果表!E118</f>
        <v>#REF!</v>
      </c>
      <c r="F4" s="1047" t="e">
        <f ca="1">结果表!F118</f>
        <v>#REF!</v>
      </c>
      <c r="G4" s="1047" t="e">
        <f ca="1">结果表!G118</f>
        <v>#REF!</v>
      </c>
      <c r="H4" s="1047">
        <f ca="1">结果表!H118</f>
        <v>51081</v>
      </c>
      <c r="I4" s="1047">
        <f ca="1">结果表!I118</f>
        <v>16774</v>
      </c>
    </row>
    <row r="5" spans="1:9" ht="30" customHeight="1">
      <c r="A5" s="2970" t="s">
        <v>1640</v>
      </c>
      <c r="B5" s="2970"/>
      <c r="C5" s="2970"/>
      <c r="D5" s="2971" t="e">
        <f ca="1">结果表!D119</f>
        <v>#REF!</v>
      </c>
      <c r="E5" s="2971"/>
      <c r="F5" s="2971" t="e">
        <f ca="1">结果表!F119</f>
        <v>#REF!</v>
      </c>
      <c r="G5" s="2971"/>
      <c r="H5" s="2971" t="str">
        <f ca="1">结果表!H119</f>
        <v>伍亿壹仟零捌拾壹万元整</v>
      </c>
      <c r="I5" s="2971"/>
    </row>
    <row r="6" spans="1:9" ht="15.75">
      <c r="A6" s="2972" t="str">
        <f>结果表!A120</f>
        <v>估价师知悉的法定优先受偿款</v>
      </c>
      <c r="B6" s="2972"/>
      <c r="C6" s="2972"/>
      <c r="D6" s="2972">
        <f>结果表!D120</f>
        <v>0</v>
      </c>
      <c r="E6" s="2972"/>
      <c r="F6" s="2972"/>
      <c r="G6" s="2972"/>
      <c r="H6" s="2972"/>
      <c r="I6" s="2972"/>
    </row>
    <row r="7" spans="1:9" ht="15">
      <c r="A7" s="2970" t="s">
        <v>1640</v>
      </c>
      <c r="B7" s="2970"/>
      <c r="C7" s="2970"/>
      <c r="D7" s="2973" t="str">
        <f>结果表!D121</f>
        <v>零元整</v>
      </c>
      <c r="E7" s="2974"/>
      <c r="F7" s="2974"/>
      <c r="G7" s="2974"/>
      <c r="H7" s="2974"/>
      <c r="I7" s="2975"/>
    </row>
    <row r="8" spans="1:9" ht="15.75">
      <c r="A8" s="2972" t="str">
        <f>结果表!A122</f>
        <v>房地产抵押价值</v>
      </c>
      <c r="B8" s="2972"/>
      <c r="C8" s="2972"/>
      <c r="D8" s="2972">
        <f ca="1">结果表!D122</f>
        <v>51081</v>
      </c>
      <c r="E8" s="2972"/>
      <c r="F8" s="2972"/>
      <c r="G8" s="2972"/>
      <c r="H8" s="2972"/>
      <c r="I8" s="2972"/>
    </row>
    <row r="9" spans="1:9" ht="15">
      <c r="A9" s="2970" t="s">
        <v>1640</v>
      </c>
      <c r="B9" s="2970"/>
      <c r="C9" s="2970"/>
      <c r="D9" s="2971" t="str">
        <f ca="1">结果表!D123</f>
        <v>伍亿壹仟零捌拾壹万元整</v>
      </c>
      <c r="E9" s="2971"/>
      <c r="F9" s="2971"/>
      <c r="G9" s="2971"/>
      <c r="H9" s="2971"/>
      <c r="I9" s="2971"/>
    </row>
    <row r="10" spans="1:9" ht="15.75">
      <c r="A10" s="2972" t="str">
        <f>结果表!A124</f>
        <v/>
      </c>
      <c r="B10" s="2972"/>
      <c r="C10" s="2972"/>
      <c r="D10" s="2972" t="str">
        <f>结果表!D124</f>
        <v>——</v>
      </c>
      <c r="E10" s="2972"/>
      <c r="F10" s="2972"/>
      <c r="G10" s="2972"/>
      <c r="H10" s="2972"/>
      <c r="I10" s="2972"/>
    </row>
    <row r="11" spans="1:9" ht="15">
      <c r="A11" s="2970" t="s">
        <v>1640</v>
      </c>
      <c r="B11" s="2970"/>
      <c r="C11" s="2970"/>
      <c r="D11" s="2971" t="e">
        <f>结果表!D125</f>
        <v>#VALUE!</v>
      </c>
      <c r="E11" s="2971"/>
      <c r="F11" s="2971"/>
      <c r="G11" s="2971"/>
      <c r="H11" s="2971"/>
      <c r="I11" s="2971"/>
    </row>
    <row r="12" spans="1:9" ht="15.75">
      <c r="A12" s="2972" t="str">
        <f>结果表!A126</f>
        <v/>
      </c>
      <c r="B12" s="2972"/>
      <c r="C12" s="2972"/>
      <c r="D12" s="2972" t="str">
        <f>结果表!D126</f>
        <v>——</v>
      </c>
      <c r="E12" s="2972"/>
      <c r="F12" s="2972"/>
      <c r="G12" s="2972"/>
      <c r="H12" s="2972"/>
      <c r="I12" s="2972"/>
    </row>
    <row r="13" spans="1:9" ht="15.75" thickBot="1">
      <c r="A13" s="2976" t="s">
        <v>1640</v>
      </c>
      <c r="B13" s="2976"/>
      <c r="C13" s="2976"/>
      <c r="D13" s="2977" t="e">
        <f>结果表!D127</f>
        <v>#VALUE!</v>
      </c>
      <c r="E13" s="2977"/>
      <c r="F13" s="2977"/>
      <c r="G13" s="2977"/>
      <c r="H13" s="2977"/>
      <c r="I13" s="2977"/>
    </row>
    <row r="14" spans="1:9" ht="15" thickTop="1">
      <c r="A14" s="2978" t="s">
        <v>1645</v>
      </c>
      <c r="B14" s="2978"/>
      <c r="C14" s="2978"/>
      <c r="D14" s="2978"/>
      <c r="E14" s="2978"/>
      <c r="F14" s="2978"/>
      <c r="G14" s="2978"/>
      <c r="H14" s="2978"/>
      <c r="I14" s="297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9" t="s">
        <v>1662</v>
      </c>
      <c r="B1" s="2979"/>
      <c r="C1" s="2979"/>
      <c r="D1" s="2979"/>
    </row>
    <row r="2" spans="1:4" ht="18">
      <c r="A2" s="2980" t="s">
        <v>1646</v>
      </c>
      <c r="B2" s="2980"/>
      <c r="C2" s="2980"/>
      <c r="D2" s="2980"/>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80" t="s">
        <v>1652</v>
      </c>
      <c r="B6" s="2980"/>
      <c r="C6" s="2980"/>
      <c r="D6" s="298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1" t="s">
        <v>1655</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3"/>
      <c r="C12" s="2983"/>
      <c r="D12" s="2983"/>
    </row>
    <row r="13" spans="1:4" ht="30" customHeight="1">
      <c r="A13" s="2982" t="str">
        <f>IF(项目基本情况!B8="抵押","3.抵押双方在办理抵押登记手续时，应使用本公司出具的正式《房地产评估报告》，特提醒报告使用者注意。","——")</f>
        <v>——</v>
      </c>
      <c r="B13" s="2983"/>
      <c r="C13" s="2983"/>
      <c r="D13" s="2983"/>
    </row>
    <row r="14" spans="1:4" ht="15.75" customHeight="1">
      <c r="A14" s="2982" t="str">
        <f>IF(项目基本情况!B8="抵押","4.本次评估估价师所知悉的法定优先受偿款情况说明如下：","——")</f>
        <v>——</v>
      </c>
      <c r="B14" s="2983"/>
      <c r="C14" s="2983"/>
      <c r="D14" s="2983"/>
    </row>
    <row r="15" spans="1:4" ht="42" customHeight="1">
      <c r="A15" s="2982" t="str">
        <f>IF(项目基本情况!B8="抵押","（1）"&amp;CONCATENATE(项目基本情况!L20,项目基本情况!L21,项目基本情况!L22),"——")</f>
        <v>——</v>
      </c>
      <c r="B15" s="2982"/>
      <c r="C15" s="2982"/>
      <c r="D15" s="2982"/>
    </row>
    <row r="16" spans="1:4" ht="30" customHeight="1">
      <c r="A16" s="2985" t="s">
        <v>1656</v>
      </c>
      <c r="B16" s="2985"/>
      <c r="C16" s="2985"/>
      <c r="D16" s="2985"/>
    </row>
    <row r="17" spans="1:4" ht="144" customHeight="1">
      <c r="A17" s="2985" t="s">
        <v>1657</v>
      </c>
      <c r="B17" s="2985"/>
      <c r="C17" s="2985"/>
      <c r="D17" s="2985"/>
    </row>
    <row r="18" spans="1:4" ht="15.75" customHeight="1">
      <c r="A18" s="2982" t="str">
        <f>IF(项目基本情况!B8="抵押",结果表!K120,"——")</f>
        <v>——</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1658</v>
      </c>
      <c r="B22" s="2987"/>
      <c r="C22" s="2987"/>
      <c r="D22" s="298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3" t="s">
        <v>1669</v>
      </c>
      <c r="B15" s="2988" t="s">
        <v>136</v>
      </c>
      <c r="C15" s="2989"/>
    </row>
    <row r="16" spans="1:7" ht="13.5">
      <c r="A16" s="2994"/>
      <c r="B16" s="2988" t="s">
        <v>69</v>
      </c>
      <c r="C16" s="2989"/>
    </row>
    <row r="17" spans="1:3" ht="13.5">
      <c r="A17" s="2994"/>
      <c r="B17" s="2991" t="s">
        <v>1670</v>
      </c>
      <c r="C17" s="2003" t="s">
        <v>1669</v>
      </c>
    </row>
    <row r="18" spans="1:3" ht="13.5">
      <c r="A18" s="2994"/>
      <c r="B18" s="2991"/>
      <c r="C18" s="2003" t="s">
        <v>1671</v>
      </c>
    </row>
    <row r="19" spans="1:3" ht="13.5">
      <c r="A19" s="2994"/>
      <c r="B19" s="2991"/>
      <c r="C19" s="2003" t="s">
        <v>1672</v>
      </c>
    </row>
    <row r="20" spans="1:3" ht="13.5">
      <c r="A20" s="2995"/>
      <c r="B20" s="2990" t="s">
        <v>1673</v>
      </c>
      <c r="C20" s="2989"/>
    </row>
    <row r="21" spans="1:3" ht="13.5">
      <c r="A21" s="2004" t="s">
        <v>1674</v>
      </c>
      <c r="B21" s="2005"/>
      <c r="C21" s="2006"/>
    </row>
    <row r="22" spans="1:3" ht="13.5">
      <c r="A22" s="2992" t="s">
        <v>1675</v>
      </c>
      <c r="B22" s="2990" t="s">
        <v>1676</v>
      </c>
      <c r="C22" s="2989"/>
    </row>
    <row r="23" spans="1:3" ht="13.5">
      <c r="A23" s="2992"/>
      <c r="B23" s="2990" t="s">
        <v>1677</v>
      </c>
      <c r="C23" s="2989"/>
    </row>
    <row r="24" spans="1:3" ht="13.5">
      <c r="A24" s="2992"/>
      <c r="B24" s="2990" t="s">
        <v>1678</v>
      </c>
      <c r="C24" s="2989"/>
    </row>
    <row r="25" spans="1:3" ht="13.5">
      <c r="A25" s="2992"/>
      <c r="B25" s="2991" t="s">
        <v>1679</v>
      </c>
      <c r="C25" s="2003" t="s">
        <v>1680</v>
      </c>
    </row>
    <row r="26" spans="1:3" ht="13.5">
      <c r="A26" s="2992"/>
      <c r="B26" s="2991"/>
      <c r="C26" s="2003" t="s">
        <v>1681</v>
      </c>
    </row>
    <row r="27" spans="1:3" ht="13.5">
      <c r="A27" s="2992"/>
      <c r="B27" s="2991"/>
      <c r="C27" s="2003" t="s">
        <v>1682</v>
      </c>
    </row>
    <row r="28" spans="1:3" ht="13.5">
      <c r="A28" s="2992"/>
      <c r="B28" s="2991"/>
      <c r="C28" s="2003" t="s">
        <v>1683</v>
      </c>
    </row>
    <row r="29" spans="1:3" ht="13.5">
      <c r="A29" s="2992"/>
      <c r="B29" s="2991"/>
      <c r="C29" s="2003" t="s">
        <v>1684</v>
      </c>
    </row>
    <row r="30" spans="1:3" ht="13.5">
      <c r="A30" s="2992"/>
      <c r="B30" s="2991"/>
      <c r="C30" s="2003" t="s">
        <v>1685</v>
      </c>
    </row>
    <row r="31" spans="1:3" ht="13.5">
      <c r="A31" s="2992"/>
      <c r="B31" s="2991"/>
      <c r="C31" s="2003" t="s">
        <v>1686</v>
      </c>
    </row>
    <row r="32" spans="1:3" ht="13.5">
      <c r="A32" s="2992"/>
      <c r="B32" s="2991"/>
      <c r="C32" s="2003" t="s">
        <v>1687</v>
      </c>
    </row>
    <row r="33" spans="1:3" ht="13.5">
      <c r="A33" s="2992"/>
      <c r="B33" s="299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43357</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7">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96" t="s">
        <v>846</v>
      </c>
      <c r="B25" s="2996"/>
      <c r="C25" s="2996"/>
      <c r="D25" s="2996"/>
      <c r="E25" s="2996"/>
      <c r="F25" s="2996"/>
      <c r="G25" s="2996"/>
    </row>
    <row r="26" spans="1:7" s="1028" customFormat="1" ht="24" customHeight="1">
      <c r="A26" s="2997" t="s">
        <v>847</v>
      </c>
      <c r="B26" s="2997"/>
      <c r="C26" s="2998"/>
      <c r="D26" s="2999" t="s">
        <v>848</v>
      </c>
      <c r="E26" s="2997"/>
      <c r="F26" s="2997"/>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2018-09-14T05:43:19Z</dcterms:modified>
</cp:coreProperties>
</file>